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0" yWindow="65491" windowWidth="4635" windowHeight="5655" activeTab="0"/>
  </bookViews>
  <sheets>
    <sheet name="Fawmain" sheetId="1" r:id="rId1"/>
  </sheets>
  <definedNames/>
  <calcPr fullCalcOnLoad="1"/>
</workbook>
</file>

<file path=xl/sharedStrings.xml><?xml version="1.0" encoding="utf-8"?>
<sst xmlns="http://schemas.openxmlformats.org/spreadsheetml/2006/main" count="116" uniqueCount="89">
  <si>
    <t>Data Entry Sheet - IWAP Version 1.03 - November 1995</t>
  </si>
  <si>
    <t>Calculation Sheet</t>
  </si>
  <si>
    <t>Enter watershed data in column 1.</t>
  </si>
  <si>
    <t>Read scores and hazard indices in columns 5 and 6 on next page.</t>
  </si>
  <si>
    <t>Map units were identified as:</t>
  </si>
  <si>
    <t>(5)</t>
  </si>
  <si>
    <t>Calc.</t>
  </si>
  <si>
    <t>(6)</t>
  </si>
  <si>
    <t>(1)</t>
  </si>
  <si>
    <t>(2)</t>
  </si>
  <si>
    <t>(3)</t>
  </si>
  <si>
    <t>(4)</t>
  </si>
  <si>
    <t>Hazard</t>
  </si>
  <si>
    <t>Watershed Name?</t>
  </si>
  <si>
    <t>Conversion if m, ha units</t>
  </si>
  <si>
    <t>Indicator</t>
  </si>
  <si>
    <t>Inflection points</t>
  </si>
  <si>
    <t>Score</t>
  </si>
  <si>
    <t>Index</t>
  </si>
  <si>
    <t>Map units are in: (1=km. and sq.km.; 2=m. and ha.)</t>
  </si>
  <si>
    <t>Peak Flow</t>
  </si>
  <si>
    <t>scores between ...</t>
  </si>
  <si>
    <t>Watershed area?</t>
  </si>
  <si>
    <t>*</t>
  </si>
  <si>
    <t>Index above H60</t>
  </si>
  <si>
    <t xml:space="preserve">Peak Flow and Surface Erosion </t>
  </si>
  <si>
    <t>Index below H60</t>
  </si>
  <si>
    <t>Elevation of H60?</t>
  </si>
  <si>
    <t>m.</t>
  </si>
  <si>
    <t>Total Peak Flow Index</t>
  </si>
  <si>
    <t>ECA above H60?</t>
  </si>
  <si>
    <t>Road density above H60</t>
  </si>
  <si>
    <t>km/sq.km.</t>
  </si>
  <si>
    <t>ECA below H60?</t>
  </si>
  <si>
    <t>Total road density (See note below)</t>
  </si>
  <si>
    <t>Road length above H60?</t>
  </si>
  <si>
    <t>Road length below H60?</t>
  </si>
  <si>
    <t>Surface Erosion</t>
  </si>
  <si>
    <t xml:space="preserve">Surface Erosion </t>
  </si>
  <si>
    <t>Length of road on erodable soils?</t>
  </si>
  <si>
    <t>Roads on erodable soils</t>
  </si>
  <si>
    <t>Length of road within 100 m. of stream?</t>
  </si>
  <si>
    <t>Roads within 100 m of a stream</t>
  </si>
  <si>
    <t>Length of road on erodable soils within 100 m. of stream?</t>
  </si>
  <si>
    <t>Roads that are both of the above</t>
  </si>
  <si>
    <t>Number of active stream crossings?</t>
  </si>
  <si>
    <t>Active stream crossings</t>
  </si>
  <si>
    <t>no./sq.km.</t>
  </si>
  <si>
    <t xml:space="preserve">Riparian Buffer </t>
  </si>
  <si>
    <t>Total stream length?</t>
  </si>
  <si>
    <t>Length of stream logged?</t>
  </si>
  <si>
    <t>Riparian Buffer</t>
  </si>
  <si>
    <t>Total length of fish bearing streams?</t>
  </si>
  <si>
    <t>Length of fish bearing streams logged?</t>
  </si>
  <si>
    <t>Portion of stream logged?</t>
  </si>
  <si>
    <t>km/km.</t>
  </si>
  <si>
    <t>Portion of fish bearing streams logged?</t>
  </si>
  <si>
    <t xml:space="preserve">Landslides </t>
  </si>
  <si>
    <t>Number of landslides?</t>
  </si>
  <si>
    <t>Length of road on unstable slopes?</t>
  </si>
  <si>
    <t>Landslides</t>
  </si>
  <si>
    <t>Length of stream with logged banks and on slopes &gt; 60%</t>
  </si>
  <si>
    <t>Landslide density</t>
  </si>
  <si>
    <t>Other Land Use and Watershed Characteristics</t>
  </si>
  <si>
    <t>Roads on unstable slopes</t>
  </si>
  <si>
    <t xml:space="preserve">Is there range use next to streams? </t>
  </si>
  <si>
    <t>YES</t>
  </si>
  <si>
    <t>Streams &gt;60% and banks logged</t>
  </si>
  <si>
    <t>Is there mining close to streams?</t>
  </si>
  <si>
    <t>NO</t>
  </si>
  <si>
    <t>Is there ATV use close to streams?</t>
  </si>
  <si>
    <t>Hydrologic zone?</t>
  </si>
  <si>
    <t>Percent area of crown land?</t>
  </si>
  <si>
    <t>Percent area of private land?</t>
  </si>
  <si>
    <t>Percent area with unstable slopes?</t>
  </si>
  <si>
    <t>Percent area with erodable soils?</t>
  </si>
  <si>
    <t>Dominant bedrock geology?</t>
  </si>
  <si>
    <t>Is there a fisheries (DFO or MoE) thermal concern?</t>
  </si>
  <si>
    <t>n/a</t>
  </si>
  <si>
    <t>Notes:</t>
  </si>
  <si>
    <t>(2) Enter data in units shown in this column.</t>
  </si>
  <si>
    <t xml:space="preserve">(3) An asterisk in this column indicates essential data for calculations. </t>
  </si>
  <si>
    <t>The calculations of scores for #3 and #8 above are slightly different.</t>
  </si>
  <si>
    <t>(4) "err" message in this column indicates an inconsistency in the data.</t>
  </si>
  <si>
    <t>This spreadsheet is based on the IWAP Guidebook dated September 1995.</t>
  </si>
  <si>
    <t>However, the spreadsheet is subject to change. Please contact a Forest Service regional hydrologist to ensure</t>
  </si>
  <si>
    <t xml:space="preserve">   All cells except B6..B44 are protected.</t>
  </si>
  <si>
    <t>that you are using the latest version.</t>
  </si>
  <si>
    <t>O'Neil Creek.- Residual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</si>
</sst>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0.0"/>
    <numFmt numFmtId="174" formatCode="0.000"/>
    <numFmt numFmtId="175" formatCode="0.00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MS Sans Serif"/>
      <family val="0"/>
    </font>
    <font>
      <sz val="8"/>
      <name val="MS Sans Serif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72" fontId="5" fillId="0" borderId="1" xfId="0" applyNumberFormat="1" applyFont="1" applyBorder="1" applyAlignment="1" applyProtection="1">
      <alignment horizontal="right"/>
      <protection locked="0"/>
    </xf>
    <xf numFmtId="172" fontId="5" fillId="0" borderId="0" xfId="0" applyNumberFormat="1" applyFont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4" fillId="0" borderId="0" xfId="0" applyFont="1" applyAlignment="1" applyProtection="1" quotePrefix="1">
      <alignment horizontal="right"/>
      <protection hidden="1"/>
    </xf>
    <xf numFmtId="2" fontId="5" fillId="0" borderId="0" xfId="0" applyNumberFormat="1" applyFont="1" applyBorder="1" applyAlignment="1" applyProtection="1">
      <alignment horizontal="right"/>
      <protection hidden="1"/>
    </xf>
    <xf numFmtId="0" fontId="1" fillId="0" borderId="2" xfId="0" applyFont="1" applyBorder="1" applyAlignment="1" applyProtection="1">
      <alignment horizontal="centerContinuous"/>
      <protection hidden="1"/>
    </xf>
    <xf numFmtId="0" fontId="0" fillId="0" borderId="2" xfId="0" applyBorder="1" applyAlignment="1" applyProtection="1">
      <alignment horizontal="centerContinuous"/>
      <protection hidden="1"/>
    </xf>
    <xf numFmtId="0" fontId="5" fillId="0" borderId="2" xfId="0" applyFont="1" applyBorder="1" applyAlignment="1" applyProtection="1">
      <alignment horizontal="right"/>
      <protection hidden="1"/>
    </xf>
    <xf numFmtId="0" fontId="10" fillId="0" borderId="2" xfId="0" applyFont="1" applyBorder="1" applyAlignment="1" applyProtection="1">
      <alignment horizontal="centerContinuous"/>
      <protection hidden="1"/>
    </xf>
    <xf numFmtId="0" fontId="4" fillId="0" borderId="2" xfId="0" applyFont="1" applyBorder="1" applyAlignment="1" applyProtection="1">
      <alignment horizontal="centerContinuous"/>
      <protection hidden="1"/>
    </xf>
    <xf numFmtId="2" fontId="4" fillId="0" borderId="2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right"/>
      <protection hidden="1"/>
    </xf>
    <xf numFmtId="2" fontId="4" fillId="0" borderId="0" xfId="0" applyNumberFormat="1" applyFont="1" applyAlignment="1" applyProtection="1" quotePrefix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2" fontId="5" fillId="0" borderId="0" xfId="0" applyNumberFormat="1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172" fontId="8" fillId="0" borderId="0" xfId="0" applyNumberFormat="1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/>
      <protection hidden="1"/>
    </xf>
    <xf numFmtId="2" fontId="5" fillId="0" borderId="0" xfId="0" applyNumberFormat="1" applyFont="1" applyBorder="1" applyAlignment="1" applyProtection="1">
      <alignment/>
      <protection hidden="1"/>
    </xf>
    <xf numFmtId="2" fontId="5" fillId="0" borderId="4" xfId="0" applyNumberFormat="1" applyFont="1" applyBorder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/>
    </xf>
    <xf numFmtId="172" fontId="5" fillId="0" borderId="0" xfId="0" applyNumberFormat="1" applyFont="1" applyBorder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5" fillId="0" borderId="4" xfId="0" applyFont="1" applyBorder="1" applyAlignment="1" applyProtection="1">
      <alignment/>
      <protection hidden="1"/>
    </xf>
    <xf numFmtId="2" fontId="5" fillId="0" borderId="0" xfId="0" applyNumberFormat="1" applyFont="1" applyAlignment="1" applyProtection="1">
      <alignment/>
      <protection hidden="1"/>
    </xf>
    <xf numFmtId="172" fontId="5" fillId="0" borderId="0" xfId="0" applyNumberFormat="1" applyFont="1" applyAlignment="1" applyProtection="1">
      <alignment horizontal="left"/>
      <protection hidden="1"/>
    </xf>
    <xf numFmtId="1" fontId="5" fillId="0" borderId="0" xfId="0" applyNumberFormat="1" applyFont="1" applyBorder="1" applyAlignment="1" applyProtection="1">
      <alignment horizontal="right"/>
      <protection hidden="1"/>
    </xf>
    <xf numFmtId="2" fontId="4" fillId="0" borderId="0" xfId="0" applyNumberFormat="1" applyFont="1" applyBorder="1" applyAlignment="1" applyProtection="1">
      <alignment horizontal="right"/>
      <protection hidden="1"/>
    </xf>
    <xf numFmtId="172" fontId="7" fillId="0" borderId="0" xfId="0" applyNumberFormat="1" applyFont="1" applyBorder="1" applyAlignment="1" applyProtection="1">
      <alignment horizontal="left"/>
      <protection hidden="1"/>
    </xf>
    <xf numFmtId="0" fontId="1" fillId="0" borderId="0" xfId="0" applyFont="1" applyAlignment="1" applyProtection="1">
      <alignment/>
      <protection hidden="1"/>
    </xf>
    <xf numFmtId="2" fontId="0" fillId="0" borderId="0" xfId="0" applyNumberForma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right"/>
      <protection hidden="1"/>
    </xf>
    <xf numFmtId="2" fontId="0" fillId="0" borderId="0" xfId="0" applyNumberFormat="1" applyAlignment="1" applyProtection="1">
      <alignment/>
      <protection hidden="1"/>
    </xf>
    <xf numFmtId="0" fontId="9" fillId="0" borderId="0" xfId="0" applyFont="1" applyBorder="1" applyAlignment="1" applyProtection="1">
      <alignment horizontal="left"/>
      <protection hidden="1"/>
    </xf>
    <xf numFmtId="172" fontId="6" fillId="0" borderId="0" xfId="0" applyNumberFormat="1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left"/>
      <protection hidden="1"/>
    </xf>
    <xf numFmtId="0" fontId="9" fillId="0" borderId="0" xfId="0" applyFont="1" applyBorder="1" applyAlignment="1" applyProtection="1" quotePrefix="1">
      <alignment horizontal="right"/>
      <protection hidden="1"/>
    </xf>
    <xf numFmtId="0" fontId="9" fillId="0" borderId="0" xfId="0" applyFont="1" applyAlignment="1" applyProtection="1">
      <alignment/>
      <protection hidden="1"/>
    </xf>
    <xf numFmtId="172" fontId="6" fillId="0" borderId="0" xfId="0" applyNumberFormat="1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hidden="1"/>
    </xf>
    <xf numFmtId="172" fontId="5" fillId="0" borderId="0" xfId="0" applyNumberFormat="1" applyFont="1" applyAlignment="1" applyProtection="1">
      <alignment horizontal="right"/>
      <protection hidden="1"/>
    </xf>
    <xf numFmtId="0" fontId="5" fillId="0" borderId="5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172" fontId="4" fillId="0" borderId="0" xfId="0" applyNumberFormat="1" applyFont="1" applyBorder="1" applyAlignment="1" applyProtection="1">
      <alignment horizontal="right"/>
      <protection hidden="1"/>
    </xf>
    <xf numFmtId="0" fontId="5" fillId="0" borderId="0" xfId="0" applyFont="1" applyAlignment="1" applyProtection="1" quotePrefix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5" fillId="0" borderId="0" xfId="0" applyFont="1" applyBorder="1" applyAlignment="1" applyProtection="1" quotePrefix="1">
      <alignment horizontal="center"/>
      <protection hidden="1"/>
    </xf>
    <xf numFmtId="0" fontId="8" fillId="0" borderId="0" xfId="0" applyFont="1" applyAlignment="1" applyProtection="1" quotePrefix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172" fontId="4" fillId="0" borderId="0" xfId="0" applyNumberFormat="1" applyFont="1" applyBorder="1" applyAlignment="1" applyProtection="1">
      <alignment horizontal="left"/>
      <protection hidden="1"/>
    </xf>
    <xf numFmtId="172" fontId="4" fillId="0" borderId="0" xfId="0" applyNumberFormat="1" applyFont="1" applyAlignment="1" applyProtection="1">
      <alignment horizontal="left"/>
      <protection hidden="1"/>
    </xf>
    <xf numFmtId="172" fontId="5" fillId="0" borderId="0" xfId="0" applyNumberFormat="1" applyFont="1" applyBorder="1" applyAlignment="1" applyProtection="1">
      <alignment horizontal="center"/>
      <protection hidden="1"/>
    </xf>
    <xf numFmtId="2" fontId="4" fillId="0" borderId="0" xfId="0" applyNumberFormat="1" applyFont="1" applyBorder="1" applyAlignment="1" applyProtection="1">
      <alignment/>
      <protection hidden="1"/>
    </xf>
    <xf numFmtId="2" fontId="4" fillId="0" borderId="0" xfId="0" applyNumberFormat="1" applyFont="1" applyBorder="1" applyAlignment="1" applyProtection="1">
      <alignment horizontal="centerContinuous"/>
      <protection hidden="1"/>
    </xf>
    <xf numFmtId="1" fontId="5" fillId="0" borderId="6" xfId="0" applyNumberFormat="1" applyFont="1" applyBorder="1" applyAlignment="1" applyProtection="1">
      <alignment horizontal="right"/>
      <protection hidden="1"/>
    </xf>
    <xf numFmtId="0" fontId="5" fillId="0" borderId="6" xfId="0" applyFont="1" applyBorder="1" applyAlignment="1" applyProtection="1">
      <alignment/>
      <protection hidden="1"/>
    </xf>
    <xf numFmtId="2" fontId="5" fillId="0" borderId="6" xfId="0" applyNumberFormat="1" applyFont="1" applyBorder="1" applyAlignment="1" applyProtection="1">
      <alignment horizontal="right"/>
      <protection hidden="1"/>
    </xf>
    <xf numFmtId="2" fontId="5" fillId="0" borderId="6" xfId="0" applyNumberFormat="1" applyFont="1" applyBorder="1" applyAlignment="1" applyProtection="1">
      <alignment/>
      <protection hidden="1"/>
    </xf>
    <xf numFmtId="2" fontId="7" fillId="0" borderId="6" xfId="0" applyNumberFormat="1" applyFont="1" applyBorder="1" applyAlignment="1" applyProtection="1">
      <alignment/>
      <protection hidden="1"/>
    </xf>
    <xf numFmtId="0" fontId="5" fillId="0" borderId="5" xfId="0" applyFont="1" applyBorder="1" applyAlignment="1" applyProtection="1">
      <alignment horizontal="right"/>
      <protection hidden="1"/>
    </xf>
    <xf numFmtId="172" fontId="0" fillId="0" borderId="0" xfId="0" applyNumberFormat="1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172" fontId="8" fillId="0" borderId="8" xfId="0" applyNumberFormat="1" applyFont="1" applyBorder="1" applyAlignment="1" applyProtection="1">
      <alignment horizontal="center"/>
      <protection hidden="1"/>
    </xf>
    <xf numFmtId="172" fontId="5" fillId="0" borderId="8" xfId="0" applyNumberFormat="1" applyFont="1" applyBorder="1" applyAlignment="1" applyProtection="1">
      <alignment horizontal="left"/>
      <protection hidden="1"/>
    </xf>
    <xf numFmtId="0" fontId="0" fillId="0" borderId="8" xfId="0" applyBorder="1" applyAlignment="1" applyProtection="1">
      <alignment/>
      <protection hidden="1"/>
    </xf>
    <xf numFmtId="172" fontId="5" fillId="0" borderId="8" xfId="0" applyNumberFormat="1" applyFont="1" applyBorder="1" applyAlignment="1" applyProtection="1">
      <alignment horizontal="right"/>
      <protection hidden="1"/>
    </xf>
    <xf numFmtId="0" fontId="0" fillId="0" borderId="9" xfId="0" applyBorder="1" applyAlignment="1" applyProtection="1">
      <alignment/>
      <protection hidden="1"/>
    </xf>
    <xf numFmtId="172" fontId="8" fillId="0" borderId="10" xfId="0" applyNumberFormat="1" applyFont="1" applyBorder="1" applyAlignment="1" applyProtection="1">
      <alignment horizontal="center"/>
      <protection hidden="1"/>
    </xf>
    <xf numFmtId="172" fontId="5" fillId="0" borderId="10" xfId="0" applyNumberFormat="1" applyFont="1" applyBorder="1" applyAlignment="1" applyProtection="1">
      <alignment horizontal="left"/>
      <protection hidden="1"/>
    </xf>
    <xf numFmtId="0" fontId="0" fillId="0" borderId="10" xfId="0" applyBorder="1" applyAlignment="1" applyProtection="1">
      <alignment/>
      <protection hidden="1"/>
    </xf>
    <xf numFmtId="172" fontId="5" fillId="0" borderId="10" xfId="0" applyNumberFormat="1" applyFont="1" applyBorder="1" applyAlignment="1" applyProtection="1">
      <alignment horizontal="right"/>
      <protection hidden="1"/>
    </xf>
    <xf numFmtId="172" fontId="0" fillId="0" borderId="10" xfId="0" applyNumberFormat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174" fontId="5" fillId="0" borderId="0" xfId="0" applyNumberFormat="1" applyFont="1" applyAlignment="1" applyProtection="1">
      <alignment/>
      <protection hidden="1"/>
    </xf>
    <xf numFmtId="174" fontId="5" fillId="0" borderId="6" xfId="0" applyNumberFormat="1" applyFont="1" applyBorder="1" applyAlignment="1" applyProtection="1">
      <alignment/>
      <protection hidden="1"/>
    </xf>
    <xf numFmtId="174" fontId="5" fillId="0" borderId="0" xfId="0" applyNumberFormat="1" applyFont="1" applyBorder="1" applyAlignment="1" applyProtection="1">
      <alignment/>
      <protection hidden="1"/>
    </xf>
    <xf numFmtId="174" fontId="4" fillId="0" borderId="2" xfId="0" applyNumberFormat="1" applyFont="1" applyBorder="1" applyAlignment="1" applyProtection="1">
      <alignment horizontal="centerContinuous"/>
      <protection hidden="1"/>
    </xf>
    <xf numFmtId="174" fontId="0" fillId="0" borderId="0" xfId="0" applyNumberFormat="1" applyAlignment="1" applyProtection="1">
      <alignment/>
      <protection hidden="1"/>
    </xf>
    <xf numFmtId="174" fontId="4" fillId="0" borderId="0" xfId="0" applyNumberFormat="1" applyFont="1" applyAlignment="1" applyProtection="1">
      <alignment horizontal="right"/>
      <protection hidden="1"/>
    </xf>
    <xf numFmtId="174" fontId="0" fillId="0" borderId="0" xfId="0" applyNumberFormat="1" applyAlignment="1" applyProtection="1">
      <alignment horizontal="right"/>
      <protection hidden="1"/>
    </xf>
    <xf numFmtId="174" fontId="0" fillId="0" borderId="0" xfId="0" applyNumberFormat="1" applyBorder="1" applyAlignment="1" applyProtection="1">
      <alignment/>
      <protection hidden="1"/>
    </xf>
    <xf numFmtId="174" fontId="4" fillId="0" borderId="0" xfId="0" applyNumberFormat="1" applyFont="1" applyBorder="1" applyAlignment="1" applyProtection="1">
      <alignment/>
      <protection hidden="1"/>
    </xf>
    <xf numFmtId="174" fontId="4" fillId="0" borderId="0" xfId="0" applyNumberFormat="1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centerContinuous"/>
      <protection hidden="1"/>
    </xf>
    <xf numFmtId="0" fontId="5" fillId="0" borderId="1" xfId="0" applyFont="1" applyBorder="1" applyAlignment="1" applyProtection="1">
      <alignment/>
      <protection locked="0"/>
    </xf>
    <xf numFmtId="172" fontId="4" fillId="0" borderId="1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72" fontId="6" fillId="0" borderId="1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Continuous"/>
      <protection hidden="1"/>
    </xf>
    <xf numFmtId="0" fontId="0" fillId="0" borderId="5" xfId="0" applyBorder="1" applyAlignment="1" applyProtection="1">
      <alignment horizontal="centerContinuous"/>
      <protection hidden="1"/>
    </xf>
    <xf numFmtId="0" fontId="0" fillId="0" borderId="12" xfId="0" applyBorder="1" applyAlignment="1" applyProtection="1">
      <alignment horizontal="centerContinuous"/>
      <protection hidden="1"/>
    </xf>
    <xf numFmtId="0" fontId="0" fillId="0" borderId="3" xfId="0" applyBorder="1" applyAlignment="1" applyProtection="1">
      <alignment horizontal="centerContinuous"/>
      <protection hidden="1"/>
    </xf>
    <xf numFmtId="2" fontId="4" fillId="0" borderId="4" xfId="0" applyNumberFormat="1" applyFont="1" applyBorder="1" applyAlignment="1" applyProtection="1">
      <alignment horizontal="centerContinuous"/>
      <protection hidden="1"/>
    </xf>
    <xf numFmtId="0" fontId="5" fillId="0" borderId="13" xfId="0" applyFont="1" applyBorder="1" applyAlignment="1" applyProtection="1">
      <alignment/>
      <protection hidden="1"/>
    </xf>
    <xf numFmtId="2" fontId="5" fillId="0" borderId="2" xfId="0" applyNumberFormat="1" applyFont="1" applyBorder="1" applyAlignment="1" applyProtection="1">
      <alignment/>
      <protection hidden="1"/>
    </xf>
    <xf numFmtId="2" fontId="5" fillId="0" borderId="14" xfId="0" applyNumberFormat="1" applyFont="1" applyBorder="1" applyAlignment="1" applyProtection="1">
      <alignment/>
      <protection hidden="1"/>
    </xf>
    <xf numFmtId="0" fontId="0" fillId="0" borderId="1" xfId="0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workbookViewId="0" topLeftCell="A1">
      <selection activeCell="A10" sqref="A9:A10"/>
    </sheetView>
  </sheetViews>
  <sheetFormatPr defaultColWidth="9.140625" defaultRowHeight="12.75"/>
  <cols>
    <col min="1" max="1" width="45.421875" style="12" customWidth="1"/>
    <col min="2" max="2" width="19.7109375" style="12" customWidth="1"/>
    <col min="3" max="3" width="5.421875" style="12" customWidth="1"/>
    <col min="4" max="4" width="2.7109375" style="12" customWidth="1"/>
    <col min="5" max="5" width="4.00390625" style="12" hidden="1" customWidth="1"/>
    <col min="6" max="6" width="3.7109375" style="12" customWidth="1"/>
    <col min="7" max="7" width="4.28125" style="21" customWidth="1"/>
    <col min="8" max="8" width="31.57421875" style="12" customWidth="1"/>
    <col min="9" max="9" width="6.00390625" style="12" hidden="1" customWidth="1"/>
    <col min="10" max="10" width="6.57421875" style="21" customWidth="1"/>
    <col min="11" max="11" width="9.57421875" style="12" customWidth="1"/>
    <col min="12" max="12" width="5.7109375" style="12" hidden="1" customWidth="1"/>
    <col min="13" max="14" width="5.7109375" style="28" hidden="1" customWidth="1"/>
    <col min="15" max="15" width="8.00390625" style="28" customWidth="1"/>
    <col min="16" max="16" width="0" style="93" hidden="1" customWidth="1"/>
    <col min="17" max="17" width="9.7109375" style="12" customWidth="1"/>
    <col min="18" max="16384" width="9.140625" style="12" customWidth="1"/>
  </cols>
  <sheetData>
    <row r="1" spans="1:17" ht="16.5">
      <c r="A1" s="6" t="s">
        <v>0</v>
      </c>
      <c r="B1" s="7"/>
      <c r="C1" s="7"/>
      <c r="D1" s="7"/>
      <c r="E1" s="7"/>
      <c r="F1" s="7"/>
      <c r="G1" s="8"/>
      <c r="H1" s="9" t="s">
        <v>1</v>
      </c>
      <c r="I1" s="9"/>
      <c r="J1" s="10"/>
      <c r="K1" s="10"/>
      <c r="L1" s="10"/>
      <c r="M1" s="11"/>
      <c r="N1" s="11"/>
      <c r="O1" s="11"/>
      <c r="P1" s="87"/>
      <c r="Q1" s="10"/>
    </row>
    <row r="2" spans="1:17" ht="13.5">
      <c r="A2" s="15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88"/>
      <c r="Q2" s="13"/>
    </row>
    <row r="3" spans="1:17" ht="12.75">
      <c r="A3" s="12" t="s">
        <v>2</v>
      </c>
      <c r="G3" s="14" t="str">
        <f>IF(B6&gt;0,B6," ")</f>
        <v>O'Neil Creek.- Residual</v>
      </c>
      <c r="H3" s="13"/>
      <c r="I3" s="13"/>
      <c r="J3" s="13"/>
      <c r="K3" s="13"/>
      <c r="L3" s="13"/>
      <c r="M3" s="13"/>
      <c r="N3" s="13"/>
      <c r="O3" s="13"/>
      <c r="P3" s="88"/>
      <c r="Q3" s="13"/>
    </row>
    <row r="4" spans="1:17" ht="13.5">
      <c r="A4" s="12" t="s">
        <v>3</v>
      </c>
      <c r="B4" s="13"/>
      <c r="C4" s="13"/>
      <c r="G4" s="13" t="s">
        <v>4</v>
      </c>
      <c r="H4" s="13"/>
      <c r="I4" s="13"/>
      <c r="J4" s="29" t="str">
        <f>IF($B$7=1,"km. and sq.km.",IF($B$7=2,"m. and ha.","Error"))</f>
        <v>km. and sq.km.</v>
      </c>
      <c r="L4" s="13"/>
      <c r="M4" s="13"/>
      <c r="N4" s="13"/>
      <c r="O4" s="17" t="s">
        <v>5</v>
      </c>
      <c r="P4" s="89" t="s">
        <v>6</v>
      </c>
      <c r="Q4" s="4" t="s">
        <v>7</v>
      </c>
    </row>
    <row r="5" spans="1:17" ht="13.5">
      <c r="A5" s="13"/>
      <c r="B5" s="57" t="s">
        <v>8</v>
      </c>
      <c r="C5" s="57" t="s">
        <v>9</v>
      </c>
      <c r="D5" s="58" t="s">
        <v>10</v>
      </c>
      <c r="E5" s="59"/>
      <c r="F5" s="58" t="s">
        <v>11</v>
      </c>
      <c r="G5" s="13"/>
      <c r="H5" s="15"/>
      <c r="I5" s="15"/>
      <c r="J5" s="13"/>
      <c r="K5" s="13"/>
      <c r="L5" s="13"/>
      <c r="M5" s="13"/>
      <c r="N5" s="13"/>
      <c r="O5" s="18"/>
      <c r="P5" s="90"/>
      <c r="Q5" s="18" t="s">
        <v>12</v>
      </c>
    </row>
    <row r="6" spans="1:17" ht="13.5">
      <c r="A6" s="60" t="s">
        <v>13</v>
      </c>
      <c r="B6" s="96" t="s">
        <v>88</v>
      </c>
      <c r="C6" s="70"/>
      <c r="D6" s="72"/>
      <c r="E6" s="22"/>
      <c r="F6" s="77"/>
      <c r="G6" s="19"/>
      <c r="H6" s="15"/>
      <c r="I6" s="15" t="s">
        <v>14</v>
      </c>
      <c r="J6" s="94" t="s">
        <v>15</v>
      </c>
      <c r="K6" s="20"/>
      <c r="L6" s="100" t="s">
        <v>16</v>
      </c>
      <c r="M6" s="101"/>
      <c r="N6" s="102"/>
      <c r="O6" s="18" t="s">
        <v>17</v>
      </c>
      <c r="P6" s="90"/>
      <c r="Q6" s="21" t="s">
        <v>18</v>
      </c>
    </row>
    <row r="7" spans="1:17" ht="13.5">
      <c r="A7" s="13" t="s">
        <v>19</v>
      </c>
      <c r="B7" s="108">
        <v>1</v>
      </c>
      <c r="C7" s="29">
        <f>IF($B$7=1,"",IF($B$7=2,"","err"))</f>
      </c>
      <c r="D7" s="75"/>
      <c r="E7" s="62">
        <f>IF($C$7&gt;" ",0,1)</f>
        <v>1</v>
      </c>
      <c r="F7" s="80"/>
      <c r="G7" s="23" t="s">
        <v>20</v>
      </c>
      <c r="H7" s="22"/>
      <c r="I7" s="22"/>
      <c r="J7" s="22"/>
      <c r="K7" s="22"/>
      <c r="L7" s="103" t="s">
        <v>21</v>
      </c>
      <c r="M7" s="64"/>
      <c r="N7" s="104"/>
      <c r="O7" s="22"/>
      <c r="P7" s="91"/>
      <c r="Q7" s="53"/>
    </row>
    <row r="8" spans="1:17" ht="13.5">
      <c r="A8" s="61" t="s">
        <v>22</v>
      </c>
      <c r="B8" s="1">
        <v>63.55</v>
      </c>
      <c r="C8" s="29" t="str">
        <f>IF($B$7=1,"sq.km.",IF($B$7=2,"ha.",""))</f>
        <v>sq.km.</v>
      </c>
      <c r="D8" s="73" t="s">
        <v>23</v>
      </c>
      <c r="E8" s="24"/>
      <c r="F8" s="78"/>
      <c r="G8" s="19"/>
      <c r="H8" s="22"/>
      <c r="I8" s="22"/>
      <c r="J8" s="16"/>
      <c r="K8" s="53"/>
      <c r="L8" s="25">
        <v>0</v>
      </c>
      <c r="M8" s="26">
        <v>0.5</v>
      </c>
      <c r="N8" s="27">
        <v>1</v>
      </c>
      <c r="O8" s="63"/>
      <c r="P8" s="92"/>
      <c r="Q8" s="53"/>
    </row>
    <row r="9" spans="1:17" ht="13.5">
      <c r="A9" s="13"/>
      <c r="B9" s="2"/>
      <c r="C9" s="29"/>
      <c r="D9" s="74"/>
      <c r="E9" s="29"/>
      <c r="F9" s="79"/>
      <c r="G9" s="19"/>
      <c r="H9" s="15" t="s">
        <v>24</v>
      </c>
      <c r="I9" s="15"/>
      <c r="J9" s="5">
        <f>B12*1.5/B$8</f>
        <v>0.09077891424075532</v>
      </c>
      <c r="K9" s="15"/>
      <c r="L9" s="25"/>
      <c r="M9" s="15"/>
      <c r="N9" s="31"/>
      <c r="O9" s="26"/>
      <c r="P9" s="86"/>
      <c r="Q9" s="15"/>
    </row>
    <row r="10" spans="1:17" ht="12.75" customHeight="1">
      <c r="A10" s="23" t="s">
        <v>25</v>
      </c>
      <c r="B10" s="2"/>
      <c r="C10" s="29"/>
      <c r="D10" s="74"/>
      <c r="E10" s="29"/>
      <c r="F10" s="79"/>
      <c r="G10" s="19"/>
      <c r="H10" s="15" t="s">
        <v>26</v>
      </c>
      <c r="I10" s="15"/>
      <c r="J10" s="5">
        <f>B13/B$8</f>
        <v>0</v>
      </c>
      <c r="K10" s="15"/>
      <c r="L10" s="25"/>
      <c r="M10" s="26"/>
      <c r="N10" s="27"/>
      <c r="O10" s="26"/>
      <c r="P10" s="86"/>
      <c r="Q10" s="15"/>
    </row>
    <row r="11" spans="1:17" ht="12.75" customHeight="1">
      <c r="A11" s="33" t="s">
        <v>27</v>
      </c>
      <c r="B11" s="1">
        <v>1120</v>
      </c>
      <c r="C11" s="29" t="s">
        <v>28</v>
      </c>
      <c r="D11" s="74"/>
      <c r="E11" s="29"/>
      <c r="F11" s="79"/>
      <c r="G11" s="34">
        <v>1</v>
      </c>
      <c r="H11" s="15" t="s">
        <v>29</v>
      </c>
      <c r="I11" s="15"/>
      <c r="J11" s="5">
        <f>SUM(J9:J10)</f>
        <v>0.09077891424075532</v>
      </c>
      <c r="K11" s="15"/>
      <c r="L11" s="25">
        <v>0</v>
      </c>
      <c r="M11" s="26">
        <v>0.3</v>
      </c>
      <c r="N11" s="27">
        <v>0.6</v>
      </c>
      <c r="O11" s="32">
        <f>IF(J11&lt;M11,J11/M11*0.5,IF(J11&lt;N11,(J11-M11)/(N11-M11)/2+0.5,1))</f>
        <v>0.1512981904012589</v>
      </c>
      <c r="P11" s="86"/>
      <c r="Q11" s="15"/>
    </row>
    <row r="12" spans="1:17" ht="12.75" customHeight="1">
      <c r="A12" s="33" t="s">
        <v>30</v>
      </c>
      <c r="B12" s="1">
        <v>3.846</v>
      </c>
      <c r="C12" s="29" t="str">
        <f>IF($B$7=1,"sq.km.",IF($B$7=2,"ha.",""))</f>
        <v>sq.km.</v>
      </c>
      <c r="D12" s="73" t="s">
        <v>23</v>
      </c>
      <c r="E12" s="24">
        <f>IF(B12&gt;(0.6*B$8),0,1)</f>
        <v>1</v>
      </c>
      <c r="F12" s="78">
        <f>IF(E12=0,"err","")</f>
      </c>
      <c r="G12" s="34">
        <v>2</v>
      </c>
      <c r="H12" s="15" t="s">
        <v>31</v>
      </c>
      <c r="I12" s="15">
        <f>IF($B$7=1,1,IF($B$7=2,0.1,0))</f>
        <v>1</v>
      </c>
      <c r="J12" s="5">
        <f>B14/B$8*I12</f>
        <v>1.517387883556255</v>
      </c>
      <c r="K12" s="15" t="s">
        <v>32</v>
      </c>
      <c r="L12" s="25">
        <v>0</v>
      </c>
      <c r="M12" s="26">
        <v>0.5</v>
      </c>
      <c r="N12" s="27">
        <v>1</v>
      </c>
      <c r="O12" s="32">
        <f>IF(J12&lt;M12,J12/M12*0.5,IF(J12&lt;N12,(J12-M12)/(N12-M12)/2+0.5,1))</f>
        <v>1</v>
      </c>
      <c r="P12" s="86"/>
      <c r="Q12" s="15"/>
    </row>
    <row r="13" spans="1:17" ht="12.75" customHeight="1">
      <c r="A13" s="33" t="s">
        <v>33</v>
      </c>
      <c r="B13" s="1">
        <v>0</v>
      </c>
      <c r="C13" s="29" t="str">
        <f>IF($B$7=1,"sq.km.",IF($B$7=2,"ha.",""))</f>
        <v>sq.km.</v>
      </c>
      <c r="D13" s="73" t="s">
        <v>23</v>
      </c>
      <c r="E13" s="24">
        <f>IF(B13&gt;(0.4*B$8),0,1)</f>
        <v>1</v>
      </c>
      <c r="F13" s="78">
        <f>IF(E13=0,"err","")</f>
      </c>
      <c r="G13" s="65">
        <v>3</v>
      </c>
      <c r="H13" s="66" t="s">
        <v>34</v>
      </c>
      <c r="I13" s="15">
        <f>IF($B$7=1,1,IF($B$7=2,0.1,0))</f>
        <v>1</v>
      </c>
      <c r="J13" s="67">
        <f>(B14+B15)/B$8*I13</f>
        <v>1.6347757671125098</v>
      </c>
      <c r="K13" s="66" t="s">
        <v>32</v>
      </c>
      <c r="L13" s="25">
        <v>0</v>
      </c>
      <c r="M13" s="26">
        <v>1.5</v>
      </c>
      <c r="N13" s="27">
        <v>3</v>
      </c>
      <c r="O13" s="68">
        <f>IF(J13&lt;M13,J13/M13*0.5,IF(J13&lt;N13,(J13-M13)/(N13-M13)/2+0.5,1))</f>
        <v>0.5449252557041699</v>
      </c>
      <c r="P13" s="85">
        <f>AVERAGE(O11:O13)</f>
        <v>0.5654078153684763</v>
      </c>
      <c r="Q13" s="69">
        <f>MAX(O11,P13)</f>
        <v>0.5654078153684763</v>
      </c>
    </row>
    <row r="14" spans="1:17" ht="12.75" customHeight="1">
      <c r="A14" s="33" t="s">
        <v>35</v>
      </c>
      <c r="B14" s="1">
        <v>96.43</v>
      </c>
      <c r="C14" s="29" t="str">
        <f>IF($B$7=1,"km.",IF($B$7=2,"m.",""))</f>
        <v>km.</v>
      </c>
      <c r="D14" s="73" t="s">
        <v>23</v>
      </c>
      <c r="E14" s="24"/>
      <c r="F14" s="78"/>
      <c r="G14" s="13"/>
      <c r="H14" s="13"/>
      <c r="I14" s="13"/>
      <c r="J14" s="13"/>
      <c r="K14" s="30"/>
      <c r="L14" s="25"/>
      <c r="M14" s="15"/>
      <c r="N14" s="31"/>
      <c r="O14" s="32"/>
      <c r="P14" s="84"/>
      <c r="Q14" s="30"/>
    </row>
    <row r="15" spans="1:17" ht="12.75" customHeight="1">
      <c r="A15" s="33" t="s">
        <v>36</v>
      </c>
      <c r="B15" s="1">
        <v>7.46</v>
      </c>
      <c r="C15" s="29" t="str">
        <f>IF($B$7=1,"km.",IF($B$7=2,"m.",""))</f>
        <v>km.</v>
      </c>
      <c r="D15" s="73" t="s">
        <v>23</v>
      </c>
      <c r="E15" s="24"/>
      <c r="F15" s="78"/>
      <c r="G15" s="19"/>
      <c r="H15" s="15"/>
      <c r="I15" s="15"/>
      <c r="J15" s="35"/>
      <c r="K15" s="30"/>
      <c r="L15" s="25"/>
      <c r="M15" s="26"/>
      <c r="N15" s="27"/>
      <c r="O15" s="32"/>
      <c r="P15" s="84"/>
      <c r="Q15" s="30"/>
    </row>
    <row r="16" spans="1:17" ht="12.75" customHeight="1">
      <c r="A16" s="15"/>
      <c r="B16" s="97"/>
      <c r="C16" s="22"/>
      <c r="D16" s="75"/>
      <c r="E16" s="22"/>
      <c r="F16" s="80"/>
      <c r="G16" s="36" t="s">
        <v>37</v>
      </c>
      <c r="H16" s="15"/>
      <c r="I16" s="15"/>
      <c r="J16" s="35"/>
      <c r="K16" s="30"/>
      <c r="L16" s="25"/>
      <c r="M16" s="26"/>
      <c r="N16" s="27"/>
      <c r="O16" s="32"/>
      <c r="P16" s="84"/>
      <c r="Q16" s="30"/>
    </row>
    <row r="17" spans="1:17" ht="12.75" customHeight="1">
      <c r="A17" s="23" t="s">
        <v>38</v>
      </c>
      <c r="B17" s="2"/>
      <c r="C17" s="29"/>
      <c r="D17" s="74"/>
      <c r="E17" s="29"/>
      <c r="F17" s="79"/>
      <c r="G17" s="13"/>
      <c r="H17" s="13"/>
      <c r="I17" s="13"/>
      <c r="J17" s="13"/>
      <c r="K17" s="30"/>
      <c r="L17" s="25"/>
      <c r="M17" s="15"/>
      <c r="N17" s="31"/>
      <c r="O17" s="32"/>
      <c r="P17" s="84">
        <f>O20</f>
        <v>0</v>
      </c>
      <c r="Q17" s="30"/>
    </row>
    <row r="18" spans="1:17" ht="12.75" customHeight="1">
      <c r="A18" s="33" t="s">
        <v>39</v>
      </c>
      <c r="B18" s="1">
        <v>0</v>
      </c>
      <c r="C18" s="29" t="str">
        <f>IF($B$7=1,"km.",IF($B$7=2,"m.",""))</f>
        <v>km.</v>
      </c>
      <c r="D18" s="73" t="s">
        <v>23</v>
      </c>
      <c r="E18" s="24">
        <f>IF(B18&gt;(B$14+B$15),0,1)</f>
        <v>1</v>
      </c>
      <c r="F18" s="78">
        <f>IF(E18=0,"err","")</f>
      </c>
      <c r="G18" s="34">
        <v>4</v>
      </c>
      <c r="H18" s="15" t="s">
        <v>40</v>
      </c>
      <c r="I18" s="15">
        <f>IF($B$7=1,1,IF($B$7=2,0.1,0))</f>
        <v>1</v>
      </c>
      <c r="J18" s="5">
        <f>B18/B$8*I18</f>
        <v>0</v>
      </c>
      <c r="K18" s="30" t="s">
        <v>32</v>
      </c>
      <c r="L18" s="25">
        <v>0</v>
      </c>
      <c r="M18" s="26">
        <v>0.25</v>
      </c>
      <c r="N18" s="27">
        <v>0.7</v>
      </c>
      <c r="O18" s="32">
        <f>IF(J18&lt;M18,J18/M18*0.5,IF(J18&lt;N18,(J18-M18)/(N18-M18)/2+0.5,1))</f>
        <v>0</v>
      </c>
      <c r="P18" s="84">
        <f>AVERAGE(O18,O21)</f>
        <v>0.45125885129819043</v>
      </c>
      <c r="Q18" s="30"/>
    </row>
    <row r="19" spans="1:17" ht="12.75" customHeight="1">
      <c r="A19" s="33" t="s">
        <v>41</v>
      </c>
      <c r="B19" s="1">
        <v>10.37</v>
      </c>
      <c r="C19" s="29" t="str">
        <f>IF($B$7=1,"km.",IF($B$7=2,"m.",""))</f>
        <v>km.</v>
      </c>
      <c r="D19" s="73" t="s">
        <v>23</v>
      </c>
      <c r="E19" s="24">
        <f>IF(B19&gt;(B$14+B$15),0,1)</f>
        <v>1</v>
      </c>
      <c r="F19" s="78">
        <f>IF(E19=0,"err","")</f>
      </c>
      <c r="G19" s="34">
        <v>5</v>
      </c>
      <c r="H19" s="15" t="s">
        <v>42</v>
      </c>
      <c r="I19" s="15">
        <f>IF($B$7=1,1,IF($B$7=2,0.1,0))</f>
        <v>1</v>
      </c>
      <c r="J19" s="5">
        <f>B19/B$8*I19</f>
        <v>0.16317859952793076</v>
      </c>
      <c r="K19" s="30" t="s">
        <v>32</v>
      </c>
      <c r="L19" s="25">
        <v>0</v>
      </c>
      <c r="M19" s="26">
        <v>0.2</v>
      </c>
      <c r="N19" s="27">
        <v>0.45</v>
      </c>
      <c r="O19" s="32">
        <f>IF(J19&lt;M19,J19/M19*0.5,IF(J19&lt;N19,(J19-M19)/(N19-M19)/2+0.5,1))</f>
        <v>0.40794649881982686</v>
      </c>
      <c r="P19" s="84">
        <f>AVERAGE(O19,O21)</f>
        <v>0.6552321007081039</v>
      </c>
      <c r="Q19" s="30"/>
    </row>
    <row r="20" spans="1:17" ht="12.75" customHeight="1">
      <c r="A20" s="33" t="s">
        <v>43</v>
      </c>
      <c r="B20" s="1">
        <v>0</v>
      </c>
      <c r="C20" s="29" t="str">
        <f>IF($B$7=1,"km.",IF($B$7=2,"m.",""))</f>
        <v>km.</v>
      </c>
      <c r="D20" s="73" t="s">
        <v>23</v>
      </c>
      <c r="E20" s="24">
        <f>IF(B20&gt;B18,0,IF(B20&gt;B19,0,1))</f>
        <v>1</v>
      </c>
      <c r="F20" s="78">
        <f>IF(E20=0,"err","")</f>
      </c>
      <c r="G20" s="34">
        <v>6</v>
      </c>
      <c r="H20" s="15" t="s">
        <v>44</v>
      </c>
      <c r="I20" s="15">
        <f>IF($B$7=1,1,IF($B$7=2,0.1,0))</f>
        <v>1</v>
      </c>
      <c r="J20" s="5">
        <f>B20/B$8*I20</f>
        <v>0</v>
      </c>
      <c r="K20" s="30" t="s">
        <v>32</v>
      </c>
      <c r="L20" s="25">
        <v>0</v>
      </c>
      <c r="M20" s="26">
        <v>0.1</v>
      </c>
      <c r="N20" s="27">
        <v>0.24</v>
      </c>
      <c r="O20" s="32">
        <f>IF(J20&lt;M20,J20/M20*0.5,IF(J20&lt;N20,(J20-M20)/(N20-M20)/2+0.5,1))</f>
        <v>0</v>
      </c>
      <c r="P20" s="84">
        <f>AVERAGE(O19,O22)</f>
        <v>0.4846041055718475</v>
      </c>
      <c r="Q20" s="30"/>
    </row>
    <row r="21" spans="1:17" ht="12.75" customHeight="1">
      <c r="A21" s="33" t="s">
        <v>45</v>
      </c>
      <c r="B21" s="1">
        <v>51</v>
      </c>
      <c r="C21" s="29"/>
      <c r="D21" s="73" t="s">
        <v>23</v>
      </c>
      <c r="E21" s="24"/>
      <c r="F21" s="78"/>
      <c r="G21" s="34">
        <v>7</v>
      </c>
      <c r="H21" s="15" t="s">
        <v>46</v>
      </c>
      <c r="I21" s="15">
        <f>IF($B$7=1,1,IF($B$7=2,100,0))</f>
        <v>1</v>
      </c>
      <c r="J21" s="5">
        <f>B21/B$8*I21</f>
        <v>0.8025177025963809</v>
      </c>
      <c r="K21" s="30" t="s">
        <v>47</v>
      </c>
      <c r="L21" s="25">
        <v>0</v>
      </c>
      <c r="M21" s="26">
        <v>0.4</v>
      </c>
      <c r="N21" s="27">
        <v>0.9</v>
      </c>
      <c r="O21" s="32">
        <f>IF(J21&lt;M21,J21/M21*0.5,IF(J21&lt;N21,(J21-M21)/(N21-M21)/2+0.5,1))</f>
        <v>0.9025177025963809</v>
      </c>
      <c r="P21" s="84">
        <f>AVERAGE(O18,O22)</f>
        <v>0.28063085616193406</v>
      </c>
      <c r="Q21" s="30"/>
    </row>
    <row r="22" spans="1:17" ht="12.75" customHeight="1">
      <c r="A22" s="13"/>
      <c r="B22" s="97"/>
      <c r="C22" s="22"/>
      <c r="D22" s="75"/>
      <c r="E22" s="22"/>
      <c r="F22" s="80"/>
      <c r="G22" s="65">
        <v>8</v>
      </c>
      <c r="H22" s="66" t="s">
        <v>34</v>
      </c>
      <c r="I22" s="66"/>
      <c r="J22" s="67">
        <f>J13</f>
        <v>1.6347757671125098</v>
      </c>
      <c r="K22" s="66" t="s">
        <v>32</v>
      </c>
      <c r="L22" s="25">
        <v>0</v>
      </c>
      <c r="M22" s="26">
        <v>1.5</v>
      </c>
      <c r="N22" s="27">
        <v>2.6</v>
      </c>
      <c r="O22" s="68">
        <f>IF(J22&lt;M22,J22/M22*0.5,IF(J22&lt;N22,(J22-M22)/(N22-M22)/2+0.5,1))</f>
        <v>0.5612617123238681</v>
      </c>
      <c r="P22" s="85">
        <f>AVERAGE(O18,O21,O22)</f>
        <v>0.487926471640083</v>
      </c>
      <c r="Q22" s="69">
        <f>MAX(P17:P22)</f>
        <v>0.6552321007081039</v>
      </c>
    </row>
    <row r="23" spans="1:17" ht="12.75" customHeight="1">
      <c r="A23" s="23" t="s">
        <v>48</v>
      </c>
      <c r="B23" s="2"/>
      <c r="C23" s="29"/>
      <c r="D23" s="74"/>
      <c r="E23" s="29"/>
      <c r="F23" s="79"/>
      <c r="G23" s="13"/>
      <c r="H23" s="13"/>
      <c r="I23" s="13"/>
      <c r="J23" s="13"/>
      <c r="K23" s="30"/>
      <c r="L23" s="25"/>
      <c r="M23" s="15"/>
      <c r="N23" s="31"/>
      <c r="O23" s="30"/>
      <c r="P23" s="84"/>
      <c r="Q23" s="30"/>
    </row>
    <row r="24" spans="1:17" ht="12.75" customHeight="1">
      <c r="A24" s="33" t="s">
        <v>49</v>
      </c>
      <c r="B24" s="1">
        <v>45.44</v>
      </c>
      <c r="C24" s="29" t="str">
        <f>IF($B$7=1,"km.",IF($B$7=2,"m.",""))</f>
        <v>km.</v>
      </c>
      <c r="D24" s="73" t="s">
        <v>23</v>
      </c>
      <c r="E24" s="22"/>
      <c r="F24" s="80"/>
      <c r="G24" s="13"/>
      <c r="H24" s="13"/>
      <c r="I24" s="13"/>
      <c r="J24" s="13"/>
      <c r="K24" s="30"/>
      <c r="L24" s="25"/>
      <c r="M24" s="15"/>
      <c r="N24" s="31"/>
      <c r="O24" s="30"/>
      <c r="P24" s="84"/>
      <c r="Q24" s="30"/>
    </row>
    <row r="25" spans="1:17" ht="12.75" customHeight="1">
      <c r="A25" s="33" t="s">
        <v>50</v>
      </c>
      <c r="B25" s="1">
        <v>6.37</v>
      </c>
      <c r="C25" s="29" t="str">
        <f>IF($B$7=1,"km.",IF($B$7=2,"m.",""))</f>
        <v>km.</v>
      </c>
      <c r="D25" s="73" t="s">
        <v>23</v>
      </c>
      <c r="E25" s="24">
        <f>IF(B25&gt;B24,0,1)</f>
        <v>1</v>
      </c>
      <c r="F25" s="78">
        <f>IF(E25=0,"err","")</f>
      </c>
      <c r="G25" s="37" t="s">
        <v>51</v>
      </c>
      <c r="H25" s="13"/>
      <c r="I25" s="13"/>
      <c r="J25" s="38"/>
      <c r="K25" s="30"/>
      <c r="L25" s="25"/>
      <c r="M25" s="26"/>
      <c r="N25" s="27"/>
      <c r="O25" s="32"/>
      <c r="P25" s="84"/>
      <c r="Q25" s="30"/>
    </row>
    <row r="26" spans="1:17" ht="12.75" customHeight="1">
      <c r="A26" s="33" t="s">
        <v>52</v>
      </c>
      <c r="B26" s="1">
        <v>0</v>
      </c>
      <c r="C26" s="29" t="str">
        <f>IF($B$7=1,"km.",IF($B$7=2,"m.",""))</f>
        <v>km.</v>
      </c>
      <c r="D26" s="73" t="s">
        <v>23</v>
      </c>
      <c r="E26" s="24">
        <f>IF(B26&gt;B24,0,1)</f>
        <v>1</v>
      </c>
      <c r="F26" s="78">
        <f>IF(E26=0,"err","")</f>
      </c>
      <c r="G26" s="13"/>
      <c r="H26" s="13"/>
      <c r="I26" s="13"/>
      <c r="J26" s="13"/>
      <c r="K26" s="30"/>
      <c r="L26" s="25"/>
      <c r="M26" s="15"/>
      <c r="N26" s="31"/>
      <c r="O26" s="30"/>
      <c r="P26" s="84"/>
      <c r="Q26" s="30"/>
    </row>
    <row r="27" spans="1:17" ht="12.75" customHeight="1">
      <c r="A27" s="33" t="s">
        <v>53</v>
      </c>
      <c r="B27" s="1">
        <v>0</v>
      </c>
      <c r="C27" s="29" t="str">
        <f>IF($B$7=1,"km.",IF($B$7=2,"m.",""))</f>
        <v>km.</v>
      </c>
      <c r="D27" s="73" t="s">
        <v>23</v>
      </c>
      <c r="E27" s="24">
        <f>IF(B27&gt;B25,0,IF(B27&gt;B26,0,1))</f>
        <v>1</v>
      </c>
      <c r="F27" s="78">
        <f>IF(E27=0,"err","")</f>
      </c>
      <c r="G27" s="34">
        <v>9</v>
      </c>
      <c r="H27" s="15" t="s">
        <v>54</v>
      </c>
      <c r="I27" s="15"/>
      <c r="J27" s="5">
        <f>B25/B$24</f>
        <v>0.1401848591549296</v>
      </c>
      <c r="K27" s="30" t="s">
        <v>55</v>
      </c>
      <c r="L27" s="25">
        <v>0</v>
      </c>
      <c r="M27" s="26">
        <v>0.15</v>
      </c>
      <c r="N27" s="27">
        <v>0.3</v>
      </c>
      <c r="O27" s="32">
        <f>IF(J27&lt;M27,J27/M27*0.5,IF(J27&lt;N27,(J27-M27)/(N27-M27)/2+0.5,1))</f>
        <v>0.4672828638497653</v>
      </c>
      <c r="P27" s="84"/>
      <c r="Q27" s="30"/>
    </row>
    <row r="28" spans="1:17" ht="12.75" customHeight="1">
      <c r="A28" s="13"/>
      <c r="B28" s="97"/>
      <c r="C28" s="22"/>
      <c r="D28" s="75"/>
      <c r="E28" s="22"/>
      <c r="F28" s="80"/>
      <c r="G28" s="65">
        <v>10</v>
      </c>
      <c r="H28" s="66" t="s">
        <v>56</v>
      </c>
      <c r="I28" s="66"/>
      <c r="J28" s="67">
        <f>IF(B$26=0,0,B27/B$26)</f>
        <v>0</v>
      </c>
      <c r="K28" s="66" t="s">
        <v>55</v>
      </c>
      <c r="L28" s="25">
        <v>0</v>
      </c>
      <c r="M28" s="26">
        <v>0.25</v>
      </c>
      <c r="N28" s="27">
        <v>0.5</v>
      </c>
      <c r="O28" s="68">
        <f>IF(J28&lt;M28,J28/M28*0.5,IF(J28&lt;N28,(J28-M28)/(N28-M28)/2+0.5,1))</f>
        <v>0</v>
      </c>
      <c r="P28" s="85"/>
      <c r="Q28" s="69">
        <f>MAX(O27:O28)</f>
        <v>0.4672828638497653</v>
      </c>
    </row>
    <row r="29" spans="1:17" ht="12.75" customHeight="1">
      <c r="A29" s="23" t="s">
        <v>57</v>
      </c>
      <c r="B29" s="2"/>
      <c r="C29" s="29"/>
      <c r="D29" s="74"/>
      <c r="E29" s="29"/>
      <c r="F29" s="79"/>
      <c r="G29" s="13"/>
      <c r="H29" s="13"/>
      <c r="I29" s="13"/>
      <c r="J29" s="38"/>
      <c r="K29" s="30"/>
      <c r="L29" s="25"/>
      <c r="M29" s="26"/>
      <c r="N29" s="27"/>
      <c r="O29" s="32"/>
      <c r="P29" s="84"/>
      <c r="Q29" s="30"/>
    </row>
    <row r="30" spans="1:17" ht="12.75" customHeight="1">
      <c r="A30" s="33" t="s">
        <v>58</v>
      </c>
      <c r="B30" s="1">
        <v>0</v>
      </c>
      <c r="C30" s="29"/>
      <c r="D30" s="73" t="s">
        <v>23</v>
      </c>
      <c r="E30" s="24"/>
      <c r="F30" s="78"/>
      <c r="G30" s="19"/>
      <c r="H30" s="15"/>
      <c r="I30" s="15"/>
      <c r="J30" s="35"/>
      <c r="K30" s="30"/>
      <c r="L30" s="25"/>
      <c r="M30" s="26"/>
      <c r="N30" s="27"/>
      <c r="O30" s="32"/>
      <c r="P30" s="84"/>
      <c r="Q30" s="30"/>
    </row>
    <row r="31" spans="1:17" ht="12.75" customHeight="1">
      <c r="A31" s="33" t="s">
        <v>59</v>
      </c>
      <c r="B31" s="1">
        <v>0</v>
      </c>
      <c r="C31" s="29" t="str">
        <f>IF($B$7=1,"km.",IF($B$7=2,"m.",""))</f>
        <v>km.</v>
      </c>
      <c r="D31" s="73" t="s">
        <v>23</v>
      </c>
      <c r="E31" s="24">
        <f>IF(B31&gt;(B14+B15),0,1)</f>
        <v>1</v>
      </c>
      <c r="F31" s="78">
        <f>IF(E31=0,"err","")</f>
      </c>
      <c r="G31" s="23" t="s">
        <v>60</v>
      </c>
      <c r="H31" s="15"/>
      <c r="I31" s="15"/>
      <c r="J31" s="35"/>
      <c r="K31" s="30"/>
      <c r="L31" s="25"/>
      <c r="M31" s="26"/>
      <c r="N31" s="27"/>
      <c r="O31" s="32"/>
      <c r="P31" s="84"/>
      <c r="Q31" s="30"/>
    </row>
    <row r="32" spans="1:17" ht="12.75" customHeight="1">
      <c r="A32" s="33" t="s">
        <v>61</v>
      </c>
      <c r="B32" s="1">
        <v>0</v>
      </c>
      <c r="C32" s="29" t="str">
        <f>IF($B$7=1,"km.",IF($B$7=2,"m.",""))</f>
        <v>km.</v>
      </c>
      <c r="D32" s="73" t="s">
        <v>23</v>
      </c>
      <c r="E32" s="24">
        <f>IF(B32&gt;B24,0,1)</f>
        <v>1</v>
      </c>
      <c r="F32" s="78">
        <f>IF(E32=0,"err","")</f>
      </c>
      <c r="G32" s="13"/>
      <c r="H32" s="13"/>
      <c r="I32" s="13"/>
      <c r="J32" s="13"/>
      <c r="K32" s="30"/>
      <c r="L32" s="25"/>
      <c r="M32" s="15"/>
      <c r="N32" s="31"/>
      <c r="O32" s="30"/>
      <c r="P32" s="84"/>
      <c r="Q32" s="30"/>
    </row>
    <row r="33" spans="1:17" ht="12.75" customHeight="1">
      <c r="A33" s="15"/>
      <c r="B33" s="2"/>
      <c r="C33" s="29"/>
      <c r="D33" s="74"/>
      <c r="E33" s="29"/>
      <c r="F33" s="79"/>
      <c r="G33" s="34">
        <v>11</v>
      </c>
      <c r="H33" s="15" t="s">
        <v>62</v>
      </c>
      <c r="I33" s="15">
        <f>IF($B$7=1,1,IF($B$7=2,100,0))</f>
        <v>1</v>
      </c>
      <c r="J33" s="5">
        <f>B30/B8*I33</f>
        <v>0</v>
      </c>
      <c r="K33" s="30" t="s">
        <v>47</v>
      </c>
      <c r="L33" s="25">
        <v>0</v>
      </c>
      <c r="M33" s="26">
        <v>0.1</v>
      </c>
      <c r="N33" s="27">
        <v>0.4</v>
      </c>
      <c r="O33" s="32">
        <f>IF(J33&lt;M33,J33/M33*0.5,IF(J33&lt;N33,(J33-M33)/(N33-M33)/2+0.5,1))</f>
        <v>0</v>
      </c>
      <c r="P33" s="84"/>
      <c r="Q33" s="30"/>
    </row>
    <row r="34" spans="1:17" ht="12.75" customHeight="1">
      <c r="A34" s="23" t="s">
        <v>63</v>
      </c>
      <c r="B34" s="2"/>
      <c r="C34" s="29"/>
      <c r="D34" s="74"/>
      <c r="E34" s="29"/>
      <c r="F34" s="79"/>
      <c r="G34" s="39">
        <v>12</v>
      </c>
      <c r="H34" s="30" t="s">
        <v>64</v>
      </c>
      <c r="I34" s="15">
        <f>IF($B$7=1,1,IF($B$7=2,0.1,0))</f>
        <v>1</v>
      </c>
      <c r="J34" s="5">
        <f>B31/B8*I34</f>
        <v>0</v>
      </c>
      <c r="K34" s="30" t="s">
        <v>32</v>
      </c>
      <c r="L34" s="25">
        <v>0</v>
      </c>
      <c r="M34" s="26">
        <v>0.15</v>
      </c>
      <c r="N34" s="27">
        <v>0.4</v>
      </c>
      <c r="O34" s="32">
        <f>IF(J34&lt;M34,J34/M34*0.5,IF(J34&lt;N34,(J34-M34)/(N34-M34)/2+0.5,1))</f>
        <v>0</v>
      </c>
      <c r="P34" s="84">
        <f>AVERAGE(O34:O35)</f>
        <v>0</v>
      </c>
      <c r="Q34" s="30"/>
    </row>
    <row r="35" spans="1:17" ht="12.75" customHeight="1">
      <c r="A35" s="33" t="s">
        <v>65</v>
      </c>
      <c r="B35" s="1" t="s">
        <v>66</v>
      </c>
      <c r="C35" s="19"/>
      <c r="D35" s="76"/>
      <c r="E35" s="19"/>
      <c r="F35" s="81"/>
      <c r="G35" s="65">
        <v>13</v>
      </c>
      <c r="H35" s="66" t="s">
        <v>67</v>
      </c>
      <c r="I35" s="15">
        <f>IF($B$7=1,1,IF($B$7=2,0.1,0))</f>
        <v>1</v>
      </c>
      <c r="J35" s="67">
        <f>B32/B8*I35</f>
        <v>0</v>
      </c>
      <c r="K35" s="66" t="s">
        <v>32</v>
      </c>
      <c r="L35" s="105">
        <v>0</v>
      </c>
      <c r="M35" s="106">
        <v>0.15</v>
      </c>
      <c r="N35" s="107">
        <v>0.4</v>
      </c>
      <c r="O35" s="68">
        <f>IF(J35&lt;M35,J35/M35*0.5,IF(J35&lt;N35,(J35-M35)/(N35-M35)/2+0.5,1))</f>
        <v>0</v>
      </c>
      <c r="P35" s="85">
        <f>AVERAGE(O33:O35)</f>
        <v>0</v>
      </c>
      <c r="Q35" s="69">
        <f>MAX(O33,P34,P35)</f>
        <v>0</v>
      </c>
    </row>
    <row r="36" spans="1:14" ht="12.75" customHeight="1">
      <c r="A36" s="30" t="s">
        <v>68</v>
      </c>
      <c r="B36" s="3" t="s">
        <v>69</v>
      </c>
      <c r="C36" s="22"/>
      <c r="D36" s="75"/>
      <c r="E36" s="22"/>
      <c r="F36" s="80"/>
      <c r="G36" s="40"/>
      <c r="H36" s="19"/>
      <c r="I36" s="19"/>
      <c r="J36" s="41"/>
      <c r="M36" s="42"/>
      <c r="N36" s="42"/>
    </row>
    <row r="37" spans="1:17" ht="12.75" customHeight="1">
      <c r="A37" s="30" t="s">
        <v>70</v>
      </c>
      <c r="B37" s="3" t="s">
        <v>66</v>
      </c>
      <c r="C37" s="22"/>
      <c r="D37" s="75"/>
      <c r="E37" s="22"/>
      <c r="F37" s="80"/>
      <c r="G37" s="13"/>
      <c r="H37" s="13"/>
      <c r="I37" s="13"/>
      <c r="J37" s="42"/>
      <c r="K37" s="13"/>
      <c r="L37" s="13"/>
      <c r="M37" s="13"/>
      <c r="N37" s="13"/>
      <c r="O37" s="13"/>
      <c r="P37" s="88"/>
      <c r="Q37" s="13"/>
    </row>
    <row r="38" spans="1:17" ht="12.75" customHeight="1">
      <c r="A38" s="30" t="s">
        <v>71</v>
      </c>
      <c r="B38" s="3">
        <v>19</v>
      </c>
      <c r="C38" s="22"/>
      <c r="D38" s="75"/>
      <c r="E38" s="71">
        <f>MIN(E7:E32)</f>
        <v>1</v>
      </c>
      <c r="F38" s="82"/>
      <c r="G38" s="37">
        <f>IF(E$38=0,"Warning.","")</f>
      </c>
      <c r="H38" s="13"/>
      <c r="I38" s="13"/>
      <c r="J38" s="13"/>
      <c r="K38" s="13"/>
      <c r="L38" s="13"/>
      <c r="M38" s="13"/>
      <c r="N38" s="13"/>
      <c r="O38" s="13"/>
      <c r="P38" s="88"/>
      <c r="Q38" s="13"/>
    </row>
    <row r="39" spans="1:17" ht="12.75" customHeight="1">
      <c r="A39" s="33" t="s">
        <v>72</v>
      </c>
      <c r="B39" s="3">
        <v>35</v>
      </c>
      <c r="C39" s="22"/>
      <c r="D39" s="75"/>
      <c r="E39" s="22"/>
      <c r="F39" s="80"/>
      <c r="G39" s="13">
        <f>IF(E$38=0,"There is a problem in the raw data. See column 4 on data entry page.","")</f>
      </c>
      <c r="H39" s="13"/>
      <c r="I39" s="13"/>
      <c r="J39" s="13"/>
      <c r="K39" s="13"/>
      <c r="L39" s="13"/>
      <c r="M39" s="13"/>
      <c r="N39" s="13"/>
      <c r="O39" s="13"/>
      <c r="P39" s="88"/>
      <c r="Q39" s="13"/>
    </row>
    <row r="40" spans="1:14" ht="12.75" customHeight="1">
      <c r="A40" s="33" t="s">
        <v>73</v>
      </c>
      <c r="B40" s="3">
        <v>65</v>
      </c>
      <c r="C40" s="22"/>
      <c r="D40" s="75"/>
      <c r="E40" s="22"/>
      <c r="F40" s="80"/>
      <c r="G40" s="40"/>
      <c r="H40" s="19"/>
      <c r="I40" s="19"/>
      <c r="J40" s="41"/>
      <c r="M40" s="42"/>
      <c r="N40" s="42"/>
    </row>
    <row r="41" spans="1:14" ht="12.75" customHeight="1">
      <c r="A41" s="45" t="s">
        <v>74</v>
      </c>
      <c r="B41" s="1">
        <v>0</v>
      </c>
      <c r="C41" s="22"/>
      <c r="D41" s="75"/>
      <c r="E41" s="22"/>
      <c r="F41" s="80"/>
      <c r="G41" s="40"/>
      <c r="H41" s="22"/>
      <c r="I41" s="22"/>
      <c r="J41" s="41"/>
      <c r="M41" s="42"/>
      <c r="N41" s="42"/>
    </row>
    <row r="42" spans="1:14" ht="12.75" customHeight="1">
      <c r="A42" s="45" t="s">
        <v>75</v>
      </c>
      <c r="B42" s="98">
        <v>0</v>
      </c>
      <c r="C42" s="22"/>
      <c r="D42" s="75"/>
      <c r="E42" s="22"/>
      <c r="F42" s="80"/>
      <c r="G42" s="43"/>
      <c r="H42" s="44"/>
      <c r="I42" s="44"/>
      <c r="J42" s="41"/>
      <c r="M42" s="42"/>
      <c r="N42" s="42"/>
    </row>
    <row r="43" spans="1:14" ht="12.75" customHeight="1">
      <c r="A43" s="45" t="s">
        <v>76</v>
      </c>
      <c r="B43" s="95">
        <v>3</v>
      </c>
      <c r="C43" s="22"/>
      <c r="D43" s="75"/>
      <c r="E43" s="22"/>
      <c r="F43" s="80"/>
      <c r="G43" s="46"/>
      <c r="H43" s="47"/>
      <c r="I43" s="47"/>
      <c r="J43" s="41"/>
      <c r="M43" s="42"/>
      <c r="N43" s="42"/>
    </row>
    <row r="44" spans="1:14" ht="12.75" customHeight="1">
      <c r="A44" s="45" t="s">
        <v>77</v>
      </c>
      <c r="B44" s="95" t="s">
        <v>78</v>
      </c>
      <c r="C44" s="22"/>
      <c r="D44" s="75"/>
      <c r="E44" s="22"/>
      <c r="F44" s="80"/>
      <c r="G44" s="46"/>
      <c r="H44" s="43"/>
      <c r="I44" s="43"/>
      <c r="J44" s="41"/>
      <c r="M44" s="42"/>
      <c r="N44" s="42"/>
    </row>
    <row r="45" spans="1:14" ht="12.75" customHeight="1">
      <c r="A45" s="30"/>
      <c r="B45" s="51"/>
      <c r="C45" s="22"/>
      <c r="D45" s="22"/>
      <c r="E45" s="22"/>
      <c r="F45" s="22"/>
      <c r="G45" s="40"/>
      <c r="H45" s="48"/>
      <c r="I45" s="48"/>
      <c r="J45" s="49"/>
      <c r="M45" s="42"/>
      <c r="N45" s="42"/>
    </row>
    <row r="46" spans="1:14" ht="12.75" customHeight="1">
      <c r="A46" s="13"/>
      <c r="B46" s="56"/>
      <c r="C46" s="22"/>
      <c r="D46" s="22"/>
      <c r="E46" s="22"/>
      <c r="F46" s="22"/>
      <c r="G46" s="40"/>
      <c r="H46" s="50"/>
      <c r="I46" s="50"/>
      <c r="J46" s="41"/>
      <c r="M46" s="42"/>
      <c r="N46" s="42"/>
    </row>
    <row r="47" spans="1:14" ht="12.75" customHeight="1">
      <c r="A47" s="52" t="s">
        <v>79</v>
      </c>
      <c r="B47" s="53"/>
      <c r="C47" s="22"/>
      <c r="D47" s="22"/>
      <c r="E47" s="22"/>
      <c r="F47" s="22"/>
      <c r="G47" s="40"/>
      <c r="H47" s="50"/>
      <c r="I47" s="50"/>
      <c r="J47" s="41"/>
      <c r="M47" s="42"/>
      <c r="N47" s="42"/>
    </row>
    <row r="48" spans="1:13" ht="12.75" customHeight="1">
      <c r="A48" s="15" t="s">
        <v>80</v>
      </c>
      <c r="B48" s="22"/>
      <c r="C48" s="40"/>
      <c r="D48" s="40"/>
      <c r="E48" s="40"/>
      <c r="F48" s="40"/>
      <c r="G48" s="52" t="s">
        <v>79</v>
      </c>
      <c r="H48" s="99"/>
      <c r="I48" s="41"/>
      <c r="J48" s="12"/>
      <c r="L48" s="42"/>
      <c r="M48" s="42"/>
    </row>
    <row r="49" spans="1:14" ht="12.75" customHeight="1">
      <c r="A49" s="30" t="s">
        <v>81</v>
      </c>
      <c r="B49" s="22"/>
      <c r="C49" s="54"/>
      <c r="D49" s="54"/>
      <c r="E49" s="54"/>
      <c r="F49" s="54"/>
      <c r="G49" s="13"/>
      <c r="H49" s="15" t="s">
        <v>82</v>
      </c>
      <c r="I49" s="19"/>
      <c r="J49" s="41"/>
      <c r="M49" s="42"/>
      <c r="N49" s="42"/>
    </row>
    <row r="50" spans="1:14" ht="12.75" customHeight="1">
      <c r="A50" s="55" t="s">
        <v>83</v>
      </c>
      <c r="C50" s="13"/>
      <c r="D50" s="13"/>
      <c r="E50" s="13"/>
      <c r="F50" s="13"/>
      <c r="G50" s="13"/>
      <c r="H50" s="30" t="s">
        <v>84</v>
      </c>
      <c r="I50" s="53"/>
      <c r="J50" s="16"/>
      <c r="M50" s="42"/>
      <c r="N50" s="42"/>
    </row>
    <row r="51" spans="1:14" ht="12.75" customHeight="1">
      <c r="A51" s="13"/>
      <c r="B51" s="13"/>
      <c r="C51" s="13"/>
      <c r="D51" s="13"/>
      <c r="E51" s="13"/>
      <c r="F51" s="13"/>
      <c r="G51" s="13"/>
      <c r="H51" s="30" t="s">
        <v>85</v>
      </c>
      <c r="I51" s="53"/>
      <c r="J51" s="16"/>
      <c r="M51" s="42"/>
      <c r="N51" s="42"/>
    </row>
    <row r="52" spans="1:10" ht="11.25" customHeight="1">
      <c r="A52" s="12" t="s">
        <v>86</v>
      </c>
      <c r="B52" s="13"/>
      <c r="C52" s="83"/>
      <c r="D52" s="13"/>
      <c r="E52" s="13"/>
      <c r="F52" s="13"/>
      <c r="G52" s="54"/>
      <c r="H52" s="15" t="s">
        <v>87</v>
      </c>
      <c r="I52" s="53"/>
      <c r="J52" s="16"/>
    </row>
    <row r="53" spans="1:10" ht="11.25" customHeight="1">
      <c r="A53" s="13"/>
      <c r="B53" s="13"/>
      <c r="C53" s="13"/>
      <c r="D53" s="13"/>
      <c r="E53" s="13"/>
      <c r="F53" s="13"/>
      <c r="G53" s="54"/>
      <c r="H53" s="53"/>
      <c r="I53" s="53"/>
      <c r="J53" s="16"/>
    </row>
    <row r="54" spans="2:10" ht="12.75">
      <c r="B54" s="53"/>
      <c r="C54" s="53"/>
      <c r="D54" s="53"/>
      <c r="E54" s="53"/>
      <c r="F54" s="53"/>
      <c r="G54" s="16"/>
      <c r="H54" s="53"/>
      <c r="I54" s="53"/>
      <c r="J54" s="16"/>
    </row>
    <row r="55" spans="2:10" ht="12.75">
      <c r="B55" s="53"/>
      <c r="C55" s="53"/>
      <c r="D55" s="53"/>
      <c r="E55" s="53"/>
      <c r="F55" s="53"/>
      <c r="G55" s="16"/>
      <c r="H55" s="53"/>
      <c r="I55" s="53"/>
      <c r="J55" s="16"/>
    </row>
    <row r="56" spans="2:10" ht="12.75">
      <c r="B56" s="53"/>
      <c r="C56" s="53"/>
      <c r="D56" s="53"/>
      <c r="E56" s="53"/>
      <c r="F56" s="53"/>
      <c r="G56" s="16"/>
      <c r="H56" s="53"/>
      <c r="I56" s="53"/>
      <c r="J56" s="16"/>
    </row>
  </sheetData>
  <sheetProtection password="CA59" sheet="1" objects="1"/>
  <printOptions/>
  <pageMargins left="1.062992125984252" right="0.5905511811023623" top="0.7874015748031497" bottom="0.7874015748031497" header="0.5" footer="0.5"/>
  <pageSetup fitToHeight="1" fitToWidth="1" horizontalDpi="300" verticalDpi="300" orientation="landscape" scale="73" r:id="rId1"/>
  <headerFooter alignWithMargins="0">
    <oddHeader>&amp;R&amp;8&amp;F, &amp;T, &amp;D, p.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Johnston</dc:creator>
  <cp:keywords/>
  <dc:description/>
  <cp:lastModifiedBy>McElhanney</cp:lastModifiedBy>
  <cp:lastPrinted>1997-07-13T03:20:31Z</cp:lastPrinted>
  <dcterms:created xsi:type="dcterms:W3CDTF">1996-07-29T05:55:01Z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