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0" yWindow="225" windowWidth="19590" windowHeight="9735" activeTab="2"/>
  </bookViews>
  <sheets>
    <sheet name="Instructions - IDIR Users" sheetId="6" r:id="rId1"/>
    <sheet name="Instructions - Public Users" sheetId="5" r:id="rId2"/>
    <sheet name="Scanned Map Index 2012-03-07" sheetId="4" r:id="rId3"/>
    <sheet name="Sheet1" sheetId="1" r:id="rId4"/>
    <sheet name="Sheet2" sheetId="2" r:id="rId5"/>
    <sheet name="Sheet3" sheetId="3" r:id="rId6"/>
  </sheets>
  <definedNames>
    <definedName name="_xlnm._FilterDatabase" localSheetId="2" hidden="1">'Scanned Map Index 2012-03-07'!$A$1:$AF$3236</definedName>
  </definedNames>
  <calcPr calcId="125725"/>
</workbook>
</file>

<file path=xl/calcChain.xml><?xml version="1.0" encoding="utf-8"?>
<calcChain xmlns="http://schemas.openxmlformats.org/spreadsheetml/2006/main">
  <c r="R3236" i="4"/>
  <c r="R3235"/>
  <c r="R3234"/>
  <c r="R3233"/>
  <c r="R3232"/>
  <c r="R3231"/>
  <c r="R3230"/>
  <c r="R3229"/>
  <c r="R3228"/>
  <c r="R3227"/>
  <c r="R3226"/>
  <c r="R3225"/>
  <c r="R3224"/>
  <c r="R3223"/>
  <c r="R3222"/>
  <c r="R3221"/>
  <c r="R3220"/>
  <c r="R3219"/>
  <c r="R3218"/>
  <c r="R3217"/>
  <c r="R3216"/>
  <c r="R3215"/>
  <c r="R3214"/>
  <c r="R3213"/>
  <c r="R3212"/>
  <c r="R3211"/>
  <c r="R3210"/>
  <c r="R3209"/>
  <c r="R3208"/>
  <c r="R3207"/>
  <c r="R3206"/>
  <c r="R3205"/>
  <c r="R3204"/>
  <c r="R3203"/>
  <c r="R3202"/>
  <c r="R3201"/>
  <c r="R3200"/>
  <c r="R3199"/>
  <c r="R3198"/>
  <c r="R3197"/>
  <c r="R3196"/>
  <c r="R3195"/>
  <c r="R3194"/>
  <c r="R3193"/>
  <c r="R3192"/>
  <c r="R3191"/>
  <c r="R3190"/>
  <c r="R3189"/>
  <c r="R3188"/>
  <c r="R3187"/>
  <c r="R3186"/>
  <c r="R3185"/>
  <c r="R3184"/>
  <c r="R3183"/>
  <c r="R3182"/>
  <c r="R3181"/>
  <c r="R3180"/>
  <c r="R3179"/>
  <c r="R3178"/>
  <c r="R3177"/>
  <c r="R3176"/>
  <c r="R3175"/>
  <c r="R3174"/>
  <c r="R3173"/>
  <c r="R3172"/>
  <c r="R3171"/>
  <c r="R3170"/>
  <c r="R3169"/>
  <c r="R3168"/>
  <c r="R3167"/>
  <c r="R3166"/>
  <c r="R3165"/>
  <c r="R3164"/>
  <c r="R3163"/>
  <c r="R3162"/>
  <c r="R3161"/>
  <c r="R3160"/>
  <c r="R3159"/>
  <c r="R3158"/>
  <c r="R3157"/>
  <c r="R3156"/>
  <c r="R3155"/>
  <c r="R3154"/>
  <c r="R3153"/>
  <c r="R3152"/>
  <c r="R3151"/>
  <c r="R3150"/>
  <c r="R3149"/>
  <c r="R3148"/>
  <c r="R3147"/>
  <c r="R3146"/>
  <c r="R3145"/>
  <c r="R3144"/>
  <c r="R3143"/>
  <c r="R3142"/>
  <c r="R3141"/>
  <c r="R3140"/>
  <c r="R3139"/>
  <c r="R3138"/>
  <c r="R3137"/>
  <c r="R3136"/>
  <c r="R3135"/>
  <c r="R3134"/>
  <c r="R3133"/>
  <c r="R3132"/>
  <c r="R3131"/>
  <c r="R3130"/>
  <c r="R3129"/>
  <c r="R3128"/>
  <c r="R3127"/>
  <c r="R3126"/>
  <c r="R3125"/>
  <c r="R3124"/>
  <c r="R3123"/>
  <c r="R3122"/>
  <c r="R3121"/>
  <c r="R3120"/>
  <c r="R3119"/>
  <c r="R3118"/>
  <c r="R3117"/>
  <c r="R3116"/>
  <c r="R3115"/>
  <c r="R3114"/>
  <c r="R3113"/>
  <c r="R3112"/>
  <c r="R3111"/>
  <c r="R3110"/>
  <c r="R3109"/>
  <c r="R3108"/>
  <c r="R3107"/>
  <c r="R3106"/>
  <c r="R3105"/>
  <c r="R3104"/>
  <c r="R3103"/>
  <c r="R3102"/>
  <c r="R3101"/>
  <c r="R3100"/>
  <c r="R3099"/>
  <c r="R3098"/>
  <c r="R3097"/>
  <c r="R3096"/>
  <c r="R3095"/>
  <c r="R3094"/>
  <c r="R3093"/>
  <c r="R3092"/>
  <c r="R3091"/>
  <c r="R3090"/>
  <c r="R3089"/>
  <c r="R3088"/>
  <c r="R3087"/>
  <c r="R3086"/>
  <c r="R3085"/>
  <c r="R3084"/>
  <c r="R3083"/>
  <c r="R3082"/>
  <c r="R3081"/>
  <c r="R3080"/>
  <c r="R3079"/>
  <c r="R3078"/>
  <c r="R3077"/>
  <c r="R3076"/>
  <c r="R3075"/>
  <c r="R3074"/>
  <c r="R3073"/>
  <c r="R3072"/>
  <c r="R3071"/>
  <c r="R3070"/>
  <c r="R3069"/>
  <c r="R3068"/>
  <c r="R3067"/>
  <c r="R3066"/>
  <c r="R3065"/>
  <c r="R3064"/>
  <c r="R3063"/>
  <c r="R3062"/>
  <c r="R3061"/>
  <c r="R3060"/>
  <c r="R3059"/>
  <c r="R3058"/>
  <c r="R3057"/>
  <c r="R3056"/>
  <c r="R3055"/>
  <c r="R3054"/>
  <c r="R3053"/>
  <c r="R3052"/>
  <c r="R3051"/>
  <c r="R3050"/>
  <c r="R3049"/>
  <c r="R3048"/>
  <c r="R3047"/>
  <c r="R3046"/>
  <c r="R3045"/>
  <c r="R3044"/>
  <c r="R3043"/>
  <c r="R3042"/>
  <c r="R3041"/>
  <c r="R3040"/>
  <c r="R3039"/>
  <c r="R3038"/>
  <c r="R3037"/>
  <c r="R3036"/>
  <c r="R3035"/>
  <c r="R3034"/>
  <c r="R3033"/>
  <c r="R3032"/>
  <c r="R3031"/>
  <c r="R3030"/>
  <c r="R3029"/>
  <c r="R3028"/>
  <c r="R3027"/>
  <c r="R3026"/>
  <c r="R3025"/>
  <c r="R3024"/>
  <c r="R3023"/>
  <c r="R3022"/>
  <c r="R3021"/>
  <c r="R3020"/>
  <c r="R3019"/>
  <c r="R3018"/>
  <c r="R3017"/>
  <c r="R3016"/>
  <c r="R3015"/>
  <c r="R3014"/>
  <c r="R3013"/>
  <c r="R3012"/>
  <c r="R3011"/>
  <c r="R3010"/>
  <c r="R3009"/>
  <c r="R3008"/>
  <c r="R3007"/>
  <c r="R3006"/>
  <c r="R3005"/>
  <c r="R3004"/>
  <c r="R3003"/>
  <c r="R3002"/>
  <c r="R3001"/>
  <c r="R3000"/>
  <c r="R2999"/>
  <c r="R2998"/>
  <c r="R2997"/>
  <c r="R2996"/>
  <c r="R2995"/>
  <c r="R2994"/>
  <c r="R2993"/>
  <c r="R2992"/>
  <c r="R2991"/>
  <c r="R2990"/>
  <c r="R2989"/>
  <c r="R2988"/>
  <c r="R2987"/>
  <c r="R2986"/>
  <c r="R2985"/>
  <c r="R2984"/>
  <c r="R2983"/>
  <c r="R2982"/>
  <c r="R2981"/>
  <c r="R2980"/>
  <c r="R2979"/>
  <c r="R2978"/>
  <c r="R2977"/>
  <c r="R2976"/>
  <c r="R2975"/>
  <c r="R2974"/>
  <c r="R2973"/>
  <c r="R2972"/>
  <c r="R2971"/>
  <c r="R2970"/>
  <c r="R2969"/>
  <c r="R2968"/>
  <c r="R2967"/>
  <c r="R2966"/>
  <c r="R2965"/>
  <c r="R2964"/>
  <c r="R2963"/>
  <c r="R2962"/>
  <c r="R2961"/>
  <c r="R2960"/>
  <c r="R2959"/>
  <c r="R2958"/>
  <c r="R2957"/>
  <c r="R2956"/>
  <c r="R2955"/>
  <c r="R2954"/>
  <c r="R2953"/>
  <c r="R2952"/>
  <c r="R2951"/>
  <c r="R2950"/>
  <c r="R2949"/>
  <c r="R2948"/>
  <c r="R2947"/>
  <c r="R2946"/>
  <c r="R2945"/>
  <c r="R2944"/>
  <c r="R2943"/>
  <c r="R2942"/>
  <c r="R2941"/>
  <c r="R2940"/>
  <c r="R2939"/>
  <c r="R2938"/>
  <c r="R2937"/>
  <c r="R2936"/>
  <c r="R2935"/>
  <c r="R2934"/>
  <c r="R2933"/>
  <c r="R2932"/>
  <c r="R2931"/>
  <c r="R2930"/>
  <c r="R2929"/>
  <c r="R2928"/>
  <c r="R2927"/>
  <c r="R2926"/>
  <c r="R2925"/>
  <c r="R2924"/>
  <c r="R2923"/>
  <c r="R2922"/>
  <c r="R2921"/>
  <c r="R2920"/>
  <c r="R2919"/>
  <c r="R2918"/>
  <c r="R2917"/>
  <c r="R2916"/>
  <c r="R2915"/>
  <c r="R2914"/>
  <c r="R2913"/>
  <c r="R2912"/>
  <c r="R2911"/>
  <c r="R2910"/>
  <c r="R2909"/>
  <c r="R2908"/>
  <c r="R2907"/>
  <c r="R2906"/>
  <c r="R2905"/>
  <c r="R2904"/>
  <c r="R2903"/>
  <c r="R2902"/>
  <c r="R2901"/>
  <c r="R2900"/>
  <c r="R2899"/>
  <c r="R2898"/>
  <c r="R2897"/>
  <c r="R2896"/>
  <c r="R2895"/>
  <c r="R2894"/>
  <c r="R2893"/>
  <c r="R2892"/>
  <c r="R2891"/>
  <c r="R2890"/>
  <c r="R2889"/>
  <c r="R2888"/>
  <c r="R2887"/>
  <c r="R2886"/>
  <c r="R2885"/>
  <c r="R2884"/>
  <c r="R2883"/>
  <c r="R2882"/>
  <c r="R2881"/>
  <c r="R2880"/>
  <c r="R2879"/>
  <c r="R2878"/>
  <c r="R2877"/>
  <c r="R2876"/>
  <c r="R2875"/>
  <c r="R2874"/>
  <c r="R2873"/>
  <c r="R2872"/>
  <c r="R2871"/>
  <c r="R2870"/>
  <c r="R2869"/>
  <c r="R2868"/>
  <c r="R2867"/>
  <c r="R2866"/>
  <c r="R2865"/>
  <c r="R2864"/>
  <c r="R2863"/>
  <c r="R2862"/>
  <c r="R2861"/>
  <c r="R2860"/>
  <c r="R2859"/>
  <c r="R2858"/>
  <c r="R2857"/>
  <c r="R2856"/>
  <c r="R2855"/>
  <c r="R2854"/>
  <c r="R2853"/>
  <c r="R2852"/>
  <c r="R2851"/>
  <c r="R2850"/>
  <c r="R2849"/>
  <c r="R2848"/>
  <c r="R2847"/>
  <c r="R2846"/>
  <c r="R2845"/>
  <c r="R2844"/>
  <c r="R2843"/>
  <c r="R2842"/>
  <c r="R2841"/>
  <c r="R2840"/>
  <c r="R2839"/>
  <c r="R2838"/>
  <c r="R2837"/>
  <c r="R2836"/>
  <c r="R2835"/>
  <c r="R2834"/>
  <c r="R2833"/>
  <c r="R2832"/>
  <c r="R2831"/>
  <c r="R2830"/>
  <c r="R2829"/>
  <c r="R2828"/>
  <c r="R2827"/>
  <c r="R2826"/>
  <c r="R2825"/>
  <c r="R2824"/>
  <c r="R2823"/>
  <c r="R2822"/>
  <c r="R2821"/>
  <c r="R2820"/>
  <c r="R2819"/>
  <c r="R2818"/>
  <c r="R2817"/>
  <c r="R2816"/>
  <c r="R2815"/>
  <c r="R2814"/>
  <c r="R2813"/>
  <c r="R2812"/>
  <c r="R2811"/>
  <c r="R2810"/>
  <c r="R2809"/>
  <c r="R2808"/>
  <c r="R2807"/>
  <c r="R2806"/>
  <c r="R2805"/>
  <c r="R2804"/>
  <c r="R2803"/>
  <c r="R2802"/>
  <c r="R2801"/>
  <c r="R2800"/>
  <c r="R2799"/>
  <c r="R2798"/>
  <c r="R2797"/>
  <c r="R2796"/>
  <c r="R2795"/>
  <c r="R2794"/>
  <c r="R2793"/>
  <c r="R2792"/>
  <c r="R2791"/>
  <c r="R2790"/>
  <c r="R2789"/>
  <c r="R2788"/>
  <c r="R2787"/>
  <c r="R2786"/>
  <c r="R2785"/>
  <c r="R2784"/>
  <c r="R2783"/>
  <c r="R2782"/>
  <c r="R2781"/>
  <c r="R2780"/>
  <c r="R2779"/>
  <c r="R2778"/>
  <c r="R2777"/>
  <c r="R2776"/>
  <c r="R2775"/>
  <c r="R2774"/>
  <c r="R2773"/>
  <c r="R2772"/>
  <c r="R2771"/>
  <c r="R2770"/>
  <c r="R2769"/>
  <c r="R2768"/>
  <c r="R2767"/>
  <c r="R2766"/>
  <c r="R2765"/>
  <c r="R2764"/>
  <c r="R2763"/>
  <c r="R2762"/>
  <c r="R2761"/>
  <c r="R2760"/>
  <c r="R2759"/>
  <c r="R2758"/>
  <c r="R2757"/>
  <c r="R2756"/>
  <c r="R2755"/>
  <c r="R2754"/>
  <c r="R2753"/>
  <c r="R2752"/>
  <c r="R2751"/>
  <c r="R2750"/>
  <c r="R2749"/>
  <c r="R2748"/>
  <c r="R2747"/>
  <c r="R2746"/>
  <c r="R2745"/>
  <c r="R2744"/>
  <c r="R2743"/>
  <c r="R2742"/>
  <c r="R2741"/>
  <c r="R2740"/>
  <c r="R2739"/>
  <c r="R2738"/>
  <c r="R2737"/>
  <c r="R2736"/>
  <c r="R2735"/>
  <c r="R2734"/>
  <c r="R2733"/>
  <c r="R2732"/>
  <c r="R2731"/>
  <c r="R2730"/>
  <c r="R2729"/>
  <c r="R2728"/>
  <c r="R2727"/>
  <c r="R2726"/>
  <c r="R2725"/>
  <c r="R2724"/>
  <c r="R2723"/>
  <c r="R2722"/>
  <c r="R2721"/>
  <c r="R2720"/>
  <c r="R2719"/>
  <c r="R2718"/>
  <c r="R2717"/>
  <c r="R2716"/>
  <c r="R2715"/>
  <c r="R2714"/>
  <c r="R2713"/>
  <c r="R2712"/>
  <c r="R2711"/>
  <c r="R2710"/>
  <c r="R2709"/>
  <c r="R2708"/>
  <c r="R2707"/>
  <c r="R2706"/>
  <c r="R2705"/>
  <c r="R2704"/>
  <c r="R2703"/>
  <c r="R2702"/>
  <c r="R2701"/>
  <c r="R2700"/>
  <c r="R2699"/>
  <c r="R2698"/>
  <c r="R2697"/>
  <c r="R2696"/>
  <c r="R2695"/>
  <c r="R2694"/>
  <c r="R2693"/>
  <c r="R2692"/>
  <c r="R2691"/>
  <c r="R2690"/>
  <c r="R2689"/>
  <c r="R2688"/>
  <c r="R2687"/>
  <c r="R2686"/>
  <c r="R2685"/>
  <c r="R2684"/>
  <c r="R2683"/>
  <c r="R2682"/>
  <c r="R2681"/>
  <c r="R2680"/>
  <c r="R2679"/>
  <c r="R2678"/>
  <c r="R2677"/>
  <c r="R2676"/>
  <c r="R2675"/>
  <c r="R2674"/>
  <c r="R2673"/>
  <c r="R2672"/>
  <c r="R2671"/>
  <c r="R2670"/>
  <c r="R2669"/>
  <c r="R2668"/>
  <c r="R2667"/>
  <c r="R2666"/>
  <c r="R2665"/>
  <c r="R2664"/>
  <c r="R2663"/>
  <c r="R2662"/>
  <c r="R2661"/>
  <c r="R2660"/>
  <c r="R2659"/>
  <c r="R2658"/>
  <c r="R2657"/>
  <c r="R2656"/>
  <c r="R2655"/>
  <c r="R2654"/>
  <c r="R2653"/>
  <c r="R2652"/>
  <c r="R2651"/>
  <c r="R2650"/>
  <c r="R2649"/>
  <c r="R2648"/>
  <c r="R2647"/>
  <c r="R2646"/>
  <c r="R2645"/>
  <c r="R2644"/>
  <c r="R2643"/>
  <c r="R2642"/>
  <c r="R2641"/>
  <c r="R2640"/>
  <c r="R2639"/>
  <c r="R2638"/>
  <c r="R2637"/>
  <c r="R2636"/>
  <c r="R2635"/>
  <c r="R2634"/>
  <c r="R2633"/>
  <c r="R2632"/>
  <c r="R2631"/>
  <c r="R2630"/>
  <c r="R2629"/>
  <c r="R2628"/>
  <c r="R2627"/>
  <c r="R2626"/>
  <c r="R2625"/>
  <c r="R2624"/>
  <c r="R2623"/>
  <c r="R2622"/>
  <c r="R2621"/>
  <c r="R2620"/>
  <c r="R2619"/>
  <c r="R2618"/>
  <c r="R2617"/>
  <c r="R2616"/>
  <c r="R2615"/>
  <c r="R2614"/>
  <c r="R2613"/>
  <c r="R2612"/>
  <c r="R2611"/>
  <c r="R2610"/>
  <c r="R2609"/>
  <c r="R2608"/>
  <c r="R2607"/>
  <c r="R2606"/>
  <c r="R2605"/>
  <c r="R2604"/>
  <c r="R2603"/>
  <c r="R2602"/>
  <c r="R2601"/>
  <c r="R2600"/>
  <c r="R2599"/>
  <c r="R2598"/>
  <c r="R2597"/>
  <c r="R2596"/>
  <c r="R2595"/>
  <c r="R2594"/>
  <c r="R2593"/>
  <c r="R2592"/>
  <c r="R2591"/>
  <c r="R2590"/>
  <c r="R2589"/>
  <c r="R2588"/>
  <c r="R2587"/>
  <c r="R2586"/>
  <c r="R2585"/>
  <c r="R2584"/>
  <c r="R2583"/>
  <c r="R2582"/>
  <c r="R2581"/>
  <c r="R2580"/>
  <c r="R2579"/>
  <c r="R2578"/>
  <c r="R2577"/>
  <c r="R2576"/>
  <c r="R2575"/>
  <c r="R2574"/>
  <c r="R2573"/>
  <c r="R2572"/>
  <c r="R2571"/>
  <c r="R2570"/>
  <c r="R2569"/>
  <c r="R2568"/>
  <c r="R2567"/>
  <c r="R2566"/>
  <c r="R2565"/>
  <c r="R2564"/>
  <c r="R2563"/>
  <c r="R2562"/>
  <c r="R2561"/>
  <c r="R2560"/>
  <c r="R2559"/>
  <c r="R2558"/>
  <c r="R2557"/>
  <c r="R2556"/>
  <c r="R2555"/>
  <c r="R2554"/>
  <c r="R2553"/>
  <c r="R2552"/>
  <c r="R2551"/>
  <c r="R2550"/>
  <c r="R2549"/>
  <c r="R2548"/>
  <c r="R2547"/>
  <c r="R2546"/>
  <c r="R2545"/>
  <c r="R2544"/>
  <c r="R2543"/>
  <c r="R2542"/>
  <c r="R2541"/>
  <c r="R2540"/>
  <c r="R2539"/>
  <c r="R2538"/>
  <c r="R2537"/>
  <c r="R2536"/>
  <c r="R2535"/>
  <c r="R2534"/>
  <c r="R2533"/>
  <c r="R2532"/>
  <c r="R2531"/>
  <c r="R2530"/>
  <c r="R2529"/>
  <c r="R2528"/>
  <c r="R2527"/>
  <c r="R2526"/>
  <c r="R2525"/>
  <c r="R2524"/>
  <c r="R2523"/>
  <c r="R2522"/>
  <c r="R2521"/>
  <c r="R2520"/>
  <c r="R2519"/>
  <c r="R2518"/>
  <c r="R2517"/>
  <c r="R2516"/>
  <c r="R2515"/>
  <c r="R2514"/>
  <c r="R2513"/>
  <c r="R2512"/>
  <c r="R2511"/>
  <c r="R2510"/>
  <c r="R2509"/>
  <c r="R2508"/>
  <c r="R2507"/>
  <c r="R2506"/>
  <c r="R2505"/>
  <c r="R2504"/>
  <c r="R2503"/>
  <c r="R2502"/>
  <c r="R2501"/>
  <c r="R2500"/>
  <c r="R2499"/>
  <c r="R2498"/>
  <c r="R2497"/>
  <c r="R2496"/>
  <c r="R2495"/>
  <c r="R2494"/>
  <c r="R2493"/>
  <c r="R2492"/>
  <c r="R2491"/>
  <c r="R2490"/>
  <c r="R2489"/>
  <c r="R2488"/>
  <c r="R2487"/>
  <c r="R2486"/>
  <c r="R2485"/>
  <c r="R2484"/>
  <c r="R2483"/>
  <c r="R2482"/>
  <c r="R2481"/>
  <c r="R2480"/>
  <c r="R2479"/>
  <c r="R2478"/>
  <c r="R2477"/>
  <c r="R2476"/>
  <c r="R2475"/>
  <c r="R2474"/>
  <c r="R2473"/>
  <c r="R2472"/>
  <c r="R2471"/>
  <c r="R2470"/>
  <c r="R2469"/>
  <c r="R2468"/>
  <c r="R2467"/>
  <c r="R2466"/>
  <c r="R2465"/>
  <c r="R2464"/>
  <c r="R2463"/>
  <c r="R2462"/>
  <c r="R2461"/>
  <c r="R2460"/>
  <c r="R2459"/>
  <c r="R2458"/>
  <c r="R2457"/>
  <c r="R2456"/>
  <c r="R2455"/>
  <c r="R2454"/>
  <c r="R2453"/>
  <c r="R2452"/>
  <c r="R2451"/>
  <c r="R2450"/>
  <c r="R2449"/>
  <c r="R2448"/>
  <c r="R2447"/>
  <c r="R2446"/>
  <c r="R2445"/>
  <c r="R2444"/>
  <c r="R2443"/>
  <c r="R2442"/>
  <c r="R2441"/>
  <c r="R2440"/>
  <c r="R2439"/>
  <c r="R2438"/>
  <c r="R2437"/>
  <c r="R2436"/>
  <c r="R2435"/>
  <c r="R2434"/>
  <c r="R2433"/>
  <c r="R2432"/>
  <c r="R2431"/>
  <c r="R2430"/>
  <c r="R2429"/>
  <c r="R2428"/>
  <c r="R2427"/>
  <c r="R2426"/>
  <c r="R2425"/>
  <c r="R2424"/>
  <c r="R2423"/>
  <c r="R2422"/>
  <c r="R2421"/>
  <c r="R2420"/>
  <c r="R2419"/>
  <c r="R2418"/>
  <c r="R2417"/>
  <c r="R2416"/>
  <c r="R2415"/>
  <c r="R2414"/>
  <c r="R2413"/>
  <c r="R2412"/>
  <c r="R2411"/>
  <c r="R2410"/>
  <c r="R2409"/>
  <c r="R2408"/>
  <c r="R2407"/>
  <c r="R2406"/>
  <c r="R2405"/>
  <c r="R2404"/>
  <c r="R2403"/>
  <c r="R2402"/>
  <c r="R2401"/>
  <c r="R2400"/>
  <c r="R2399"/>
  <c r="R2398"/>
  <c r="R2397"/>
  <c r="R2396"/>
  <c r="R2395"/>
  <c r="R2394"/>
  <c r="R2393"/>
  <c r="R2392"/>
  <c r="R2391"/>
  <c r="R2390"/>
  <c r="R2389"/>
  <c r="R2388"/>
  <c r="R2387"/>
  <c r="R2386"/>
  <c r="R2385"/>
  <c r="R2384"/>
  <c r="R2383"/>
  <c r="R2382"/>
  <c r="R2381"/>
  <c r="R2380"/>
  <c r="R2379"/>
  <c r="R2378"/>
  <c r="R2377"/>
  <c r="R2376"/>
  <c r="R2375"/>
  <c r="R2374"/>
  <c r="R2373"/>
  <c r="R2372"/>
  <c r="R2371"/>
  <c r="R2370"/>
  <c r="R2369"/>
  <c r="R2368"/>
  <c r="R2367"/>
  <c r="R2366"/>
  <c r="R2365"/>
  <c r="R2364"/>
  <c r="R2363"/>
  <c r="R2362"/>
  <c r="R2361"/>
  <c r="R2360"/>
  <c r="R2359"/>
  <c r="R2358"/>
  <c r="R2357"/>
  <c r="R2356"/>
  <c r="R2355"/>
  <c r="R2354"/>
  <c r="R2353"/>
  <c r="R2352"/>
  <c r="R2351"/>
  <c r="R2350"/>
  <c r="R2349"/>
  <c r="R2348"/>
  <c r="R2347"/>
  <c r="R2346"/>
  <c r="R2345"/>
  <c r="R2344"/>
  <c r="R2343"/>
  <c r="R2342"/>
  <c r="R2341"/>
  <c r="R2340"/>
  <c r="R2339"/>
  <c r="R2338"/>
  <c r="R2337"/>
  <c r="R2336"/>
  <c r="R2335"/>
  <c r="R2334"/>
  <c r="R2333"/>
  <c r="R2332"/>
  <c r="R2331"/>
  <c r="R2330"/>
  <c r="R2329"/>
  <c r="R2328"/>
  <c r="R2327"/>
  <c r="R2326"/>
  <c r="R2325"/>
  <c r="R2324"/>
  <c r="R2323"/>
  <c r="R2322"/>
  <c r="R2321"/>
  <c r="R2320"/>
  <c r="R2319"/>
  <c r="R2318"/>
  <c r="R2317"/>
  <c r="R2316"/>
  <c r="R2315"/>
  <c r="R2314"/>
  <c r="R2313"/>
  <c r="R2312"/>
  <c r="R2311"/>
  <c r="R2310"/>
  <c r="R2309"/>
  <c r="R2308"/>
  <c r="R2307"/>
  <c r="R2306"/>
  <c r="R2305"/>
  <c r="R2304"/>
  <c r="R2303"/>
  <c r="R2302"/>
  <c r="R2301"/>
  <c r="R2300"/>
  <c r="R2299"/>
  <c r="R2298"/>
  <c r="R2297"/>
  <c r="R2296"/>
  <c r="R2295"/>
  <c r="R2294"/>
  <c r="R2293"/>
  <c r="R2292"/>
  <c r="R2291"/>
  <c r="R2290"/>
  <c r="R2289"/>
  <c r="R2288"/>
  <c r="R2287"/>
  <c r="R2286"/>
  <c r="R2285"/>
  <c r="R2284"/>
  <c r="R2283"/>
  <c r="R2282"/>
  <c r="R2281"/>
  <c r="R2280"/>
  <c r="R2279"/>
  <c r="R2278"/>
  <c r="R2277"/>
  <c r="R2276"/>
  <c r="R2275"/>
  <c r="R2274"/>
  <c r="R2273"/>
  <c r="R2272"/>
  <c r="R2271"/>
  <c r="R2270"/>
  <c r="R2269"/>
  <c r="R2268"/>
  <c r="R2267"/>
  <c r="R2266"/>
  <c r="R2265"/>
  <c r="R2264"/>
  <c r="R2263"/>
  <c r="R2262"/>
  <c r="R2261"/>
  <c r="R2260"/>
  <c r="R2259"/>
  <c r="R2258"/>
  <c r="R2257"/>
  <c r="R2256"/>
  <c r="R2255"/>
  <c r="R2254"/>
  <c r="R2253"/>
  <c r="R2252"/>
  <c r="R2251"/>
  <c r="R2250"/>
  <c r="R2249"/>
  <c r="R2248"/>
  <c r="R2247"/>
  <c r="R2246"/>
  <c r="R2245"/>
  <c r="R2244"/>
  <c r="R2243"/>
  <c r="R2242"/>
  <c r="R2241"/>
  <c r="R2240"/>
  <c r="R2239"/>
  <c r="R2238"/>
  <c r="R2237"/>
  <c r="R2236"/>
  <c r="R2235"/>
  <c r="R2234"/>
  <c r="R2233"/>
  <c r="R2232"/>
  <c r="R2231"/>
  <c r="R2230"/>
  <c r="R2229"/>
  <c r="R2228"/>
  <c r="R2227"/>
  <c r="R2226"/>
  <c r="R2225"/>
  <c r="R2224"/>
  <c r="R2223"/>
  <c r="R2222"/>
  <c r="R2221"/>
  <c r="R2220"/>
  <c r="R2219"/>
  <c r="R2218"/>
  <c r="R2217"/>
  <c r="R2216"/>
  <c r="R2215"/>
  <c r="R2214"/>
  <c r="R2213"/>
  <c r="R2212"/>
  <c r="R2211"/>
  <c r="R2210"/>
  <c r="R2209"/>
  <c r="R2208"/>
  <c r="R2207"/>
  <c r="R2206"/>
  <c r="R2205"/>
  <c r="R2204"/>
  <c r="R2203"/>
  <c r="R2202"/>
  <c r="R2201"/>
  <c r="R2200"/>
  <c r="R2199"/>
  <c r="R2198"/>
  <c r="R2197"/>
  <c r="R2196"/>
  <c r="R2195"/>
  <c r="R2194"/>
  <c r="R2193"/>
  <c r="R2192"/>
  <c r="R2191"/>
  <c r="R2190"/>
  <c r="R2189"/>
  <c r="R2188"/>
  <c r="R2187"/>
  <c r="R2186"/>
  <c r="R2185"/>
  <c r="R2184"/>
  <c r="R2183"/>
  <c r="R2182"/>
  <c r="R2181"/>
  <c r="R2180"/>
  <c r="R2179"/>
  <c r="R2178"/>
  <c r="R2177"/>
  <c r="R2176"/>
  <c r="R2175"/>
  <c r="R2174"/>
  <c r="R2173"/>
  <c r="R2172"/>
  <c r="R2171"/>
  <c r="R2170"/>
  <c r="R2169"/>
  <c r="R2168"/>
  <c r="R2167"/>
  <c r="R2166"/>
  <c r="R2165"/>
  <c r="R2164"/>
  <c r="R2163"/>
  <c r="R2162"/>
  <c r="R2161"/>
  <c r="R2160"/>
  <c r="R2159"/>
  <c r="R2158"/>
  <c r="R2157"/>
  <c r="R2156"/>
  <c r="R2155"/>
  <c r="R2154"/>
  <c r="R2153"/>
  <c r="R2152"/>
  <c r="R2151"/>
  <c r="R2150"/>
  <c r="R2149"/>
  <c r="R2148"/>
  <c r="R2147"/>
  <c r="R2146"/>
  <c r="R2145"/>
  <c r="R2144"/>
  <c r="R2143"/>
  <c r="R2142"/>
  <c r="R2141"/>
  <c r="R2140"/>
  <c r="R2139"/>
  <c r="R2138"/>
  <c r="R2137"/>
  <c r="R2136"/>
  <c r="R2135"/>
  <c r="R2134"/>
  <c r="R2133"/>
  <c r="R2132"/>
  <c r="R2131"/>
  <c r="R2130"/>
  <c r="R2129"/>
  <c r="R2128"/>
  <c r="R2127"/>
  <c r="R2126"/>
  <c r="R2125"/>
  <c r="R2124"/>
  <c r="R2123"/>
  <c r="R2122"/>
  <c r="R2121"/>
  <c r="R2120"/>
  <c r="R2119"/>
  <c r="R2118"/>
  <c r="R2117"/>
  <c r="R2116"/>
  <c r="R2115"/>
  <c r="R2114"/>
  <c r="R2113"/>
  <c r="R2112"/>
  <c r="R2111"/>
  <c r="R2110"/>
  <c r="R2109"/>
  <c r="R2108"/>
  <c r="R2107"/>
  <c r="R2106"/>
  <c r="R2105"/>
  <c r="R2104"/>
  <c r="R2103"/>
  <c r="R2102"/>
  <c r="R2101"/>
  <c r="R2100"/>
  <c r="R2099"/>
  <c r="R2098"/>
  <c r="R2097"/>
  <c r="R2096"/>
  <c r="R2095"/>
  <c r="R2094"/>
  <c r="R2093"/>
  <c r="R2092"/>
  <c r="R2091"/>
  <c r="R2090"/>
  <c r="R2089"/>
  <c r="R2088"/>
  <c r="R2087"/>
  <c r="R2086"/>
  <c r="R2085"/>
  <c r="R2084"/>
  <c r="R2083"/>
  <c r="R2082"/>
  <c r="R2081"/>
  <c r="R2080"/>
  <c r="R2079"/>
  <c r="R2078"/>
  <c r="R2077"/>
  <c r="R2076"/>
  <c r="R2075"/>
  <c r="R2074"/>
  <c r="R2073"/>
  <c r="R2072"/>
  <c r="R2071"/>
  <c r="R2070"/>
  <c r="R2069"/>
  <c r="R2068"/>
  <c r="R2067"/>
  <c r="R2066"/>
  <c r="R2065"/>
  <c r="R2064"/>
  <c r="R2063"/>
  <c r="R2062"/>
  <c r="R2061"/>
  <c r="R2060"/>
  <c r="R2059"/>
  <c r="R2058"/>
  <c r="R2057"/>
  <c r="R2056"/>
  <c r="R2055"/>
  <c r="R2054"/>
  <c r="R2053"/>
  <c r="R2052"/>
  <c r="R2051"/>
  <c r="R2050"/>
  <c r="R2049"/>
  <c r="R2048"/>
  <c r="R2047"/>
  <c r="R2046"/>
  <c r="R2045"/>
  <c r="R2044"/>
  <c r="R2043"/>
  <c r="R2042"/>
  <c r="R2041"/>
  <c r="R2040"/>
  <c r="R2039"/>
  <c r="R2038"/>
  <c r="R2037"/>
  <c r="R2036"/>
  <c r="R2035"/>
  <c r="R2034"/>
  <c r="R2033"/>
  <c r="R2032"/>
  <c r="R2031"/>
  <c r="R2030"/>
  <c r="R2029"/>
  <c r="R2028"/>
  <c r="R2027"/>
  <c r="R2026"/>
  <c r="R2025"/>
  <c r="R2024"/>
  <c r="R2023"/>
  <c r="R2022"/>
  <c r="R2021"/>
  <c r="R2020"/>
  <c r="R2019"/>
  <c r="R2018"/>
  <c r="R2017"/>
  <c r="R2016"/>
  <c r="R2015"/>
  <c r="R2014"/>
  <c r="R2013"/>
  <c r="R2012"/>
  <c r="R2011"/>
  <c r="R2010"/>
  <c r="R2009"/>
  <c r="R2008"/>
  <c r="R2007"/>
  <c r="R2006"/>
  <c r="R2005"/>
  <c r="R2004"/>
  <c r="R2003"/>
  <c r="R2002"/>
  <c r="R2001"/>
  <c r="R2000"/>
  <c r="R1999"/>
  <c r="R1998"/>
  <c r="R1997"/>
  <c r="R1996"/>
  <c r="R1995"/>
  <c r="R1994"/>
  <c r="R1993"/>
  <c r="R1992"/>
  <c r="R1991"/>
  <c r="R1990"/>
  <c r="R1989"/>
  <c r="R1988"/>
  <c r="R1987"/>
  <c r="R1986"/>
  <c r="R1985"/>
  <c r="R1984"/>
  <c r="R1983"/>
  <c r="R1982"/>
  <c r="R1981"/>
  <c r="R1980"/>
  <c r="R1979"/>
  <c r="R1978"/>
  <c r="R1977"/>
  <c r="R1976"/>
  <c r="R1975"/>
  <c r="R1974"/>
  <c r="R1973"/>
  <c r="R1972"/>
  <c r="R1971"/>
  <c r="R1970"/>
  <c r="R1969"/>
  <c r="R1968"/>
  <c r="R1967"/>
  <c r="R1966"/>
  <c r="R1965"/>
  <c r="R1964"/>
  <c r="R1963"/>
  <c r="R1962"/>
  <c r="R1961"/>
  <c r="R1960"/>
  <c r="R1959"/>
  <c r="R1958"/>
  <c r="R1957"/>
  <c r="R1956"/>
  <c r="R1955"/>
  <c r="R1954"/>
  <c r="R1953"/>
  <c r="R1952"/>
  <c r="R1951"/>
  <c r="R1950"/>
  <c r="R1949"/>
  <c r="R1948"/>
  <c r="R1947"/>
  <c r="R1946"/>
  <c r="R1945"/>
  <c r="R1944"/>
  <c r="R1943"/>
  <c r="R1942"/>
  <c r="R1941"/>
  <c r="R1940"/>
  <c r="R1939"/>
  <c r="R1938"/>
  <c r="R1937"/>
  <c r="R1936"/>
  <c r="R1935"/>
  <c r="R1934"/>
  <c r="R1933"/>
  <c r="R1932"/>
  <c r="R1931"/>
  <c r="R1930"/>
  <c r="R1929"/>
  <c r="R1928"/>
  <c r="R1927"/>
  <c r="R1926"/>
  <c r="R1925"/>
  <c r="R1924"/>
  <c r="R1923"/>
  <c r="R1922"/>
  <c r="R1921"/>
  <c r="R1920"/>
  <c r="R1919"/>
  <c r="R1918"/>
  <c r="R1917"/>
  <c r="R1916"/>
  <c r="R1915"/>
  <c r="R1914"/>
  <c r="R1913"/>
  <c r="R1912"/>
  <c r="R1911"/>
  <c r="R1910"/>
  <c r="R1909"/>
  <c r="R1908"/>
  <c r="R1907"/>
  <c r="R1906"/>
  <c r="R1905"/>
  <c r="R1904"/>
  <c r="R1903"/>
  <c r="R1902"/>
  <c r="R1901"/>
  <c r="R1900"/>
  <c r="R1899"/>
  <c r="R1898"/>
  <c r="R1897"/>
  <c r="R1896"/>
  <c r="R1895"/>
  <c r="R1894"/>
  <c r="R1893"/>
  <c r="R1892"/>
  <c r="R1891"/>
  <c r="R1890"/>
  <c r="R1889"/>
  <c r="R1888"/>
  <c r="R1887"/>
  <c r="R1886"/>
  <c r="R1885"/>
  <c r="R1884"/>
  <c r="R1883"/>
  <c r="R1882"/>
  <c r="R1881"/>
  <c r="R1880"/>
  <c r="R1879"/>
  <c r="R1878"/>
  <c r="R1877"/>
  <c r="R1876"/>
  <c r="R1875"/>
  <c r="R1874"/>
  <c r="R1873"/>
  <c r="R1872"/>
  <c r="R1871"/>
  <c r="R1870"/>
  <c r="R1869"/>
  <c r="R1868"/>
  <c r="R1867"/>
  <c r="R1866"/>
  <c r="R1865"/>
  <c r="R1864"/>
  <c r="R1863"/>
  <c r="R1862"/>
  <c r="R1861"/>
  <c r="R1860"/>
  <c r="R1859"/>
  <c r="R1858"/>
  <c r="R1857"/>
  <c r="R1856"/>
  <c r="R1855"/>
  <c r="R1854"/>
  <c r="R1853"/>
  <c r="R1852"/>
  <c r="R1851"/>
  <c r="R1850"/>
  <c r="R1849"/>
  <c r="R1848"/>
  <c r="R1847"/>
  <c r="R1846"/>
  <c r="R1845"/>
  <c r="R1844"/>
  <c r="R1843"/>
  <c r="R1842"/>
  <c r="R1841"/>
  <c r="R1840"/>
  <c r="R1839"/>
  <c r="R1838"/>
  <c r="R1837"/>
  <c r="R1836"/>
  <c r="R1835"/>
  <c r="R1834"/>
  <c r="R1833"/>
  <c r="R1832"/>
  <c r="R1831"/>
  <c r="R1830"/>
  <c r="R1829"/>
  <c r="R1828"/>
  <c r="R1827"/>
  <c r="R1826"/>
  <c r="R1825"/>
  <c r="R1824"/>
  <c r="R1823"/>
  <c r="R1822"/>
  <c r="R1821"/>
  <c r="R1820"/>
  <c r="R1819"/>
  <c r="R1818"/>
  <c r="R1817"/>
  <c r="R1816"/>
  <c r="R1815"/>
  <c r="R1814"/>
  <c r="R1813"/>
  <c r="R1812"/>
  <c r="R1811"/>
  <c r="R1810"/>
  <c r="R1809"/>
  <c r="R1808"/>
  <c r="R1807"/>
  <c r="R1806"/>
  <c r="R1805"/>
  <c r="R1804"/>
  <c r="R1803"/>
  <c r="R1802"/>
  <c r="R1801"/>
  <c r="R1800"/>
  <c r="R1799"/>
  <c r="R1798"/>
  <c r="R1797"/>
  <c r="R1796"/>
  <c r="R1795"/>
  <c r="R1794"/>
  <c r="R1793"/>
  <c r="R1792"/>
  <c r="R1791"/>
  <c r="R1790"/>
  <c r="R1789"/>
  <c r="R1788"/>
  <c r="R1787"/>
  <c r="R1786"/>
  <c r="R1785"/>
  <c r="R1784"/>
  <c r="R1783"/>
  <c r="R1782"/>
  <c r="R1781"/>
  <c r="R1780"/>
  <c r="R1779"/>
  <c r="R1778"/>
  <c r="R1777"/>
  <c r="R1776"/>
  <c r="R1775"/>
  <c r="R1774"/>
  <c r="R1773"/>
  <c r="R1772"/>
  <c r="R1771"/>
  <c r="R1770"/>
  <c r="R1769"/>
  <c r="R1768"/>
  <c r="R1767"/>
  <c r="R1766"/>
  <c r="R1765"/>
  <c r="R1764"/>
  <c r="R1763"/>
  <c r="R1762"/>
  <c r="R1761"/>
  <c r="R1760"/>
  <c r="R1759"/>
  <c r="R1758"/>
  <c r="R1757"/>
  <c r="R1756"/>
  <c r="R1755"/>
  <c r="R1754"/>
  <c r="R1753"/>
  <c r="R1752"/>
  <c r="R1751"/>
  <c r="R1750"/>
  <c r="R1749"/>
  <c r="R1748"/>
  <c r="R1747"/>
  <c r="R1746"/>
  <c r="R1745"/>
  <c r="R1744"/>
  <c r="R1743"/>
  <c r="R1742"/>
  <c r="R1741"/>
  <c r="R1740"/>
  <c r="R1739"/>
  <c r="R1738"/>
  <c r="R1737"/>
  <c r="R1736"/>
  <c r="R1735"/>
  <c r="R1734"/>
  <c r="R1733"/>
  <c r="R1732"/>
  <c r="R1731"/>
  <c r="R1730"/>
  <c r="R1729"/>
  <c r="R1728"/>
  <c r="R1727"/>
  <c r="R1726"/>
  <c r="R1725"/>
  <c r="R1724"/>
  <c r="R1723"/>
  <c r="R1722"/>
  <c r="R1721"/>
  <c r="R1720"/>
  <c r="R1719"/>
  <c r="R1718"/>
  <c r="R1717"/>
  <c r="R1716"/>
  <c r="R1715"/>
  <c r="R1714"/>
  <c r="R1713"/>
  <c r="R1712"/>
  <c r="R1711"/>
  <c r="R1710"/>
  <c r="R1709"/>
  <c r="R1708"/>
  <c r="R1707"/>
  <c r="R1706"/>
  <c r="R1705"/>
  <c r="R1704"/>
  <c r="R1703"/>
  <c r="R1702"/>
  <c r="R1701"/>
  <c r="R1700"/>
  <c r="R1699"/>
  <c r="R1698"/>
  <c r="R1697"/>
  <c r="R1696"/>
  <c r="R1695"/>
  <c r="R1694"/>
  <c r="R1693"/>
  <c r="R1692"/>
  <c r="R1691"/>
  <c r="R1690"/>
  <c r="R1689"/>
  <c r="R1688"/>
  <c r="R1687"/>
  <c r="R1686"/>
  <c r="R1685"/>
  <c r="R1684"/>
  <c r="R1683"/>
  <c r="R1682"/>
  <c r="R1681"/>
  <c r="R1680"/>
  <c r="R1679"/>
  <c r="R1678"/>
  <c r="R1677"/>
  <c r="R1676"/>
  <c r="R1675"/>
  <c r="R1674"/>
  <c r="R1673"/>
  <c r="R1672"/>
  <c r="R1671"/>
  <c r="R1670"/>
  <c r="R1669"/>
  <c r="R1668"/>
  <c r="R1667"/>
  <c r="R1666"/>
  <c r="R1665"/>
  <c r="R1664"/>
  <c r="R1663"/>
  <c r="R1662"/>
  <c r="R1661"/>
  <c r="R1660"/>
  <c r="R1659"/>
  <c r="R1658"/>
  <c r="R1657"/>
  <c r="R1656"/>
  <c r="R1655"/>
  <c r="R1654"/>
  <c r="R1653"/>
  <c r="R1652"/>
  <c r="R1651"/>
  <c r="R1650"/>
  <c r="R1649"/>
  <c r="R1648"/>
  <c r="R1647"/>
  <c r="R1646"/>
  <c r="R1645"/>
  <c r="R1644"/>
  <c r="R1643"/>
  <c r="R1642"/>
  <c r="R1641"/>
  <c r="R1640"/>
  <c r="R1639"/>
  <c r="R1638"/>
  <c r="R1637"/>
  <c r="R1636"/>
  <c r="R1635"/>
  <c r="R1634"/>
  <c r="R1633"/>
  <c r="R1632"/>
  <c r="R1631"/>
  <c r="R1630"/>
  <c r="R1629"/>
  <c r="R1628"/>
  <c r="R1627"/>
  <c r="R1626"/>
  <c r="R1625"/>
  <c r="R1624"/>
  <c r="R1623"/>
  <c r="R1622"/>
  <c r="R1621"/>
  <c r="R1620"/>
  <c r="R1619"/>
  <c r="R1618"/>
  <c r="R1617"/>
  <c r="R1616"/>
  <c r="R1615"/>
  <c r="R1614"/>
  <c r="R1613"/>
  <c r="R1612"/>
  <c r="R1611"/>
  <c r="R1610"/>
  <c r="R1609"/>
  <c r="R1608"/>
  <c r="R1607"/>
  <c r="R1606"/>
  <c r="R1605"/>
  <c r="R1604"/>
  <c r="R1603"/>
  <c r="R1602"/>
  <c r="R1601"/>
  <c r="R1600"/>
  <c r="R1599"/>
  <c r="R1598"/>
  <c r="R1597"/>
  <c r="R1596"/>
  <c r="R1595"/>
  <c r="R1594"/>
  <c r="R1593"/>
  <c r="R1592"/>
  <c r="R1591"/>
  <c r="R1590"/>
  <c r="R1589"/>
  <c r="R1588"/>
  <c r="R1587"/>
  <c r="R1586"/>
  <c r="R1585"/>
  <c r="R1584"/>
  <c r="R1583"/>
  <c r="R1582"/>
  <c r="R1581"/>
  <c r="R1580"/>
  <c r="R1579"/>
  <c r="R1578"/>
  <c r="R1577"/>
  <c r="R1576"/>
  <c r="R1575"/>
  <c r="R1574"/>
  <c r="R1573"/>
  <c r="R1572"/>
  <c r="R1571"/>
  <c r="R1570"/>
  <c r="R1569"/>
  <c r="R1568"/>
  <c r="R1567"/>
  <c r="R1566"/>
  <c r="R1565"/>
  <c r="R1564"/>
  <c r="R1563"/>
  <c r="R1562"/>
  <c r="R1561"/>
  <c r="R1560"/>
  <c r="R1559"/>
  <c r="R1558"/>
  <c r="R1557"/>
  <c r="R1556"/>
  <c r="R1555"/>
  <c r="R1554"/>
  <c r="R1553"/>
  <c r="R1552"/>
  <c r="R1551"/>
  <c r="R1550"/>
  <c r="R1549"/>
  <c r="R1548"/>
  <c r="R1547"/>
  <c r="R1546"/>
  <c r="R1545"/>
  <c r="R1544"/>
  <c r="R1543"/>
  <c r="R1542"/>
  <c r="R1541"/>
  <c r="R1540"/>
  <c r="R1539"/>
  <c r="R1538"/>
  <c r="R1537"/>
  <c r="R1536"/>
  <c r="R1535"/>
  <c r="R1534"/>
  <c r="R1533"/>
  <c r="R1532"/>
  <c r="R1531"/>
  <c r="R1530"/>
  <c r="R1529"/>
  <c r="R1528"/>
  <c r="R1527"/>
  <c r="R1526"/>
  <c r="R1525"/>
  <c r="R1524"/>
  <c r="R1523"/>
  <c r="R1522"/>
  <c r="R1521"/>
  <c r="R1520"/>
  <c r="R1519"/>
  <c r="R1518"/>
  <c r="R1517"/>
  <c r="R1516"/>
  <c r="R1515"/>
  <c r="R1514"/>
  <c r="R1513"/>
  <c r="R1512"/>
  <c r="R1511"/>
  <c r="R1510"/>
  <c r="R1509"/>
  <c r="R1508"/>
  <c r="R1507"/>
  <c r="R1506"/>
  <c r="R1505"/>
  <c r="R1504"/>
  <c r="R1503"/>
  <c r="R1502"/>
  <c r="R1501"/>
  <c r="R1500"/>
  <c r="R1499"/>
  <c r="R1498"/>
  <c r="R1497"/>
  <c r="R1496"/>
  <c r="R1495"/>
  <c r="R1494"/>
  <c r="R1493"/>
  <c r="R1492"/>
  <c r="R1491"/>
  <c r="R1490"/>
  <c r="R1489"/>
  <c r="R1488"/>
  <c r="R1487"/>
  <c r="R1486"/>
  <c r="R1485"/>
  <c r="R1484"/>
  <c r="R1483"/>
  <c r="R1482"/>
  <c r="R1481"/>
  <c r="R1480"/>
  <c r="R1479"/>
  <c r="R1478"/>
  <c r="R1477"/>
  <c r="R1476"/>
  <c r="R1475"/>
  <c r="R1474"/>
  <c r="R1473"/>
  <c r="R1472"/>
  <c r="R1471"/>
  <c r="R1470"/>
  <c r="R1469"/>
  <c r="R1468"/>
  <c r="R1467"/>
  <c r="R1466"/>
  <c r="R1465"/>
  <c r="R1464"/>
  <c r="R1463"/>
  <c r="R1462"/>
  <c r="R1461"/>
  <c r="R1460"/>
  <c r="R1459"/>
  <c r="R1458"/>
  <c r="R1457"/>
  <c r="R1456"/>
  <c r="R1455"/>
  <c r="R1454"/>
  <c r="R1453"/>
  <c r="R1452"/>
  <c r="R1451"/>
  <c r="R1450"/>
  <c r="R1449"/>
  <c r="R1448"/>
  <c r="R1447"/>
  <c r="R1446"/>
  <c r="R1445"/>
  <c r="R1444"/>
  <c r="R1443"/>
  <c r="R1442"/>
  <c r="R1441"/>
  <c r="R1440"/>
  <c r="R1439"/>
  <c r="R1438"/>
  <c r="R1437"/>
  <c r="R1436"/>
  <c r="R1435"/>
  <c r="R1434"/>
  <c r="R1433"/>
  <c r="R1432"/>
  <c r="R1431"/>
  <c r="R1430"/>
  <c r="R1429"/>
  <c r="R1428"/>
  <c r="R1427"/>
  <c r="R1426"/>
  <c r="R1425"/>
  <c r="R1424"/>
  <c r="R1423"/>
  <c r="R1422"/>
  <c r="R1421"/>
  <c r="R1420"/>
  <c r="R1419"/>
  <c r="R1418"/>
  <c r="R1417"/>
  <c r="R1416"/>
  <c r="R1415"/>
  <c r="R1414"/>
  <c r="R1413"/>
  <c r="R1412"/>
  <c r="R1411"/>
  <c r="R1410"/>
  <c r="R1409"/>
  <c r="R1408"/>
  <c r="R1407"/>
  <c r="R1406"/>
  <c r="R1405"/>
  <c r="R1404"/>
  <c r="R1403"/>
  <c r="R1402"/>
  <c r="R1401"/>
  <c r="R1400"/>
  <c r="R1399"/>
  <c r="R1398"/>
  <c r="R1397"/>
  <c r="R1396"/>
  <c r="R1395"/>
  <c r="R1394"/>
  <c r="R1393"/>
  <c r="R1392"/>
  <c r="R1391"/>
  <c r="R1390"/>
  <c r="R1389"/>
  <c r="R1388"/>
  <c r="R1387"/>
  <c r="R1386"/>
  <c r="R1385"/>
  <c r="R1384"/>
  <c r="R1383"/>
  <c r="R1382"/>
  <c r="R1381"/>
  <c r="R1380"/>
  <c r="R1379"/>
  <c r="R1378"/>
  <c r="R1377"/>
  <c r="R1376"/>
  <c r="R1375"/>
  <c r="R1374"/>
  <c r="R1373"/>
  <c r="R1372"/>
  <c r="R1371"/>
  <c r="R1370"/>
  <c r="R1369"/>
  <c r="R1368"/>
  <c r="R1367"/>
  <c r="R1366"/>
  <c r="R1365"/>
  <c r="R1364"/>
  <c r="R1363"/>
  <c r="R1362"/>
  <c r="R1361"/>
  <c r="R1360"/>
  <c r="R1359"/>
  <c r="R1358"/>
  <c r="R1357"/>
  <c r="R1356"/>
  <c r="R1355"/>
  <c r="R1354"/>
  <c r="R1353"/>
  <c r="R1352"/>
  <c r="R1351"/>
  <c r="R1350"/>
  <c r="R1349"/>
  <c r="R1348"/>
  <c r="R1347"/>
  <c r="R1346"/>
  <c r="R1345"/>
  <c r="R1344"/>
  <c r="R1343"/>
  <c r="R1342"/>
  <c r="R1341"/>
  <c r="R1340"/>
  <c r="R1339"/>
  <c r="R1338"/>
  <c r="R1337"/>
  <c r="R1336"/>
  <c r="R1335"/>
  <c r="R1334"/>
  <c r="R1333"/>
  <c r="R1332"/>
  <c r="R1331"/>
  <c r="R1330"/>
  <c r="R1329"/>
  <c r="R1328"/>
  <c r="R1327"/>
  <c r="R1326"/>
  <c r="R1325"/>
  <c r="R1324"/>
  <c r="R1323"/>
  <c r="R1322"/>
  <c r="R1321"/>
  <c r="R1320"/>
  <c r="R1319"/>
  <c r="R1318"/>
  <c r="R1317"/>
  <c r="R1316"/>
  <c r="R1315"/>
  <c r="R1314"/>
  <c r="R1313"/>
  <c r="R1312"/>
  <c r="R1311"/>
  <c r="R1310"/>
  <c r="R1309"/>
  <c r="R1308"/>
  <c r="R1307"/>
  <c r="R1306"/>
  <c r="R1305"/>
  <c r="R1304"/>
  <c r="R1303"/>
  <c r="R1302"/>
  <c r="R1301"/>
  <c r="R1300"/>
  <c r="R1299"/>
  <c r="R1298"/>
  <c r="R1297"/>
  <c r="R1296"/>
  <c r="R1295"/>
  <c r="R1294"/>
  <c r="R1293"/>
  <c r="R1292"/>
  <c r="R1291"/>
  <c r="R1290"/>
  <c r="R1289"/>
  <c r="R1288"/>
  <c r="R1287"/>
  <c r="R1286"/>
  <c r="R1285"/>
  <c r="R1284"/>
  <c r="R1283"/>
  <c r="R1282"/>
  <c r="R1281"/>
  <c r="R1280"/>
  <c r="R1279"/>
  <c r="R1278"/>
  <c r="R1277"/>
  <c r="R1276"/>
  <c r="R1275"/>
  <c r="R1274"/>
  <c r="R1273"/>
  <c r="R1272"/>
  <c r="R1271"/>
  <c r="R1270"/>
  <c r="R1269"/>
  <c r="R1268"/>
  <c r="R1267"/>
  <c r="R1266"/>
  <c r="R1265"/>
  <c r="R1264"/>
  <c r="R1263"/>
  <c r="R1262"/>
  <c r="R1261"/>
  <c r="R1260"/>
  <c r="R1259"/>
  <c r="R1258"/>
  <c r="R1257"/>
  <c r="R1256"/>
  <c r="R1255"/>
  <c r="R1254"/>
  <c r="R1253"/>
  <c r="R1252"/>
  <c r="R1251"/>
  <c r="R1250"/>
  <c r="R1249"/>
  <c r="R1248"/>
  <c r="R1247"/>
  <c r="R1246"/>
  <c r="R1245"/>
  <c r="R1244"/>
  <c r="R1243"/>
  <c r="R1242"/>
  <c r="R1241"/>
  <c r="R1240"/>
  <c r="R1239"/>
  <c r="R1238"/>
  <c r="R1237"/>
  <c r="R1236"/>
  <c r="R1235"/>
  <c r="R1234"/>
  <c r="R1233"/>
  <c r="R1232"/>
  <c r="R1231"/>
  <c r="R1230"/>
  <c r="R1229"/>
  <c r="R1228"/>
  <c r="R1227"/>
  <c r="R1226"/>
  <c r="R1225"/>
  <c r="R1224"/>
  <c r="R1223"/>
  <c r="R1222"/>
  <c r="R1221"/>
  <c r="R1220"/>
  <c r="R1219"/>
  <c r="R1218"/>
  <c r="R1217"/>
  <c r="R1216"/>
  <c r="R1215"/>
  <c r="R1214"/>
  <c r="R1213"/>
  <c r="R1212"/>
  <c r="R1211"/>
  <c r="R1210"/>
  <c r="R1209"/>
  <c r="R1208"/>
  <c r="R1207"/>
  <c r="R1206"/>
  <c r="R1205"/>
  <c r="R1204"/>
  <c r="R1203"/>
  <c r="R1202"/>
  <c r="R1201"/>
  <c r="R1200"/>
  <c r="R1199"/>
  <c r="R1198"/>
  <c r="R1197"/>
  <c r="R1196"/>
  <c r="R1195"/>
  <c r="R1194"/>
  <c r="R1193"/>
  <c r="R1192"/>
  <c r="R1191"/>
  <c r="R1190"/>
  <c r="R1189"/>
  <c r="R1188"/>
  <c r="R1187"/>
  <c r="R1186"/>
  <c r="R1185"/>
  <c r="R1184"/>
  <c r="R1183"/>
  <c r="R1182"/>
  <c r="R1181"/>
  <c r="R1180"/>
  <c r="R1179"/>
  <c r="R1178"/>
  <c r="R1177"/>
  <c r="R1176"/>
  <c r="R1175"/>
  <c r="R1174"/>
  <c r="R1173"/>
  <c r="R1172"/>
  <c r="R1171"/>
  <c r="R1170"/>
  <c r="R1169"/>
  <c r="R1168"/>
  <c r="R1167"/>
  <c r="R1166"/>
  <c r="R1165"/>
  <c r="R1164"/>
  <c r="R1163"/>
  <c r="R1162"/>
  <c r="R1161"/>
  <c r="R1160"/>
  <c r="R1159"/>
  <c r="R1158"/>
  <c r="R1157"/>
  <c r="R1156"/>
  <c r="R1155"/>
  <c r="R1154"/>
  <c r="R1153"/>
  <c r="R1152"/>
  <c r="R1151"/>
  <c r="R1150"/>
  <c r="R1149"/>
  <c r="R1148"/>
  <c r="R1147"/>
  <c r="R1146"/>
  <c r="R1145"/>
  <c r="R1144"/>
  <c r="R1143"/>
  <c r="R1142"/>
  <c r="R1141"/>
  <c r="R1140"/>
  <c r="R1139"/>
  <c r="R1138"/>
  <c r="R1137"/>
  <c r="R1136"/>
  <c r="R1135"/>
  <c r="R1134"/>
  <c r="R1133"/>
  <c r="R1132"/>
  <c r="R1131"/>
  <c r="R1130"/>
  <c r="R1129"/>
  <c r="R1128"/>
  <c r="R1127"/>
  <c r="R1126"/>
  <c r="R1125"/>
  <c r="R1124"/>
  <c r="R1123"/>
  <c r="R1122"/>
  <c r="R1121"/>
  <c r="R1120"/>
  <c r="R1119"/>
  <c r="R1118"/>
  <c r="R1117"/>
  <c r="R1116"/>
  <c r="R1115"/>
  <c r="R1114"/>
  <c r="R1113"/>
  <c r="R1112"/>
  <c r="R1111"/>
  <c r="R1110"/>
  <c r="R1109"/>
  <c r="R1108"/>
  <c r="R1107"/>
  <c r="R1106"/>
  <c r="R1105"/>
  <c r="R1104"/>
  <c r="R1103"/>
  <c r="R1102"/>
  <c r="R1101"/>
  <c r="R1100"/>
  <c r="R1099"/>
  <c r="R1098"/>
  <c r="R1097"/>
  <c r="R1096"/>
  <c r="R1095"/>
  <c r="R1094"/>
  <c r="R1093"/>
  <c r="R1092"/>
  <c r="R1091"/>
  <c r="R1090"/>
  <c r="R1089"/>
  <c r="R1088"/>
  <c r="R1087"/>
  <c r="R1086"/>
  <c r="R1085"/>
  <c r="R1084"/>
  <c r="R1083"/>
  <c r="R1082"/>
  <c r="R1081"/>
  <c r="R1080"/>
  <c r="R1079"/>
  <c r="R1078"/>
  <c r="R1077"/>
  <c r="R1076"/>
  <c r="R1075"/>
  <c r="R1074"/>
  <c r="R1073"/>
  <c r="R1072"/>
  <c r="R1071"/>
  <c r="R1070"/>
  <c r="R1069"/>
  <c r="R1068"/>
  <c r="R1067"/>
  <c r="R1066"/>
  <c r="R1065"/>
  <c r="R1064"/>
  <c r="R1063"/>
  <c r="R1062"/>
  <c r="R1061"/>
  <c r="R1060"/>
  <c r="R1059"/>
  <c r="R1058"/>
  <c r="R1057"/>
  <c r="R1056"/>
  <c r="R1055"/>
  <c r="R1054"/>
  <c r="R1053"/>
  <c r="R1052"/>
  <c r="R1051"/>
  <c r="R1050"/>
  <c r="R1049"/>
  <c r="R1048"/>
  <c r="R1047"/>
  <c r="R1046"/>
  <c r="R1045"/>
  <c r="R1044"/>
  <c r="R1043"/>
  <c r="R1042"/>
  <c r="R1041"/>
  <c r="R1040"/>
  <c r="R1039"/>
  <c r="R1038"/>
  <c r="R1037"/>
  <c r="R1036"/>
  <c r="R1035"/>
  <c r="R1034"/>
  <c r="R1033"/>
  <c r="R1032"/>
  <c r="R1031"/>
  <c r="R1030"/>
  <c r="R1029"/>
  <c r="R1028"/>
  <c r="R1027"/>
  <c r="R1026"/>
  <c r="R1025"/>
  <c r="R1024"/>
  <c r="R1023"/>
  <c r="R1022"/>
  <c r="R1021"/>
  <c r="R1020"/>
  <c r="R1019"/>
  <c r="R1018"/>
  <c r="R1017"/>
  <c r="R1016"/>
  <c r="R1015"/>
  <c r="R1014"/>
  <c r="R1013"/>
  <c r="R1012"/>
  <c r="R1011"/>
  <c r="R1010"/>
  <c r="R1009"/>
  <c r="R1008"/>
  <c r="R1007"/>
  <c r="R1006"/>
  <c r="R1005"/>
  <c r="R1004"/>
  <c r="R1003"/>
  <c r="R1002"/>
  <c r="R1001"/>
  <c r="R1000"/>
  <c r="R999"/>
  <c r="R998"/>
  <c r="R997"/>
  <c r="R996"/>
  <c r="R995"/>
  <c r="R994"/>
  <c r="R993"/>
  <c r="R992"/>
  <c r="R991"/>
  <c r="R990"/>
  <c r="R989"/>
  <c r="R988"/>
  <c r="R987"/>
  <c r="R986"/>
  <c r="R985"/>
  <c r="R984"/>
  <c r="R983"/>
  <c r="R982"/>
  <c r="R981"/>
  <c r="R980"/>
  <c r="R979"/>
  <c r="R978"/>
  <c r="R977"/>
  <c r="R976"/>
  <c r="R975"/>
  <c r="R974"/>
  <c r="R973"/>
  <c r="R972"/>
  <c r="R971"/>
  <c r="R970"/>
  <c r="R969"/>
  <c r="R968"/>
  <c r="R967"/>
  <c r="R966"/>
  <c r="R965"/>
  <c r="R964"/>
  <c r="R963"/>
  <c r="R962"/>
  <c r="R961"/>
  <c r="R960"/>
  <c r="R959"/>
  <c r="R958"/>
  <c r="R957"/>
  <c r="R956"/>
  <c r="R955"/>
  <c r="R954"/>
  <c r="R953"/>
  <c r="R952"/>
  <c r="R951"/>
  <c r="R950"/>
  <c r="R949"/>
  <c r="R948"/>
  <c r="R947"/>
  <c r="R946"/>
  <c r="R945"/>
  <c r="R944"/>
  <c r="R943"/>
  <c r="R942"/>
  <c r="R941"/>
  <c r="R940"/>
  <c r="R939"/>
  <c r="R938"/>
  <c r="R937"/>
  <c r="R936"/>
  <c r="R935"/>
  <c r="R934"/>
  <c r="R933"/>
  <c r="R932"/>
  <c r="R931"/>
  <c r="R930"/>
  <c r="R929"/>
  <c r="R928"/>
  <c r="R927"/>
  <c r="R926"/>
  <c r="R925"/>
  <c r="R924"/>
  <c r="R923"/>
  <c r="R922"/>
  <c r="R921"/>
  <c r="R920"/>
  <c r="R919"/>
  <c r="R918"/>
  <c r="R917"/>
  <c r="R916"/>
  <c r="R915"/>
  <c r="R914"/>
  <c r="R913"/>
  <c r="R912"/>
  <c r="R911"/>
  <c r="R910"/>
  <c r="R909"/>
  <c r="R908"/>
  <c r="R907"/>
  <c r="R906"/>
  <c r="R905"/>
  <c r="R904"/>
  <c r="R903"/>
  <c r="R902"/>
  <c r="R901"/>
  <c r="R900"/>
  <c r="R899"/>
  <c r="R898"/>
  <c r="R897"/>
  <c r="R896"/>
  <c r="R895"/>
  <c r="R894"/>
  <c r="R893"/>
  <c r="R892"/>
  <c r="R891"/>
  <c r="R890"/>
  <c r="R889"/>
  <c r="R888"/>
  <c r="R887"/>
  <c r="R886"/>
  <c r="R885"/>
  <c r="R884"/>
  <c r="R883"/>
  <c r="R882"/>
  <c r="R881"/>
  <c r="R880"/>
  <c r="R879"/>
  <c r="R878"/>
  <c r="R877"/>
  <c r="R876"/>
  <c r="R875"/>
  <c r="R874"/>
  <c r="R873"/>
  <c r="R872"/>
  <c r="R871"/>
  <c r="R870"/>
  <c r="R869"/>
  <c r="R868"/>
  <c r="R867"/>
  <c r="R866"/>
  <c r="R865"/>
  <c r="R864"/>
  <c r="R863"/>
  <c r="R862"/>
  <c r="R861"/>
  <c r="R860"/>
  <c r="R859"/>
  <c r="R858"/>
  <c r="R857"/>
  <c r="R856"/>
  <c r="R855"/>
  <c r="R854"/>
  <c r="R853"/>
  <c r="R852"/>
  <c r="R851"/>
  <c r="R850"/>
  <c r="R849"/>
  <c r="R848"/>
  <c r="R847"/>
  <c r="R846"/>
  <c r="R845"/>
  <c r="R844"/>
  <c r="R843"/>
  <c r="R842"/>
  <c r="R841"/>
  <c r="R840"/>
  <c r="R839"/>
  <c r="R838"/>
  <c r="R837"/>
  <c r="R836"/>
  <c r="R835"/>
  <c r="R834"/>
  <c r="R833"/>
  <c r="R832"/>
  <c r="R831"/>
  <c r="R830"/>
  <c r="R829"/>
  <c r="R828"/>
  <c r="R827"/>
  <c r="R826"/>
  <c r="R825"/>
  <c r="R824"/>
  <c r="R823"/>
  <c r="R822"/>
  <c r="R821"/>
  <c r="R820"/>
  <c r="R819"/>
  <c r="R818"/>
  <c r="R817"/>
  <c r="R816"/>
  <c r="R815"/>
  <c r="R814"/>
  <c r="R813"/>
  <c r="R812"/>
  <c r="R811"/>
  <c r="R810"/>
  <c r="R809"/>
  <c r="R808"/>
  <c r="R807"/>
  <c r="R806"/>
  <c r="R805"/>
  <c r="R804"/>
  <c r="R803"/>
  <c r="R802"/>
  <c r="R801"/>
  <c r="R800"/>
  <c r="R799"/>
  <c r="R798"/>
  <c r="R797"/>
  <c r="R796"/>
  <c r="R795"/>
  <c r="R794"/>
  <c r="R793"/>
  <c r="R792"/>
  <c r="R791"/>
  <c r="R790"/>
  <c r="R789"/>
  <c r="R788"/>
  <c r="R787"/>
  <c r="R786"/>
  <c r="R785"/>
  <c r="R784"/>
  <c r="R783"/>
  <c r="R782"/>
  <c r="R781"/>
  <c r="R780"/>
  <c r="R779"/>
  <c r="R778"/>
  <c r="R777"/>
  <c r="R776"/>
  <c r="R775"/>
  <c r="R774"/>
  <c r="R773"/>
  <c r="R772"/>
  <c r="R771"/>
  <c r="R770"/>
  <c r="R769"/>
  <c r="R768"/>
  <c r="R767"/>
  <c r="R766"/>
  <c r="R765"/>
  <c r="R764"/>
  <c r="R763"/>
  <c r="R762"/>
  <c r="R761"/>
  <c r="R760"/>
  <c r="R759"/>
  <c r="R758"/>
  <c r="R757"/>
  <c r="R756"/>
  <c r="R755"/>
  <c r="R754"/>
  <c r="R753"/>
  <c r="R752"/>
  <c r="R751"/>
  <c r="R750"/>
  <c r="R749"/>
  <c r="R748"/>
  <c r="R747"/>
  <c r="R746"/>
  <c r="R745"/>
  <c r="R744"/>
  <c r="R743"/>
  <c r="R742"/>
  <c r="R741"/>
  <c r="R740"/>
  <c r="R739"/>
  <c r="R738"/>
  <c r="R737"/>
  <c r="R736"/>
  <c r="R735"/>
  <c r="R734"/>
  <c r="R733"/>
  <c r="R732"/>
  <c r="R731"/>
  <c r="R730"/>
  <c r="R729"/>
  <c r="R728"/>
  <c r="R727"/>
  <c r="R726"/>
  <c r="R725"/>
  <c r="R724"/>
  <c r="R723"/>
  <c r="R722"/>
  <c r="R721"/>
  <c r="R720"/>
  <c r="R719"/>
  <c r="R718"/>
  <c r="R717"/>
  <c r="R716"/>
  <c r="R715"/>
  <c r="R714"/>
  <c r="R713"/>
  <c r="R712"/>
  <c r="R711"/>
  <c r="R710"/>
  <c r="R709"/>
  <c r="R708"/>
  <c r="R707"/>
  <c r="R706"/>
  <c r="R705"/>
  <c r="R704"/>
  <c r="R703"/>
  <c r="R702"/>
  <c r="R701"/>
  <c r="R700"/>
  <c r="R699"/>
  <c r="R698"/>
  <c r="R697"/>
  <c r="R696"/>
  <c r="R695"/>
  <c r="R694"/>
  <c r="R693"/>
  <c r="R692"/>
  <c r="R691"/>
  <c r="R690"/>
  <c r="R689"/>
  <c r="R688"/>
  <c r="R687"/>
  <c r="R686"/>
  <c r="R685"/>
  <c r="R684"/>
  <c r="R683"/>
  <c r="R682"/>
  <c r="R681"/>
  <c r="R680"/>
  <c r="R679"/>
  <c r="R678"/>
  <c r="R677"/>
  <c r="R676"/>
  <c r="R675"/>
  <c r="R674"/>
  <c r="R673"/>
  <c r="R672"/>
  <c r="R671"/>
  <c r="R670"/>
  <c r="R669"/>
  <c r="R668"/>
  <c r="R667"/>
  <c r="R666"/>
  <c r="R665"/>
  <c r="R664"/>
  <c r="R663"/>
  <c r="R662"/>
  <c r="R661"/>
  <c r="R660"/>
  <c r="R659"/>
  <c r="R658"/>
  <c r="R657"/>
  <c r="R656"/>
  <c r="R655"/>
  <c r="R654"/>
  <c r="R653"/>
  <c r="R652"/>
  <c r="R651"/>
  <c r="R650"/>
  <c r="R649"/>
  <c r="R648"/>
  <c r="R647"/>
  <c r="R646"/>
  <c r="R645"/>
  <c r="R644"/>
  <c r="R643"/>
  <c r="R642"/>
  <c r="R641"/>
  <c r="R640"/>
  <c r="R639"/>
  <c r="R638"/>
  <c r="R637"/>
  <c r="R636"/>
  <c r="R635"/>
  <c r="R634"/>
  <c r="R633"/>
  <c r="R632"/>
  <c r="R631"/>
  <c r="R630"/>
  <c r="R629"/>
  <c r="R628"/>
  <c r="R627"/>
  <c r="R626"/>
  <c r="R625"/>
  <c r="R624"/>
  <c r="R623"/>
  <c r="R622"/>
  <c r="R621"/>
  <c r="R620"/>
  <c r="R619"/>
  <c r="R618"/>
  <c r="R617"/>
  <c r="R616"/>
  <c r="R615"/>
  <c r="R614"/>
  <c r="R613"/>
  <c r="R612"/>
  <c r="R611"/>
  <c r="R610"/>
  <c r="R609"/>
  <c r="R608"/>
  <c r="R607"/>
  <c r="R606"/>
  <c r="R605"/>
  <c r="R604"/>
  <c r="R603"/>
  <c r="R602"/>
  <c r="R601"/>
  <c r="R600"/>
  <c r="R599"/>
  <c r="R598"/>
  <c r="R597"/>
  <c r="R596"/>
  <c r="R595"/>
  <c r="R594"/>
  <c r="R593"/>
  <c r="R592"/>
  <c r="R591"/>
  <c r="R590"/>
  <c r="R589"/>
  <c r="R588"/>
  <c r="R587"/>
  <c r="R586"/>
  <c r="R585"/>
  <c r="R584"/>
  <c r="R583"/>
  <c r="R582"/>
  <c r="R581"/>
  <c r="R580"/>
  <c r="R579"/>
  <c r="R578"/>
  <c r="R577"/>
  <c r="R576"/>
  <c r="R575"/>
  <c r="R574"/>
  <c r="R573"/>
  <c r="R572"/>
  <c r="R571"/>
  <c r="R570"/>
  <c r="R569"/>
  <c r="R568"/>
  <c r="R567"/>
  <c r="R566"/>
  <c r="R565"/>
  <c r="R564"/>
  <c r="R563"/>
  <c r="R562"/>
  <c r="R561"/>
  <c r="R560"/>
  <c r="R559"/>
  <c r="R558"/>
  <c r="R557"/>
  <c r="R556"/>
  <c r="R555"/>
  <c r="R554"/>
  <c r="R553"/>
  <c r="R552"/>
  <c r="R551"/>
  <c r="R550"/>
  <c r="R549"/>
  <c r="R548"/>
  <c r="R547"/>
  <c r="R546"/>
  <c r="R545"/>
  <c r="R544"/>
  <c r="R543"/>
  <c r="R542"/>
  <c r="R541"/>
  <c r="R540"/>
  <c r="R539"/>
  <c r="R538"/>
  <c r="R537"/>
  <c r="R536"/>
  <c r="R535"/>
  <c r="R534"/>
  <c r="R533"/>
  <c r="R532"/>
  <c r="R531"/>
  <c r="R530"/>
  <c r="R529"/>
  <c r="R528"/>
  <c r="R527"/>
  <c r="R526"/>
  <c r="R525"/>
  <c r="R524"/>
  <c r="R523"/>
  <c r="R522"/>
  <c r="R521"/>
  <c r="R520"/>
  <c r="R519"/>
  <c r="R518"/>
  <c r="R517"/>
  <c r="R516"/>
  <c r="R515"/>
  <c r="R514"/>
  <c r="R513"/>
  <c r="R512"/>
  <c r="R511"/>
  <c r="R510"/>
  <c r="R509"/>
  <c r="R508"/>
  <c r="R507"/>
  <c r="R506"/>
  <c r="R505"/>
  <c r="R504"/>
  <c r="R503"/>
  <c r="R502"/>
  <c r="R501"/>
  <c r="R500"/>
  <c r="R499"/>
  <c r="R498"/>
  <c r="R497"/>
  <c r="R496"/>
  <c r="R495"/>
  <c r="R494"/>
  <c r="R493"/>
  <c r="R492"/>
  <c r="R491"/>
  <c r="R490"/>
  <c r="R489"/>
  <c r="R488"/>
  <c r="R487"/>
  <c r="R486"/>
  <c r="R485"/>
  <c r="R484"/>
  <c r="R483"/>
  <c r="R482"/>
  <c r="R481"/>
  <c r="R480"/>
  <c r="R479"/>
  <c r="R478"/>
  <c r="R477"/>
  <c r="R476"/>
  <c r="R475"/>
  <c r="R474"/>
  <c r="R473"/>
  <c r="R472"/>
  <c r="R471"/>
  <c r="R470"/>
  <c r="R469"/>
  <c r="R468"/>
  <c r="R467"/>
  <c r="R466"/>
  <c r="R465"/>
  <c r="R464"/>
  <c r="R463"/>
  <c r="R462"/>
  <c r="R461"/>
  <c r="R460"/>
  <c r="R459"/>
  <c r="R458"/>
  <c r="R457"/>
  <c r="R456"/>
  <c r="R455"/>
  <c r="R454"/>
  <c r="R453"/>
  <c r="R452"/>
  <c r="R451"/>
  <c r="R450"/>
  <c r="R449"/>
  <c r="R448"/>
  <c r="R447"/>
  <c r="R446"/>
  <c r="R445"/>
  <c r="R444"/>
  <c r="R443"/>
  <c r="R442"/>
  <c r="R441"/>
  <c r="R440"/>
  <c r="R439"/>
  <c r="R438"/>
  <c r="R437"/>
  <c r="R436"/>
  <c r="R435"/>
  <c r="R434"/>
  <c r="R433"/>
  <c r="R432"/>
  <c r="R431"/>
  <c r="R430"/>
  <c r="R429"/>
  <c r="R428"/>
  <c r="R427"/>
  <c r="R426"/>
  <c r="R425"/>
  <c r="R424"/>
  <c r="R423"/>
  <c r="R422"/>
  <c r="R421"/>
  <c r="R420"/>
  <c r="R419"/>
  <c r="R418"/>
  <c r="R417"/>
  <c r="R416"/>
  <c r="R415"/>
  <c r="R414"/>
  <c r="R413"/>
  <c r="R412"/>
  <c r="R411"/>
  <c r="R410"/>
  <c r="R409"/>
  <c r="R408"/>
  <c r="R407"/>
  <c r="R406"/>
  <c r="R405"/>
  <c r="R404"/>
  <c r="R403"/>
  <c r="R402"/>
  <c r="R401"/>
  <c r="R400"/>
  <c r="R399"/>
  <c r="R398"/>
  <c r="R397"/>
  <c r="R396"/>
  <c r="R395"/>
  <c r="R394"/>
  <c r="R393"/>
  <c r="R392"/>
  <c r="R391"/>
  <c r="R390"/>
  <c r="R389"/>
  <c r="R388"/>
  <c r="R387"/>
  <c r="R386"/>
  <c r="R385"/>
  <c r="R384"/>
  <c r="R383"/>
  <c r="R382"/>
  <c r="R381"/>
  <c r="R380"/>
  <c r="R379"/>
  <c r="R378"/>
  <c r="R377"/>
  <c r="R376"/>
  <c r="R375"/>
  <c r="R374"/>
  <c r="R373"/>
  <c r="R372"/>
  <c r="R371"/>
  <c r="R370"/>
  <c r="R369"/>
  <c r="R368"/>
  <c r="R367"/>
  <c r="R366"/>
  <c r="R365"/>
  <c r="R364"/>
  <c r="R363"/>
  <c r="R362"/>
  <c r="R361"/>
  <c r="R360"/>
  <c r="R359"/>
  <c r="R358"/>
  <c r="R357"/>
  <c r="R356"/>
  <c r="R355"/>
  <c r="R354"/>
  <c r="R353"/>
  <c r="R352"/>
  <c r="R351"/>
  <c r="R350"/>
  <c r="R349"/>
  <c r="R348"/>
  <c r="R347"/>
  <c r="R346"/>
  <c r="R345"/>
  <c r="R344"/>
  <c r="R343"/>
  <c r="R342"/>
  <c r="R341"/>
  <c r="R340"/>
  <c r="R339"/>
  <c r="R338"/>
  <c r="R337"/>
  <c r="R336"/>
  <c r="R335"/>
  <c r="R334"/>
  <c r="R333"/>
  <c r="R332"/>
  <c r="R331"/>
  <c r="R330"/>
  <c r="R329"/>
  <c r="R328"/>
  <c r="R327"/>
  <c r="R326"/>
  <c r="R325"/>
  <c r="R324"/>
  <c r="R323"/>
  <c r="R322"/>
  <c r="R321"/>
  <c r="R320"/>
  <c r="R319"/>
  <c r="R318"/>
  <c r="R317"/>
  <c r="R316"/>
  <c r="R315"/>
  <c r="R314"/>
  <c r="R313"/>
  <c r="R312"/>
  <c r="R311"/>
  <c r="R310"/>
  <c r="R309"/>
  <c r="R308"/>
  <c r="R307"/>
  <c r="R306"/>
  <c r="R305"/>
  <c r="R304"/>
  <c r="R303"/>
  <c r="R302"/>
  <c r="R301"/>
  <c r="R300"/>
  <c r="R299"/>
  <c r="R298"/>
  <c r="R297"/>
  <c r="R296"/>
  <c r="R295"/>
  <c r="R294"/>
  <c r="R293"/>
  <c r="R292"/>
  <c r="R291"/>
  <c r="R290"/>
  <c r="R289"/>
  <c r="R288"/>
  <c r="R287"/>
  <c r="R286"/>
  <c r="R285"/>
  <c r="R284"/>
  <c r="R283"/>
  <c r="R282"/>
  <c r="R281"/>
  <c r="R280"/>
  <c r="R279"/>
  <c r="R278"/>
  <c r="R277"/>
  <c r="R276"/>
  <c r="R275"/>
  <c r="R274"/>
  <c r="R273"/>
  <c r="R272"/>
  <c r="R271"/>
  <c r="R270"/>
  <c r="R269"/>
  <c r="R268"/>
  <c r="R267"/>
  <c r="R266"/>
  <c r="R265"/>
  <c r="R264"/>
  <c r="R263"/>
  <c r="R262"/>
  <c r="R261"/>
  <c r="R260"/>
  <c r="R259"/>
  <c r="R258"/>
  <c r="R257"/>
  <c r="R256"/>
  <c r="R255"/>
  <c r="R254"/>
  <c r="R253"/>
  <c r="R252"/>
  <c r="R251"/>
  <c r="R250"/>
  <c r="R249"/>
  <c r="R248"/>
  <c r="R247"/>
  <c r="R246"/>
  <c r="R245"/>
  <c r="R244"/>
  <c r="R243"/>
  <c r="R242"/>
  <c r="R241"/>
  <c r="R240"/>
  <c r="R239"/>
  <c r="R238"/>
  <c r="R237"/>
  <c r="R236"/>
  <c r="R235"/>
  <c r="R234"/>
  <c r="R233"/>
  <c r="R232"/>
  <c r="R231"/>
  <c r="R230"/>
  <c r="R229"/>
  <c r="R228"/>
  <c r="R227"/>
  <c r="R226"/>
  <c r="R225"/>
  <c r="R224"/>
  <c r="R223"/>
  <c r="R222"/>
  <c r="R221"/>
  <c r="R220"/>
  <c r="R219"/>
  <c r="R218"/>
  <c r="R217"/>
  <c r="R216"/>
  <c r="R215"/>
  <c r="R214"/>
  <c r="R213"/>
  <c r="R212"/>
  <c r="R211"/>
  <c r="R210"/>
  <c r="R209"/>
  <c r="R208"/>
  <c r="R207"/>
  <c r="R206"/>
  <c r="R205"/>
  <c r="R204"/>
  <c r="R203"/>
  <c r="R202"/>
  <c r="R201"/>
  <c r="R200"/>
  <c r="R199"/>
  <c r="R198"/>
  <c r="R197"/>
  <c r="R196"/>
  <c r="R195"/>
  <c r="R194"/>
  <c r="R193"/>
  <c r="R192"/>
  <c r="R191"/>
  <c r="R190"/>
  <c r="R189"/>
  <c r="R188"/>
  <c r="R187"/>
  <c r="R186"/>
  <c r="R185"/>
  <c r="R184"/>
  <c r="R183"/>
  <c r="R182"/>
  <c r="R181"/>
  <c r="R180"/>
  <c r="R179"/>
  <c r="R178"/>
  <c r="R177"/>
  <c r="R176"/>
  <c r="R175"/>
  <c r="R174"/>
  <c r="R173"/>
  <c r="R172"/>
  <c r="R171"/>
  <c r="R170"/>
  <c r="R169"/>
  <c r="R168"/>
  <c r="R167"/>
  <c r="R166"/>
  <c r="R165"/>
  <c r="R164"/>
  <c r="R163"/>
  <c r="R162"/>
  <c r="R161"/>
  <c r="R160"/>
  <c r="R159"/>
  <c r="R158"/>
  <c r="R157"/>
  <c r="R156"/>
  <c r="R155"/>
  <c r="R154"/>
  <c r="R153"/>
  <c r="R152"/>
  <c r="R151"/>
  <c r="R150"/>
  <c r="R149"/>
  <c r="R14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R10"/>
  <c r="R9"/>
  <c r="R8"/>
  <c r="R7"/>
  <c r="R6"/>
  <c r="R5"/>
  <c r="R4"/>
  <c r="R3"/>
  <c r="R2"/>
  <c r="AH3236"/>
  <c r="V3236"/>
  <c r="T3236"/>
  <c r="AH3235"/>
  <c r="V3235"/>
  <c r="T3235"/>
  <c r="AH3234"/>
  <c r="T3234"/>
  <c r="AH3233"/>
  <c r="T3233"/>
  <c r="AH3232"/>
  <c r="T3232"/>
  <c r="AH3231"/>
  <c r="T3231"/>
  <c r="AH3230"/>
  <c r="T3230"/>
  <c r="AH3229"/>
  <c r="T3229"/>
  <c r="AH3228"/>
  <c r="T3228"/>
  <c r="AH3227"/>
  <c r="T3227"/>
  <c r="AH3226"/>
  <c r="T3226"/>
  <c r="AH3225"/>
  <c r="T3225"/>
  <c r="AH3224"/>
  <c r="T3224"/>
  <c r="AH3223"/>
  <c r="T3223"/>
  <c r="AH3222"/>
  <c r="T3222"/>
  <c r="AH3221"/>
  <c r="T3221"/>
  <c r="AH3220"/>
  <c r="T3220"/>
  <c r="AH3219"/>
  <c r="T3219"/>
  <c r="AH3218"/>
  <c r="T3218"/>
  <c r="AH3217"/>
  <c r="T3217"/>
  <c r="AH3216"/>
  <c r="T3216"/>
  <c r="AH3215"/>
  <c r="T3215"/>
  <c r="AH3214"/>
  <c r="T3214"/>
  <c r="AH3213"/>
  <c r="T3213"/>
  <c r="AH3212"/>
  <c r="T3212"/>
  <c r="AH3211"/>
  <c r="T3211"/>
  <c r="AH3210"/>
  <c r="T3210"/>
  <c r="AH3209"/>
  <c r="T3209"/>
  <c r="AH3208"/>
  <c r="T3208"/>
  <c r="AH3207"/>
  <c r="T3207"/>
  <c r="AH3206"/>
  <c r="T3206"/>
  <c r="AH3205"/>
  <c r="T3205"/>
  <c r="AH3204"/>
  <c r="T3204"/>
  <c r="AH3203"/>
  <c r="T3203"/>
  <c r="AH3202"/>
  <c r="T3202"/>
  <c r="AH3201"/>
  <c r="T3201"/>
  <c r="AH3200"/>
  <c r="T3200"/>
  <c r="AH3199"/>
  <c r="T3199"/>
  <c r="AH3198"/>
  <c r="T3198"/>
  <c r="AH3197"/>
  <c r="T3197"/>
  <c r="AH3196"/>
  <c r="T3196"/>
  <c r="AH3195"/>
  <c r="T3195"/>
  <c r="AH3194"/>
  <c r="T3194"/>
  <c r="AH3193"/>
  <c r="T3193"/>
  <c r="AH3192"/>
  <c r="T3192"/>
  <c r="AH3191"/>
  <c r="T3191"/>
  <c r="AH3190"/>
  <c r="T3190"/>
  <c r="AH3189"/>
  <c r="T3189"/>
  <c r="AH3188"/>
  <c r="T3188"/>
  <c r="AH3187"/>
  <c r="T3187"/>
  <c r="AH3186"/>
  <c r="T3186"/>
  <c r="AH3185"/>
  <c r="T3185"/>
  <c r="AH3184"/>
  <c r="V3184"/>
  <c r="T3184"/>
  <c r="AH3183"/>
  <c r="V3183"/>
  <c r="T3183"/>
  <c r="AH3182"/>
  <c r="T3182"/>
  <c r="AH3181"/>
  <c r="T3181"/>
  <c r="AH3180"/>
  <c r="T3180"/>
  <c r="AH3179"/>
  <c r="T3179"/>
  <c r="AH3178"/>
  <c r="T3178"/>
  <c r="AH3177"/>
  <c r="T3177"/>
  <c r="AH3176"/>
  <c r="T3176"/>
  <c r="AH3175"/>
  <c r="T3175"/>
  <c r="AH3174"/>
  <c r="T3174"/>
  <c r="AH3173"/>
  <c r="T3173"/>
  <c r="AH3172"/>
  <c r="V3172"/>
  <c r="T3172"/>
  <c r="AH3171"/>
  <c r="T3171"/>
  <c r="AH3170"/>
  <c r="T3170"/>
  <c r="AH3169"/>
  <c r="T3169"/>
  <c r="AH3168"/>
  <c r="T3168"/>
  <c r="AH3167"/>
  <c r="T3167"/>
  <c r="AH3166"/>
  <c r="Z3166"/>
  <c r="X3166"/>
  <c r="V3166"/>
  <c r="T3166"/>
  <c r="AH3165"/>
  <c r="Z3165"/>
  <c r="X3165"/>
  <c r="V3165"/>
  <c r="T3165"/>
  <c r="AH3164"/>
  <c r="Z3164"/>
  <c r="X3164"/>
  <c r="V3164"/>
  <c r="T3164"/>
  <c r="AH3163"/>
  <c r="Z3163"/>
  <c r="X3163"/>
  <c r="V3163"/>
  <c r="T3163"/>
  <c r="AH3162"/>
  <c r="Z3162"/>
  <c r="X3162"/>
  <c r="V3162"/>
  <c r="T3162"/>
  <c r="AH3161"/>
  <c r="Z3161"/>
  <c r="X3161"/>
  <c r="V3161"/>
  <c r="T3161"/>
  <c r="AH3160"/>
  <c r="Z3160"/>
  <c r="X3160"/>
  <c r="V3160"/>
  <c r="T3160"/>
  <c r="AH3159"/>
  <c r="Z3159"/>
  <c r="X3159"/>
  <c r="V3159"/>
  <c r="T3159"/>
  <c r="AH3158"/>
  <c r="Z3158"/>
  <c r="X3158"/>
  <c r="V3158"/>
  <c r="T3158"/>
  <c r="AH3157"/>
  <c r="Z3157"/>
  <c r="X3157"/>
  <c r="V3157"/>
  <c r="T3157"/>
  <c r="AH3156"/>
  <c r="Z3156"/>
  <c r="X3156"/>
  <c r="V3156"/>
  <c r="T3156"/>
  <c r="AH3155"/>
  <c r="T3155"/>
  <c r="AH3154"/>
  <c r="T3154"/>
  <c r="AH3153"/>
  <c r="T3153"/>
  <c r="AH3152"/>
  <c r="T3152"/>
  <c r="AH3151"/>
  <c r="T3151"/>
  <c r="AH3150"/>
  <c r="T3150"/>
  <c r="AH3149"/>
  <c r="Z3149"/>
  <c r="X3149"/>
  <c r="V3149"/>
  <c r="T3149"/>
  <c r="AH3148"/>
  <c r="Z3148"/>
  <c r="X3148"/>
  <c r="V3148"/>
  <c r="T3148"/>
  <c r="AH3147"/>
  <c r="Z3147"/>
  <c r="X3147"/>
  <c r="V3147"/>
  <c r="T3147"/>
  <c r="AH3146"/>
  <c r="Z3146"/>
  <c r="X3146"/>
  <c r="V3146"/>
  <c r="T3146"/>
  <c r="AH3145"/>
  <c r="Z3145"/>
  <c r="X3145"/>
  <c r="V3145"/>
  <c r="T3145"/>
  <c r="AH3144"/>
  <c r="Z3144"/>
  <c r="X3144"/>
  <c r="V3144"/>
  <c r="T3144"/>
  <c r="AH3143"/>
  <c r="Z3143"/>
  <c r="X3143"/>
  <c r="V3143"/>
  <c r="T3143"/>
  <c r="AH3142"/>
  <c r="Z3142"/>
  <c r="X3142"/>
  <c r="V3142"/>
  <c r="T3142"/>
  <c r="AH3141"/>
  <c r="Z3141"/>
  <c r="X3141"/>
  <c r="V3141"/>
  <c r="T3141"/>
  <c r="AH3140"/>
  <c r="T3140"/>
  <c r="AH3139"/>
  <c r="T3139"/>
  <c r="AH3138"/>
  <c r="X3138"/>
  <c r="V3138"/>
  <c r="T3138"/>
  <c r="AH3137"/>
  <c r="X3137"/>
  <c r="V3137"/>
  <c r="T3137"/>
  <c r="AH3136"/>
  <c r="V3136"/>
  <c r="T3136"/>
  <c r="AH3135"/>
  <c r="V3135"/>
  <c r="T3135"/>
  <c r="AH3134"/>
  <c r="T3134"/>
  <c r="AH3133"/>
  <c r="T3133"/>
  <c r="AH3132"/>
  <c r="T3132"/>
  <c r="AH3131"/>
  <c r="T3131"/>
  <c r="AH3130"/>
  <c r="T3130"/>
  <c r="AH3129"/>
  <c r="T3129"/>
  <c r="AH3128"/>
  <c r="T3128"/>
  <c r="AH3127"/>
  <c r="T3127"/>
  <c r="AH3126"/>
  <c r="T3126"/>
  <c r="AH3125"/>
  <c r="T3125"/>
  <c r="AH3124"/>
  <c r="T3124"/>
  <c r="AH3123"/>
  <c r="T3123"/>
  <c r="AH3122"/>
  <c r="T3122"/>
  <c r="AH3121"/>
  <c r="T3121"/>
  <c r="AH3120"/>
  <c r="T3120"/>
  <c r="AH3119"/>
  <c r="T3119"/>
  <c r="AH3118"/>
  <c r="T3118"/>
  <c r="AH3117"/>
  <c r="T3117"/>
  <c r="AH3116"/>
  <c r="T3116"/>
  <c r="AH3115"/>
  <c r="T3115"/>
  <c r="AH3114"/>
  <c r="T3114"/>
  <c r="AH3113"/>
  <c r="T3113"/>
  <c r="AH3112"/>
  <c r="T3112"/>
  <c r="AH3111"/>
  <c r="T3111"/>
  <c r="AH3110"/>
  <c r="T3110"/>
  <c r="AH3109"/>
  <c r="T3109"/>
  <c r="AH3108"/>
  <c r="T3108"/>
  <c r="AH3107"/>
  <c r="T3107"/>
  <c r="AH3106"/>
  <c r="T3106"/>
  <c r="AH3105"/>
  <c r="T3105"/>
  <c r="AH3104"/>
  <c r="T3104"/>
  <c r="AH3103"/>
  <c r="T3103"/>
  <c r="AH3102"/>
  <c r="T3102"/>
  <c r="AH3101"/>
  <c r="T3101"/>
  <c r="AH3100"/>
  <c r="T3100"/>
  <c r="AH3099"/>
  <c r="T3099"/>
  <c r="AH3098"/>
  <c r="T3098"/>
  <c r="AH3097"/>
  <c r="T3097"/>
  <c r="AH3096"/>
  <c r="T3096"/>
  <c r="AH3095"/>
  <c r="T3095"/>
  <c r="AH3094"/>
  <c r="T3094"/>
  <c r="AH3093"/>
  <c r="V3093"/>
  <c r="T3093"/>
  <c r="AH3092"/>
  <c r="V3092"/>
  <c r="T3092"/>
  <c r="AH3091"/>
  <c r="V3091"/>
  <c r="T3091"/>
  <c r="AH3090"/>
  <c r="V3090"/>
  <c r="T3090"/>
  <c r="AH3089"/>
  <c r="V3089"/>
  <c r="T3089"/>
  <c r="AH3088"/>
  <c r="V3088"/>
  <c r="T3088"/>
  <c r="AH3087"/>
  <c r="V3087"/>
  <c r="T3087"/>
  <c r="AH3086"/>
  <c r="V3086"/>
  <c r="T3086"/>
  <c r="AH3085"/>
  <c r="V3085"/>
  <c r="T3085"/>
  <c r="AH3084"/>
  <c r="V3084"/>
  <c r="T3084"/>
  <c r="AH3083"/>
  <c r="V3083"/>
  <c r="T3083"/>
  <c r="AH3082"/>
  <c r="V3082"/>
  <c r="T3082"/>
  <c r="AH3081"/>
  <c r="V3081"/>
  <c r="T3081"/>
  <c r="AH3080"/>
  <c r="V3080"/>
  <c r="T3080"/>
  <c r="AH3079"/>
  <c r="V3079"/>
  <c r="T3079"/>
  <c r="AH3078"/>
  <c r="V3078"/>
  <c r="T3078"/>
  <c r="AH3077"/>
  <c r="V3077"/>
  <c r="T3077"/>
  <c r="AH3076"/>
  <c r="V3076"/>
  <c r="T3076"/>
  <c r="AH3075"/>
  <c r="V3075"/>
  <c r="T3075"/>
  <c r="AH3074"/>
  <c r="V3074"/>
  <c r="T3074"/>
  <c r="AH3073"/>
  <c r="V3073"/>
  <c r="T3073"/>
  <c r="AH3072"/>
  <c r="V3072"/>
  <c r="T3072"/>
  <c r="AH3071"/>
  <c r="V3071"/>
  <c r="T3071"/>
  <c r="AH3070"/>
  <c r="V3070"/>
  <c r="T3070"/>
  <c r="AH3069"/>
  <c r="V3069"/>
  <c r="T3069"/>
  <c r="AH3068"/>
  <c r="V3068"/>
  <c r="T3068"/>
  <c r="AH3067"/>
  <c r="V3067"/>
  <c r="T3067"/>
  <c r="AH3066"/>
  <c r="V3066"/>
  <c r="T3066"/>
  <c r="AH3065"/>
  <c r="V3065"/>
  <c r="T3065"/>
  <c r="AH3064"/>
  <c r="V3064"/>
  <c r="T3064"/>
  <c r="AH3063"/>
  <c r="V3063"/>
  <c r="T3063"/>
  <c r="AH3062"/>
  <c r="V3062"/>
  <c r="T3062"/>
  <c r="AH3061"/>
  <c r="T3061"/>
  <c r="AH3060"/>
  <c r="T3060"/>
  <c r="AH3059"/>
  <c r="T3059"/>
  <c r="AH3058"/>
  <c r="V3058"/>
  <c r="T3058"/>
  <c r="AH3057"/>
  <c r="V3057"/>
  <c r="T3057"/>
  <c r="AH3056"/>
  <c r="V3056"/>
  <c r="T3056"/>
  <c r="AH3055"/>
  <c r="V3055"/>
  <c r="T3055"/>
  <c r="AH3054"/>
  <c r="V3054"/>
  <c r="T3054"/>
  <c r="AH3053"/>
  <c r="V3053"/>
  <c r="T3053"/>
  <c r="AH3052"/>
  <c r="V3052"/>
  <c r="T3052"/>
  <c r="AH3051"/>
  <c r="V3051"/>
  <c r="T3051"/>
  <c r="AH3050"/>
  <c r="V3050"/>
  <c r="T3050"/>
  <c r="AH3049"/>
  <c r="V3049"/>
  <c r="T3049"/>
  <c r="AH3048"/>
  <c r="V3048"/>
  <c r="T3048"/>
  <c r="AH3047"/>
  <c r="V3047"/>
  <c r="T3047"/>
  <c r="AH3046"/>
  <c r="V3046"/>
  <c r="T3046"/>
  <c r="AH3045"/>
  <c r="V3045"/>
  <c r="T3045"/>
  <c r="AH3044"/>
  <c r="V3044"/>
  <c r="T3044"/>
  <c r="AH3043"/>
  <c r="V3043"/>
  <c r="T3043"/>
  <c r="AH3042"/>
  <c r="V3042"/>
  <c r="T3042"/>
  <c r="AH3041"/>
  <c r="V3041"/>
  <c r="T3041"/>
  <c r="AH3040"/>
  <c r="V3040"/>
  <c r="T3040"/>
  <c r="AH3039"/>
  <c r="V3039"/>
  <c r="T3039"/>
  <c r="AH3038"/>
  <c r="V3038"/>
  <c r="T3038"/>
  <c r="AH3037"/>
  <c r="V3037"/>
  <c r="T3037"/>
  <c r="AH3036"/>
  <c r="V3036"/>
  <c r="T3036"/>
  <c r="AH3035"/>
  <c r="V3035"/>
  <c r="T3035"/>
  <c r="AH3034"/>
  <c r="V3034"/>
  <c r="T3034"/>
  <c r="AH3033"/>
  <c r="V3033"/>
  <c r="T3033"/>
  <c r="AH3032"/>
  <c r="V3032"/>
  <c r="T3032"/>
  <c r="AH3031"/>
  <c r="V3031"/>
  <c r="T3031"/>
  <c r="AH3030"/>
  <c r="V3030"/>
  <c r="T3030"/>
  <c r="AH3029"/>
  <c r="V3029"/>
  <c r="T3029"/>
  <c r="AH3028"/>
  <c r="V3028"/>
  <c r="T3028"/>
  <c r="AH3027"/>
  <c r="V3027"/>
  <c r="T3027"/>
  <c r="AH3026"/>
  <c r="V3026"/>
  <c r="T3026"/>
  <c r="AH3025"/>
  <c r="V3025"/>
  <c r="T3025"/>
  <c r="AH3024"/>
  <c r="V3024"/>
  <c r="T3024"/>
  <c r="AH3023"/>
  <c r="V3023"/>
  <c r="T3023"/>
  <c r="AH3022"/>
  <c r="V3022"/>
  <c r="T3022"/>
  <c r="AH3021"/>
  <c r="V3021"/>
  <c r="T3021"/>
  <c r="AH3020"/>
  <c r="V3020"/>
  <c r="T3020"/>
  <c r="AH3019"/>
  <c r="V3019"/>
  <c r="T3019"/>
  <c r="AH3018"/>
  <c r="V3018"/>
  <c r="T3018"/>
  <c r="AH3017"/>
  <c r="V3017"/>
  <c r="T3017"/>
  <c r="AH3016"/>
  <c r="V3016"/>
  <c r="T3016"/>
  <c r="AH3015"/>
  <c r="V3015"/>
  <c r="T3015"/>
  <c r="AH3014"/>
  <c r="V3014"/>
  <c r="T3014"/>
  <c r="AH3013"/>
  <c r="V3013"/>
  <c r="T3013"/>
  <c r="AH3012"/>
  <c r="V3012"/>
  <c r="T3012"/>
  <c r="AH3011"/>
  <c r="V3011"/>
  <c r="T3011"/>
  <c r="AH3010"/>
  <c r="V3010"/>
  <c r="T3010"/>
  <c r="AH3009"/>
  <c r="V3009"/>
  <c r="T3009"/>
  <c r="AH3008"/>
  <c r="V3008"/>
  <c r="T3008"/>
  <c r="AH3007"/>
  <c r="V3007"/>
  <c r="T3007"/>
  <c r="AH3006"/>
  <c r="V3006"/>
  <c r="T3006"/>
  <c r="AH3005"/>
  <c r="V3005"/>
  <c r="T3005"/>
  <c r="AH3004"/>
  <c r="V3004"/>
  <c r="T3004"/>
  <c r="AH3003"/>
  <c r="V3003"/>
  <c r="T3003"/>
  <c r="AH3002"/>
  <c r="T3002"/>
  <c r="AH3001"/>
  <c r="V3001"/>
  <c r="T3001"/>
  <c r="AH3000"/>
  <c r="V3000"/>
  <c r="T3000"/>
  <c r="AH2999"/>
  <c r="V2999"/>
  <c r="T2999"/>
  <c r="AH2998"/>
  <c r="V2998"/>
  <c r="T2998"/>
  <c r="AH2997"/>
  <c r="V2997"/>
  <c r="T2997"/>
  <c r="AH2996"/>
  <c r="V2996"/>
  <c r="T2996"/>
  <c r="AH2995"/>
  <c r="V2995"/>
  <c r="T2995"/>
  <c r="AH2994"/>
  <c r="V2994"/>
  <c r="T2994"/>
  <c r="AH2993"/>
  <c r="V2993"/>
  <c r="T2993"/>
  <c r="AH2992"/>
  <c r="V2992"/>
  <c r="T2992"/>
  <c r="AH2991"/>
  <c r="V2991"/>
  <c r="T2991"/>
  <c r="AH2990"/>
  <c r="V2990"/>
  <c r="T2990"/>
  <c r="AH2989"/>
  <c r="V2989"/>
  <c r="T2989"/>
  <c r="AH2988"/>
  <c r="V2988"/>
  <c r="T2988"/>
  <c r="AH2987"/>
  <c r="V2987"/>
  <c r="T2987"/>
  <c r="AH2986"/>
  <c r="V2986"/>
  <c r="T2986"/>
  <c r="AH2985"/>
  <c r="V2985"/>
  <c r="T2985"/>
  <c r="AH2984"/>
  <c r="V2984"/>
  <c r="T2984"/>
  <c r="AH2983"/>
  <c r="V2983"/>
  <c r="T2983"/>
  <c r="AH2982"/>
  <c r="V2982"/>
  <c r="T2982"/>
  <c r="AH2981"/>
  <c r="V2981"/>
  <c r="T2981"/>
  <c r="AH2980"/>
  <c r="V2980"/>
  <c r="T2980"/>
  <c r="AH2979"/>
  <c r="V2979"/>
  <c r="T2979"/>
  <c r="AH2978"/>
  <c r="V2978"/>
  <c r="T2978"/>
  <c r="AH2977"/>
  <c r="V2977"/>
  <c r="T2977"/>
  <c r="AH2976"/>
  <c r="V2976"/>
  <c r="T2976"/>
  <c r="AH2975"/>
  <c r="V2975"/>
  <c r="T2975"/>
  <c r="AH2974"/>
  <c r="V2974"/>
  <c r="T2974"/>
  <c r="AH2973"/>
  <c r="V2973"/>
  <c r="T2973"/>
  <c r="AH2972"/>
  <c r="V2972"/>
  <c r="T2972"/>
  <c r="AH2971"/>
  <c r="T2971"/>
  <c r="AH2970"/>
  <c r="T2970"/>
  <c r="AH2969"/>
  <c r="T2969"/>
  <c r="AH2968"/>
  <c r="T2968"/>
  <c r="AH2967"/>
  <c r="T2967"/>
  <c r="AH2966"/>
  <c r="T2966"/>
  <c r="AH2965"/>
  <c r="T2965"/>
  <c r="AH2964"/>
  <c r="T2964"/>
  <c r="AH2963"/>
  <c r="T2963"/>
  <c r="AH2962"/>
  <c r="T2962"/>
  <c r="AH2961"/>
  <c r="T2961"/>
  <c r="AH2960"/>
  <c r="T2960"/>
  <c r="AH2959"/>
  <c r="T2959"/>
  <c r="AH2958"/>
  <c r="T2958"/>
  <c r="AH2957"/>
  <c r="T2957"/>
  <c r="AH2956"/>
  <c r="T2956"/>
  <c r="AH2955"/>
  <c r="T2955"/>
  <c r="AH2954"/>
  <c r="T2954"/>
  <c r="AH2953"/>
  <c r="T2953"/>
  <c r="AH2952"/>
  <c r="T2952"/>
  <c r="AH2951"/>
  <c r="T2951"/>
  <c r="AH2950"/>
  <c r="T2950"/>
  <c r="AH2949"/>
  <c r="T2949"/>
  <c r="AH2948"/>
  <c r="T2948"/>
  <c r="AH2947"/>
  <c r="T2947"/>
  <c r="AH2946"/>
  <c r="T2946"/>
  <c r="AH2945"/>
  <c r="T2945"/>
  <c r="AH2944"/>
  <c r="T2944"/>
  <c r="AH2943"/>
  <c r="T2943"/>
  <c r="AH2942"/>
  <c r="T2942"/>
  <c r="AH2941"/>
  <c r="T2941"/>
  <c r="AH2940"/>
  <c r="T2940"/>
  <c r="AH2939"/>
  <c r="T2939"/>
  <c r="AH2938"/>
  <c r="T2938"/>
  <c r="AH2937"/>
  <c r="T2937"/>
  <c r="AH2936"/>
  <c r="T2936"/>
  <c r="AH2935"/>
  <c r="T2935"/>
  <c r="AH2934"/>
  <c r="T2934"/>
  <c r="AH2933"/>
  <c r="T2933"/>
  <c r="AH2932"/>
  <c r="T2932"/>
  <c r="AH2931"/>
  <c r="T2931"/>
  <c r="AH2930"/>
  <c r="T2930"/>
  <c r="AH2929"/>
  <c r="T2929"/>
  <c r="AH2928"/>
  <c r="T2928"/>
  <c r="AH2927"/>
  <c r="T2927"/>
  <c r="AH2926"/>
  <c r="T2926"/>
  <c r="AH2925"/>
  <c r="T2925"/>
  <c r="AH2924"/>
  <c r="V2924"/>
  <c r="T2924"/>
  <c r="AH2923"/>
  <c r="T2923"/>
  <c r="AH2922"/>
  <c r="T2922"/>
  <c r="AH2921"/>
  <c r="T2921"/>
  <c r="AH2920"/>
  <c r="T2920"/>
  <c r="AH2919"/>
  <c r="T2919"/>
  <c r="AH2918"/>
  <c r="T2918"/>
  <c r="AH2917"/>
  <c r="T2917"/>
  <c r="AH2916"/>
  <c r="T2916"/>
  <c r="AH2915"/>
  <c r="T2915"/>
  <c r="AH2914"/>
  <c r="T2914"/>
  <c r="AH2913"/>
  <c r="T2913"/>
  <c r="AH2912"/>
  <c r="T2912"/>
  <c r="AH2911"/>
  <c r="T2911"/>
  <c r="AH2910"/>
  <c r="T2910"/>
  <c r="AH2909"/>
  <c r="T2909"/>
  <c r="AH2908"/>
  <c r="T2908"/>
  <c r="AH2907"/>
  <c r="T2907"/>
  <c r="AH2906"/>
  <c r="T2906"/>
  <c r="AH2905"/>
  <c r="T2905"/>
  <c r="AH2904"/>
  <c r="T2904"/>
  <c r="AH2903"/>
  <c r="T2903"/>
  <c r="AH2902"/>
  <c r="T2902"/>
  <c r="AH2901"/>
  <c r="T2901"/>
  <c r="AH2900"/>
  <c r="T2900"/>
  <c r="AH2899"/>
  <c r="T2899"/>
  <c r="AH2898"/>
  <c r="T2898"/>
  <c r="AH2897"/>
  <c r="T2897"/>
  <c r="AH2896"/>
  <c r="T2896"/>
  <c r="AH2895"/>
  <c r="T2895"/>
  <c r="AH2894"/>
  <c r="T2894"/>
  <c r="AH2893"/>
  <c r="T2893"/>
  <c r="AH2892"/>
  <c r="T2892"/>
  <c r="AH2891"/>
  <c r="T2891"/>
  <c r="AH2890"/>
  <c r="T2890"/>
  <c r="AH2889"/>
  <c r="T2889"/>
  <c r="AH2888"/>
  <c r="X2888"/>
  <c r="V2888"/>
  <c r="T2888"/>
  <c r="AH2887"/>
  <c r="X2887"/>
  <c r="V2887"/>
  <c r="T2887"/>
  <c r="AH2886"/>
  <c r="X2886"/>
  <c r="V2886"/>
  <c r="T2886"/>
  <c r="AH2885"/>
  <c r="X2885"/>
  <c r="V2885"/>
  <c r="T2885"/>
  <c r="AH2884"/>
  <c r="X2884"/>
  <c r="V2884"/>
  <c r="T2884"/>
  <c r="AH2883"/>
  <c r="X2883"/>
  <c r="V2883"/>
  <c r="T2883"/>
  <c r="AH2882"/>
  <c r="X2882"/>
  <c r="V2882"/>
  <c r="T2882"/>
  <c r="AH2881"/>
  <c r="X2881"/>
  <c r="V2881"/>
  <c r="T2881"/>
  <c r="AH2880"/>
  <c r="X2880"/>
  <c r="V2880"/>
  <c r="T2880"/>
  <c r="AH2879"/>
  <c r="X2879"/>
  <c r="V2879"/>
  <c r="T2879"/>
  <c r="AH2878"/>
  <c r="X2878"/>
  <c r="V2878"/>
  <c r="T2878"/>
  <c r="AH2877"/>
  <c r="X2877"/>
  <c r="V2877"/>
  <c r="T2877"/>
  <c r="AH2876"/>
  <c r="X2876"/>
  <c r="V2876"/>
  <c r="T2876"/>
  <c r="AH2875"/>
  <c r="X2875"/>
  <c r="V2875"/>
  <c r="T2875"/>
  <c r="AH2874"/>
  <c r="X2874"/>
  <c r="V2874"/>
  <c r="T2874"/>
  <c r="AH2873"/>
  <c r="X2873"/>
  <c r="V2873"/>
  <c r="T2873"/>
  <c r="AH2872"/>
  <c r="X2872"/>
  <c r="V2872"/>
  <c r="T2872"/>
  <c r="AH2871"/>
  <c r="X2871"/>
  <c r="V2871"/>
  <c r="T2871"/>
  <c r="AH2870"/>
  <c r="X2870"/>
  <c r="V2870"/>
  <c r="T2870"/>
  <c r="AH2869"/>
  <c r="X2869"/>
  <c r="V2869"/>
  <c r="T2869"/>
  <c r="AH2868"/>
  <c r="X2868"/>
  <c r="V2868"/>
  <c r="T2868"/>
  <c r="AH2867"/>
  <c r="X2867"/>
  <c r="V2867"/>
  <c r="T2867"/>
  <c r="AH2866"/>
  <c r="X2866"/>
  <c r="V2866"/>
  <c r="T2866"/>
  <c r="AH2865"/>
  <c r="X2865"/>
  <c r="V2865"/>
  <c r="T2865"/>
  <c r="AH2864"/>
  <c r="X2864"/>
  <c r="V2864"/>
  <c r="T2864"/>
  <c r="AH2863"/>
  <c r="X2863"/>
  <c r="V2863"/>
  <c r="T2863"/>
  <c r="AH2862"/>
  <c r="X2862"/>
  <c r="V2862"/>
  <c r="T2862"/>
  <c r="AH2861"/>
  <c r="T2861"/>
  <c r="AH2860"/>
  <c r="T2860"/>
  <c r="AH2859"/>
  <c r="T2859"/>
  <c r="AH2858"/>
  <c r="T2858"/>
  <c r="AH2857"/>
  <c r="T2857"/>
  <c r="AH2856"/>
  <c r="T2856"/>
  <c r="AH2855"/>
  <c r="T2855"/>
  <c r="AH2854"/>
  <c r="T2854"/>
  <c r="AH2853"/>
  <c r="T2853"/>
  <c r="AH2852"/>
  <c r="T2852"/>
  <c r="AH2851"/>
  <c r="T2851"/>
  <c r="AH2850"/>
  <c r="T2850"/>
  <c r="AH2849"/>
  <c r="T2849"/>
  <c r="AH2848"/>
  <c r="T2848"/>
  <c r="AH2847"/>
  <c r="T2847"/>
  <c r="AH2846"/>
  <c r="T2846"/>
  <c r="AH2845"/>
  <c r="T2845"/>
  <c r="AH2844"/>
  <c r="T2844"/>
  <c r="AH2843"/>
  <c r="T2843"/>
  <c r="AH2842"/>
  <c r="T2842"/>
  <c r="AH2841"/>
  <c r="T2841"/>
  <c r="AH2840"/>
  <c r="T2840"/>
  <c r="AH2839"/>
  <c r="T2839"/>
  <c r="AH2838"/>
  <c r="T2838"/>
  <c r="AH2837"/>
  <c r="T2837"/>
  <c r="AH2836"/>
  <c r="T2836"/>
  <c r="AH2835"/>
  <c r="T2835"/>
  <c r="AH2834"/>
  <c r="T2834"/>
  <c r="AH2833"/>
  <c r="T2833"/>
  <c r="AH2832"/>
  <c r="T2832"/>
  <c r="AH2831"/>
  <c r="T2831"/>
  <c r="AH2830"/>
  <c r="T2830"/>
  <c r="AH2829"/>
  <c r="T2829"/>
  <c r="AH2828"/>
  <c r="T2828"/>
  <c r="AH2827"/>
  <c r="T2827"/>
  <c r="AH2826"/>
  <c r="T2826"/>
  <c r="AH2825"/>
  <c r="T2825"/>
  <c r="AH2824"/>
  <c r="T2824"/>
  <c r="AH2823"/>
  <c r="T2823"/>
  <c r="AH2822"/>
  <c r="T2822"/>
  <c r="AH2821"/>
  <c r="T2821"/>
  <c r="AH2820"/>
  <c r="T2820"/>
  <c r="AH2819"/>
  <c r="T2819"/>
  <c r="AH2818"/>
  <c r="T2818"/>
  <c r="AH2817"/>
  <c r="T2817"/>
  <c r="AH2816"/>
  <c r="T2816"/>
  <c r="AH2815"/>
  <c r="T2815"/>
  <c r="AH2814"/>
  <c r="T2814"/>
  <c r="AH2813"/>
  <c r="T2813"/>
  <c r="AH2812"/>
  <c r="T2812"/>
  <c r="AH2811"/>
  <c r="T2811"/>
  <c r="AH2810"/>
  <c r="T2810"/>
  <c r="AH2809"/>
  <c r="T2809"/>
  <c r="AH2808"/>
  <c r="T2808"/>
  <c r="AH2807"/>
  <c r="T2807"/>
  <c r="AH2806"/>
  <c r="T2806"/>
  <c r="AH2805"/>
  <c r="T2805"/>
  <c r="AH2804"/>
  <c r="T2804"/>
  <c r="AH2803"/>
  <c r="T2803"/>
  <c r="AH2802"/>
  <c r="T2802"/>
  <c r="AH2801"/>
  <c r="T2801"/>
  <c r="AH2800"/>
  <c r="T2800"/>
  <c r="AH2799"/>
  <c r="T2799"/>
  <c r="AH2798"/>
  <c r="T2798"/>
  <c r="AH2797"/>
  <c r="T2797"/>
  <c r="AH2796"/>
  <c r="T2796"/>
  <c r="AH2795"/>
  <c r="T2795"/>
  <c r="AH2794"/>
  <c r="T2794"/>
  <c r="AH2793"/>
  <c r="T2793"/>
  <c r="AH2792"/>
  <c r="T2792"/>
  <c r="AH2791"/>
  <c r="T2791"/>
  <c r="AH2790"/>
  <c r="T2790"/>
  <c r="AH2789"/>
  <c r="T2789"/>
  <c r="AH2788"/>
  <c r="T2788"/>
  <c r="AH2787"/>
  <c r="T2787"/>
  <c r="AH2786"/>
  <c r="T2786"/>
  <c r="AH2785"/>
  <c r="T2785"/>
  <c r="AH2784"/>
  <c r="T2784"/>
  <c r="AH2783"/>
  <c r="T2783"/>
  <c r="AH2782"/>
  <c r="T2782"/>
  <c r="AH2781"/>
  <c r="T2781"/>
  <c r="AH2780"/>
  <c r="T2780"/>
  <c r="AH2779"/>
  <c r="T2779"/>
  <c r="AH2778"/>
  <c r="T2778"/>
  <c r="AH2777"/>
  <c r="T2777"/>
  <c r="AH2776"/>
  <c r="T2776"/>
  <c r="AH2775"/>
  <c r="T2775"/>
  <c r="AH2774"/>
  <c r="T2774"/>
  <c r="AH2773"/>
  <c r="T2773"/>
  <c r="AH2772"/>
  <c r="T2772"/>
  <c r="AH2771"/>
  <c r="T2771"/>
  <c r="AH2770"/>
  <c r="T2770"/>
  <c r="AH2769"/>
  <c r="T2769"/>
  <c r="AH2768"/>
  <c r="T2768"/>
  <c r="AH2767"/>
  <c r="T2767"/>
  <c r="AH2766"/>
  <c r="T2766"/>
  <c r="AH2765"/>
  <c r="X2765"/>
  <c r="V2765"/>
  <c r="T2765"/>
  <c r="AH2764"/>
  <c r="X2764"/>
  <c r="V2764"/>
  <c r="T2764"/>
  <c r="AH2763"/>
  <c r="X2763"/>
  <c r="V2763"/>
  <c r="T2763"/>
  <c r="AH2762"/>
  <c r="V2762"/>
  <c r="T2762"/>
  <c r="AH2761"/>
  <c r="X2761"/>
  <c r="V2761"/>
  <c r="T2761"/>
  <c r="AH2760"/>
  <c r="V2760"/>
  <c r="T2760"/>
  <c r="AH2759"/>
  <c r="X2759"/>
  <c r="V2759"/>
  <c r="T2759"/>
  <c r="AH2758"/>
  <c r="X2758"/>
  <c r="V2758"/>
  <c r="T2758"/>
  <c r="AH2757"/>
  <c r="X2757"/>
  <c r="V2757"/>
  <c r="T2757"/>
  <c r="AH2756"/>
  <c r="X2756"/>
  <c r="V2756"/>
  <c r="T2756"/>
  <c r="AH2755"/>
  <c r="X2755"/>
  <c r="V2755"/>
  <c r="T2755"/>
  <c r="AH2754"/>
  <c r="X2754"/>
  <c r="V2754"/>
  <c r="T2754"/>
  <c r="AH2753"/>
  <c r="X2753"/>
  <c r="V2753"/>
  <c r="T2753"/>
  <c r="AH2752"/>
  <c r="X2752"/>
  <c r="V2752"/>
  <c r="T2752"/>
  <c r="AH2751"/>
  <c r="X2751"/>
  <c r="V2751"/>
  <c r="T2751"/>
  <c r="AH2750"/>
  <c r="X2750"/>
  <c r="V2750"/>
  <c r="T2750"/>
  <c r="AH2749"/>
  <c r="X2749"/>
  <c r="V2749"/>
  <c r="T2749"/>
  <c r="AH2748"/>
  <c r="X2748"/>
  <c r="V2748"/>
  <c r="T2748"/>
  <c r="AH2747"/>
  <c r="X2747"/>
  <c r="V2747"/>
  <c r="T2747"/>
  <c r="AH2746"/>
  <c r="X2746"/>
  <c r="V2746"/>
  <c r="T2746"/>
  <c r="AH2745"/>
  <c r="X2745"/>
  <c r="V2745"/>
  <c r="T2745"/>
  <c r="AH2744"/>
  <c r="X2744"/>
  <c r="V2744"/>
  <c r="T2744"/>
  <c r="AH2743"/>
  <c r="X2743"/>
  <c r="V2743"/>
  <c r="T2743"/>
  <c r="AH2742"/>
  <c r="X2742"/>
  <c r="V2742"/>
  <c r="T2742"/>
  <c r="AH2741"/>
  <c r="X2741"/>
  <c r="V2741"/>
  <c r="T2741"/>
  <c r="AH2740"/>
  <c r="X2740"/>
  <c r="V2740"/>
  <c r="T2740"/>
  <c r="AH2739"/>
  <c r="X2739"/>
  <c r="V2739"/>
  <c r="T2739"/>
  <c r="AH2738"/>
  <c r="X2738"/>
  <c r="V2738"/>
  <c r="T2738"/>
  <c r="AH2737"/>
  <c r="X2737"/>
  <c r="V2737"/>
  <c r="T2737"/>
  <c r="AH2736"/>
  <c r="X2736"/>
  <c r="V2736"/>
  <c r="T2736"/>
  <c r="AH2735"/>
  <c r="X2735"/>
  <c r="V2735"/>
  <c r="T2735"/>
  <c r="AH2734"/>
  <c r="X2734"/>
  <c r="V2734"/>
  <c r="T2734"/>
  <c r="AH2733"/>
  <c r="X2733"/>
  <c r="V2733"/>
  <c r="T2733"/>
  <c r="AH2732"/>
  <c r="X2732"/>
  <c r="V2732"/>
  <c r="T2732"/>
  <c r="AH2731"/>
  <c r="X2731"/>
  <c r="V2731"/>
  <c r="T2731"/>
  <c r="AH2730"/>
  <c r="X2730"/>
  <c r="V2730"/>
  <c r="T2730"/>
  <c r="AH2729"/>
  <c r="X2729"/>
  <c r="V2729"/>
  <c r="T2729"/>
  <c r="AH2728"/>
  <c r="X2728"/>
  <c r="V2728"/>
  <c r="T2728"/>
  <c r="AH2727"/>
  <c r="T2727"/>
  <c r="AH2726"/>
  <c r="T2726"/>
  <c r="AH2725"/>
  <c r="T2725"/>
  <c r="AH2724"/>
  <c r="T2724"/>
  <c r="AH2723"/>
  <c r="T2723"/>
  <c r="AH2722"/>
  <c r="T2722"/>
  <c r="AH2721"/>
  <c r="T2721"/>
  <c r="AH2720"/>
  <c r="T2720"/>
  <c r="AH2719"/>
  <c r="T2719"/>
  <c r="AH2718"/>
  <c r="T2718"/>
  <c r="AH2717"/>
  <c r="T2717"/>
  <c r="AH2716"/>
  <c r="T2716"/>
  <c r="AH2715"/>
  <c r="T2715"/>
  <c r="AH2714"/>
  <c r="T2714"/>
  <c r="AH2713"/>
  <c r="T2713"/>
  <c r="AH2712"/>
  <c r="T2712"/>
  <c r="AH2711"/>
  <c r="T2711"/>
  <c r="AH2710"/>
  <c r="T2710"/>
  <c r="AH2709"/>
  <c r="T2709"/>
  <c r="AH2708"/>
  <c r="T2708"/>
  <c r="AH2707"/>
  <c r="T2707"/>
  <c r="AH2706"/>
  <c r="T2706"/>
  <c r="AH2705"/>
  <c r="T2705"/>
  <c r="AH2704"/>
  <c r="T2704"/>
  <c r="AH2703"/>
  <c r="T2703"/>
  <c r="AH2702"/>
  <c r="T2702"/>
  <c r="AH2701"/>
  <c r="T2701"/>
  <c r="AH2700"/>
  <c r="T2700"/>
  <c r="AH2699"/>
  <c r="T2699"/>
  <c r="AH2698"/>
  <c r="T2698"/>
  <c r="AH2697"/>
  <c r="T2697"/>
  <c r="AH2696"/>
  <c r="T2696"/>
  <c r="AH2695"/>
  <c r="T2695"/>
  <c r="AH2694"/>
  <c r="T2694"/>
  <c r="AH2693"/>
  <c r="T2693"/>
  <c r="AH2692"/>
  <c r="T2692"/>
  <c r="AH2691"/>
  <c r="T2691"/>
  <c r="AH2690"/>
  <c r="T2690"/>
  <c r="AH2689"/>
  <c r="T2689"/>
  <c r="AH2688"/>
  <c r="Z2688"/>
  <c r="X2688"/>
  <c r="V2688"/>
  <c r="T2688"/>
  <c r="AH2687"/>
  <c r="Z2687"/>
  <c r="X2687"/>
  <c r="V2687"/>
  <c r="T2687"/>
  <c r="AH2686"/>
  <c r="Z2686"/>
  <c r="X2686"/>
  <c r="V2686"/>
  <c r="T2686"/>
  <c r="AH2685"/>
  <c r="Z2685"/>
  <c r="X2685"/>
  <c r="V2685"/>
  <c r="T2685"/>
  <c r="AH2684"/>
  <c r="Z2684"/>
  <c r="X2684"/>
  <c r="V2684"/>
  <c r="T2684"/>
  <c r="AH2683"/>
  <c r="Z2683"/>
  <c r="X2683"/>
  <c r="V2683"/>
  <c r="T2683"/>
  <c r="AH2682"/>
  <c r="Z2682"/>
  <c r="X2682"/>
  <c r="V2682"/>
  <c r="T2682"/>
  <c r="AH2681"/>
  <c r="Z2681"/>
  <c r="X2681"/>
  <c r="V2681"/>
  <c r="T2681"/>
  <c r="AH2680"/>
  <c r="Z2680"/>
  <c r="X2680"/>
  <c r="V2680"/>
  <c r="T2680"/>
  <c r="AH2679"/>
  <c r="Z2679"/>
  <c r="X2679"/>
  <c r="V2679"/>
  <c r="T2679"/>
  <c r="AH2678"/>
  <c r="Z2678"/>
  <c r="X2678"/>
  <c r="V2678"/>
  <c r="T2678"/>
  <c r="AH2677"/>
  <c r="Z2677"/>
  <c r="X2677"/>
  <c r="V2677"/>
  <c r="T2677"/>
  <c r="AH2676"/>
  <c r="Z2676"/>
  <c r="X2676"/>
  <c r="V2676"/>
  <c r="T2676"/>
  <c r="AH2675"/>
  <c r="Z2675"/>
  <c r="X2675"/>
  <c r="V2675"/>
  <c r="T2675"/>
  <c r="AH2674"/>
  <c r="Z2674"/>
  <c r="X2674"/>
  <c r="V2674"/>
  <c r="T2674"/>
  <c r="AH2673"/>
  <c r="Z2673"/>
  <c r="X2673"/>
  <c r="V2673"/>
  <c r="T2673"/>
  <c r="AH2672"/>
  <c r="Z2672"/>
  <c r="X2672"/>
  <c r="V2672"/>
  <c r="T2672"/>
  <c r="AH2671"/>
  <c r="Z2671"/>
  <c r="X2671"/>
  <c r="V2671"/>
  <c r="T2671"/>
  <c r="AH2670"/>
  <c r="Z2670"/>
  <c r="X2670"/>
  <c r="V2670"/>
  <c r="T2670"/>
  <c r="AH2669"/>
  <c r="Z2669"/>
  <c r="X2669"/>
  <c r="V2669"/>
  <c r="T2669"/>
  <c r="AH2668"/>
  <c r="Z2668"/>
  <c r="X2668"/>
  <c r="V2668"/>
  <c r="T2668"/>
  <c r="AH2667"/>
  <c r="Z2667"/>
  <c r="X2667"/>
  <c r="V2667"/>
  <c r="T2667"/>
  <c r="AH2666"/>
  <c r="Z2666"/>
  <c r="X2666"/>
  <c r="V2666"/>
  <c r="T2666"/>
  <c r="AH2665"/>
  <c r="Z2665"/>
  <c r="X2665"/>
  <c r="V2665"/>
  <c r="T2665"/>
  <c r="AH2664"/>
  <c r="Z2664"/>
  <c r="X2664"/>
  <c r="V2664"/>
  <c r="T2664"/>
  <c r="AH2663"/>
  <c r="Z2663"/>
  <c r="X2663"/>
  <c r="V2663"/>
  <c r="T2663"/>
  <c r="AH2662"/>
  <c r="Z2662"/>
  <c r="X2662"/>
  <c r="V2662"/>
  <c r="T2662"/>
  <c r="AH2661"/>
  <c r="Z2661"/>
  <c r="X2661"/>
  <c r="V2661"/>
  <c r="T2661"/>
  <c r="AH2660"/>
  <c r="Z2660"/>
  <c r="X2660"/>
  <c r="V2660"/>
  <c r="T2660"/>
  <c r="AH2659"/>
  <c r="Z2659"/>
  <c r="X2659"/>
  <c r="V2659"/>
  <c r="T2659"/>
  <c r="AH2658"/>
  <c r="Z2658"/>
  <c r="X2658"/>
  <c r="V2658"/>
  <c r="T2658"/>
  <c r="AH2657"/>
  <c r="Z2657"/>
  <c r="X2657"/>
  <c r="V2657"/>
  <c r="T2657"/>
  <c r="AH2656"/>
  <c r="Z2656"/>
  <c r="X2656"/>
  <c r="V2656"/>
  <c r="T2656"/>
  <c r="AH2655"/>
  <c r="Z2655"/>
  <c r="X2655"/>
  <c r="V2655"/>
  <c r="T2655"/>
  <c r="AH2654"/>
  <c r="Z2654"/>
  <c r="X2654"/>
  <c r="V2654"/>
  <c r="T2654"/>
  <c r="AH2653"/>
  <c r="Z2653"/>
  <c r="X2653"/>
  <c r="V2653"/>
  <c r="T2653"/>
  <c r="AH2652"/>
  <c r="Z2652"/>
  <c r="X2652"/>
  <c r="V2652"/>
  <c r="T2652"/>
  <c r="AH2651"/>
  <c r="Z2651"/>
  <c r="X2651"/>
  <c r="V2651"/>
  <c r="T2651"/>
  <c r="AH2650"/>
  <c r="T2650"/>
  <c r="AH2649"/>
  <c r="T2649"/>
  <c r="AH2648"/>
  <c r="T2648"/>
  <c r="AH2647"/>
  <c r="T2647"/>
  <c r="AH2646"/>
  <c r="T2646"/>
  <c r="AH2645"/>
  <c r="T2645"/>
  <c r="AH2644"/>
  <c r="T2644"/>
  <c r="AH2643"/>
  <c r="T2643"/>
  <c r="AH2642"/>
  <c r="T2642"/>
  <c r="AH2641"/>
  <c r="T2641"/>
  <c r="AH2640"/>
  <c r="T2640"/>
  <c r="AH2639"/>
  <c r="T2639"/>
  <c r="AH2638"/>
  <c r="T2638"/>
  <c r="AH2637"/>
  <c r="T2637"/>
  <c r="AH2636"/>
  <c r="T2636"/>
  <c r="AH2635"/>
  <c r="T2635"/>
  <c r="AH2634"/>
  <c r="T2634"/>
  <c r="AH2633"/>
  <c r="T2633"/>
  <c r="AH2632"/>
  <c r="T2632"/>
  <c r="AH2631"/>
  <c r="T2631"/>
  <c r="AH2630"/>
  <c r="T2630"/>
  <c r="AH2629"/>
  <c r="T2629"/>
  <c r="AH2628"/>
  <c r="T2628"/>
  <c r="AH2627"/>
  <c r="T2627"/>
  <c r="AH2626"/>
  <c r="T2626"/>
  <c r="AH2625"/>
  <c r="T2625"/>
  <c r="AH2624"/>
  <c r="T2624"/>
  <c r="AH2623"/>
  <c r="T2623"/>
  <c r="AH2622"/>
  <c r="T2622"/>
  <c r="AH2621"/>
  <c r="V2621"/>
  <c r="T2621"/>
  <c r="AH2620"/>
  <c r="V2620"/>
  <c r="T2620"/>
  <c r="AH2619"/>
  <c r="V2619"/>
  <c r="T2619"/>
  <c r="AH2618"/>
  <c r="V2618"/>
  <c r="T2618"/>
  <c r="AH2617"/>
  <c r="V2617"/>
  <c r="T2617"/>
  <c r="AH2616"/>
  <c r="V2616"/>
  <c r="T2616"/>
  <c r="AH2615"/>
  <c r="V2615"/>
  <c r="T2615"/>
  <c r="AH2614"/>
  <c r="V2614"/>
  <c r="T2614"/>
  <c r="AH2613"/>
  <c r="V2613"/>
  <c r="T2613"/>
  <c r="AH2612"/>
  <c r="V2612"/>
  <c r="T2612"/>
  <c r="AH2611"/>
  <c r="V2611"/>
  <c r="T2611"/>
  <c r="AH2610"/>
  <c r="V2610"/>
  <c r="T2610"/>
  <c r="AH2609"/>
  <c r="V2609"/>
  <c r="T2609"/>
  <c r="AH2608"/>
  <c r="X2608"/>
  <c r="V2608"/>
  <c r="T2608"/>
  <c r="AH2607"/>
  <c r="X2607"/>
  <c r="V2607"/>
  <c r="T2607"/>
  <c r="AH2606"/>
  <c r="X2606"/>
  <c r="V2606"/>
  <c r="T2606"/>
  <c r="AH2605"/>
  <c r="X2605"/>
  <c r="V2605"/>
  <c r="T2605"/>
  <c r="AH2604"/>
  <c r="X2604"/>
  <c r="V2604"/>
  <c r="T2604"/>
  <c r="AH2603"/>
  <c r="X2603"/>
  <c r="V2603"/>
  <c r="T2603"/>
  <c r="AH2602"/>
  <c r="X2602"/>
  <c r="V2602"/>
  <c r="T2602"/>
  <c r="AH2601"/>
  <c r="X2601"/>
  <c r="V2601"/>
  <c r="T2601"/>
  <c r="AH2600"/>
  <c r="X2600"/>
  <c r="V2600"/>
  <c r="T2600"/>
  <c r="AH2599"/>
  <c r="X2599"/>
  <c r="V2599"/>
  <c r="T2599"/>
  <c r="AH2598"/>
  <c r="X2598"/>
  <c r="V2598"/>
  <c r="T2598"/>
  <c r="AH2597"/>
  <c r="X2597"/>
  <c r="V2597"/>
  <c r="T2597"/>
  <c r="AH2596"/>
  <c r="X2596"/>
  <c r="V2596"/>
  <c r="T2596"/>
  <c r="AH2595"/>
  <c r="X2595"/>
  <c r="V2595"/>
  <c r="T2595"/>
  <c r="AH2594"/>
  <c r="X2594"/>
  <c r="V2594"/>
  <c r="T2594"/>
  <c r="AH2593"/>
  <c r="X2593"/>
  <c r="V2593"/>
  <c r="T2593"/>
  <c r="AH2592"/>
  <c r="X2592"/>
  <c r="V2592"/>
  <c r="T2592"/>
  <c r="AH2591"/>
  <c r="T2591"/>
  <c r="AH2590"/>
  <c r="T2590"/>
  <c r="AH2589"/>
  <c r="T2589"/>
  <c r="AH2588"/>
  <c r="T2588"/>
  <c r="AH2587"/>
  <c r="T2587"/>
  <c r="AH2586"/>
  <c r="T2586"/>
  <c r="AH2585"/>
  <c r="T2585"/>
  <c r="AH2584"/>
  <c r="T2584"/>
  <c r="AH2583"/>
  <c r="T2583"/>
  <c r="AH2582"/>
  <c r="T2582"/>
  <c r="AH2581"/>
  <c r="T2581"/>
  <c r="AH2580"/>
  <c r="T2580"/>
  <c r="AH2579"/>
  <c r="T2579"/>
  <c r="AH2578"/>
  <c r="T2578"/>
  <c r="AH2577"/>
  <c r="T2577"/>
  <c r="AH2576"/>
  <c r="T2576"/>
  <c r="AH2575"/>
  <c r="T2575"/>
  <c r="AH2574"/>
  <c r="T2574"/>
  <c r="AH2573"/>
  <c r="T2573"/>
  <c r="AH2572"/>
  <c r="T2572"/>
  <c r="AH2571"/>
  <c r="T2571"/>
  <c r="AH2570"/>
  <c r="T2570"/>
  <c r="AH2569"/>
  <c r="T2569"/>
  <c r="AH2568"/>
  <c r="T2568"/>
  <c r="AH2567"/>
  <c r="T2567"/>
  <c r="AH2566"/>
  <c r="T2566"/>
  <c r="AH2565"/>
  <c r="T2565"/>
  <c r="AH2564"/>
  <c r="T2564"/>
  <c r="AH2563"/>
  <c r="T2563"/>
  <c r="AH2562"/>
  <c r="T2562"/>
  <c r="AH2561"/>
  <c r="T2561"/>
  <c r="AH2560"/>
  <c r="T2560"/>
  <c r="AH2559"/>
  <c r="T2559"/>
  <c r="AH2558"/>
  <c r="T2558"/>
  <c r="AH2557"/>
  <c r="T2557"/>
  <c r="AH2556"/>
  <c r="T2556"/>
  <c r="AH2555"/>
  <c r="T2555"/>
  <c r="AH2554"/>
  <c r="T2554"/>
  <c r="AH2553"/>
  <c r="T2553"/>
  <c r="AH2552"/>
  <c r="T2552"/>
  <c r="AH2551"/>
  <c r="T2551"/>
  <c r="AH2550"/>
  <c r="T2550"/>
  <c r="AH2549"/>
  <c r="T2549"/>
  <c r="AH2548"/>
  <c r="T2548"/>
  <c r="AH2547"/>
  <c r="T2547"/>
  <c r="AH2546"/>
  <c r="T2546"/>
  <c r="AH2545"/>
  <c r="T2545"/>
  <c r="AH2544"/>
  <c r="T2544"/>
  <c r="AH2543"/>
  <c r="T2543"/>
  <c r="AH2542"/>
  <c r="T2542"/>
  <c r="AH2541"/>
  <c r="T2541"/>
  <c r="AH2540"/>
  <c r="T2540"/>
  <c r="AH2539"/>
  <c r="T2539"/>
  <c r="AH2538"/>
  <c r="T2538"/>
  <c r="AH2537"/>
  <c r="T2537"/>
  <c r="AH2536"/>
  <c r="T2536"/>
  <c r="AH2535"/>
  <c r="T2535"/>
  <c r="AH2534"/>
  <c r="T2534"/>
  <c r="AH2533"/>
  <c r="T2533"/>
  <c r="AH2532"/>
  <c r="T2532"/>
  <c r="AH2531"/>
  <c r="T2531"/>
  <c r="AH2530"/>
  <c r="T2530"/>
  <c r="AH2529"/>
  <c r="T2529"/>
  <c r="AH2528"/>
  <c r="T2528"/>
  <c r="AH2527"/>
  <c r="T2527"/>
  <c r="AH2526"/>
  <c r="T2526"/>
  <c r="AH2525"/>
  <c r="T2525"/>
  <c r="AH2524"/>
  <c r="T2524"/>
  <c r="AH2523"/>
  <c r="T2523"/>
  <c r="AH2522"/>
  <c r="T2522"/>
  <c r="AH2521"/>
  <c r="T2521"/>
  <c r="AH2520"/>
  <c r="T2520"/>
  <c r="AH2519"/>
  <c r="T2519"/>
  <c r="AH2518"/>
  <c r="T2518"/>
  <c r="AH2517"/>
  <c r="T2517"/>
  <c r="AH2516"/>
  <c r="T2516"/>
  <c r="AH2515"/>
  <c r="T2515"/>
  <c r="AH2514"/>
  <c r="T2514"/>
  <c r="AH2513"/>
  <c r="T2513"/>
  <c r="AH2512"/>
  <c r="T2512"/>
  <c r="AH2511"/>
  <c r="T2511"/>
  <c r="AH2510"/>
  <c r="T2510"/>
  <c r="AH2509"/>
  <c r="T2509"/>
  <c r="AH2508"/>
  <c r="T2508"/>
  <c r="AH2507"/>
  <c r="T2507"/>
  <c r="AH2506"/>
  <c r="T2506"/>
  <c r="AH2505"/>
  <c r="T2505"/>
  <c r="AH2504"/>
  <c r="T2504"/>
  <c r="AH2503"/>
  <c r="T2503"/>
  <c r="AH2502"/>
  <c r="T2502"/>
  <c r="AH2501"/>
  <c r="T2501"/>
  <c r="AH2500"/>
  <c r="T2500"/>
  <c r="AH2499"/>
  <c r="T2499"/>
  <c r="AH2498"/>
  <c r="T2498"/>
  <c r="AH2497"/>
  <c r="T2497"/>
  <c r="AH2496"/>
  <c r="T2496"/>
  <c r="AH2495"/>
  <c r="T2495"/>
  <c r="AH2494"/>
  <c r="T2494"/>
  <c r="AH2493"/>
  <c r="T2493"/>
  <c r="AH2492"/>
  <c r="T2492"/>
  <c r="AH2491"/>
  <c r="T2491"/>
  <c r="AH2490"/>
  <c r="T2490"/>
  <c r="AH2489"/>
  <c r="T2489"/>
  <c r="AH2488"/>
  <c r="T2488"/>
  <c r="AH2487"/>
  <c r="T2487"/>
  <c r="AH2486"/>
  <c r="T2486"/>
  <c r="AH2485"/>
  <c r="T2485"/>
  <c r="AH2484"/>
  <c r="T2484"/>
  <c r="AH2483"/>
  <c r="T2483"/>
  <c r="AH2482"/>
  <c r="T2482"/>
  <c r="AH2481"/>
  <c r="T2481"/>
  <c r="AH2480"/>
  <c r="T2480"/>
  <c r="AH2479"/>
  <c r="T2479"/>
  <c r="AH2478"/>
  <c r="T2478"/>
  <c r="AH2477"/>
  <c r="T2477"/>
  <c r="AH2476"/>
  <c r="T2476"/>
  <c r="AH2475"/>
  <c r="T2475"/>
  <c r="AH2474"/>
  <c r="T2474"/>
  <c r="AH2473"/>
  <c r="X2473"/>
  <c r="V2473"/>
  <c r="T2473"/>
  <c r="AH2472"/>
  <c r="X2472"/>
  <c r="V2472"/>
  <c r="T2472"/>
  <c r="AH2471"/>
  <c r="T2471"/>
  <c r="AH2470"/>
  <c r="T2470"/>
  <c r="AH2469"/>
  <c r="T2469"/>
  <c r="AH2468"/>
  <c r="X2468"/>
  <c r="V2468"/>
  <c r="T2468"/>
  <c r="AH2467"/>
  <c r="X2467"/>
  <c r="V2467"/>
  <c r="T2467"/>
  <c r="AH2466"/>
  <c r="X2466"/>
  <c r="V2466"/>
  <c r="T2466"/>
  <c r="AH2465"/>
  <c r="X2465"/>
  <c r="V2465"/>
  <c r="T2465"/>
  <c r="AH2464"/>
  <c r="X2464"/>
  <c r="V2464"/>
  <c r="T2464"/>
  <c r="AH2463"/>
  <c r="X2463"/>
  <c r="V2463"/>
  <c r="T2463"/>
  <c r="AH2462"/>
  <c r="T2462"/>
  <c r="AH2461"/>
  <c r="T2461"/>
  <c r="AH2460"/>
  <c r="T2460"/>
  <c r="AH2459"/>
  <c r="T2459"/>
  <c r="AH2458"/>
  <c r="T2458"/>
  <c r="AH2457"/>
  <c r="T2457"/>
  <c r="AH2456"/>
  <c r="T2456"/>
  <c r="AH2455"/>
  <c r="T2455"/>
  <c r="AH2454"/>
  <c r="T2454"/>
  <c r="AH2453"/>
  <c r="T2453"/>
  <c r="AH2452"/>
  <c r="T2452"/>
  <c r="AH2451"/>
  <c r="T2451"/>
  <c r="AH2450"/>
  <c r="T2450"/>
  <c r="AH2449"/>
  <c r="T2449"/>
  <c r="AH2448"/>
  <c r="T2448"/>
  <c r="AH2447"/>
  <c r="T2447"/>
  <c r="AH2446"/>
  <c r="T2446"/>
  <c r="AH2445"/>
  <c r="T2445"/>
  <c r="AH2444"/>
  <c r="T2444"/>
  <c r="AH2443"/>
  <c r="T2443"/>
  <c r="AH2442"/>
  <c r="T2442"/>
  <c r="AH2441"/>
  <c r="T2441"/>
  <c r="AH2440"/>
  <c r="T2440"/>
  <c r="AH2439"/>
  <c r="T2439"/>
  <c r="AH2438"/>
  <c r="T2438"/>
  <c r="AH2437"/>
  <c r="T2437"/>
  <c r="AH2436"/>
  <c r="T2436"/>
  <c r="AH2435"/>
  <c r="T2435"/>
  <c r="AH2434"/>
  <c r="T2434"/>
  <c r="AH2433"/>
  <c r="T2433"/>
  <c r="AH2432"/>
  <c r="T2432"/>
  <c r="AH2431"/>
  <c r="T2431"/>
  <c r="AH2430"/>
  <c r="T2430"/>
  <c r="AH2429"/>
  <c r="T2429"/>
  <c r="AH2428"/>
  <c r="T2428"/>
  <c r="AH2427"/>
  <c r="T2427"/>
  <c r="AH2426"/>
  <c r="T2426"/>
  <c r="AH2425"/>
  <c r="T2425"/>
  <c r="AH2424"/>
  <c r="T2424"/>
  <c r="AH2423"/>
  <c r="T2423"/>
  <c r="AH2422"/>
  <c r="T2422"/>
  <c r="AH2421"/>
  <c r="T2421"/>
  <c r="AH2420"/>
  <c r="T2420"/>
  <c r="AH2419"/>
  <c r="T2419"/>
  <c r="AH2418"/>
  <c r="T2418"/>
  <c r="AH2417"/>
  <c r="T2417"/>
  <c r="AH2416"/>
  <c r="T2416"/>
  <c r="AH2415"/>
  <c r="T2415"/>
  <c r="AH2414"/>
  <c r="T2414"/>
  <c r="AH2413"/>
  <c r="T2413"/>
  <c r="AH2412"/>
  <c r="T2412"/>
  <c r="AH2411"/>
  <c r="T2411"/>
  <c r="AH2410"/>
  <c r="T2410"/>
  <c r="AH2409"/>
  <c r="T2409"/>
  <c r="AH2408"/>
  <c r="T2408"/>
  <c r="AH2407"/>
  <c r="T2407"/>
  <c r="AH2406"/>
  <c r="T2406"/>
  <c r="AH2405"/>
  <c r="T2405"/>
  <c r="AH2404"/>
  <c r="T2404"/>
  <c r="AH2403"/>
  <c r="T2403"/>
  <c r="AH2402"/>
  <c r="T2402"/>
  <c r="AH2401"/>
  <c r="T2401"/>
  <c r="AH2400"/>
  <c r="T2400"/>
  <c r="AH2399"/>
  <c r="T2399"/>
  <c r="AH2398"/>
  <c r="T2398"/>
  <c r="AH2397"/>
  <c r="T2397"/>
  <c r="AH2396"/>
  <c r="T2396"/>
  <c r="AH2395"/>
  <c r="T2395"/>
  <c r="AH2394"/>
  <c r="T2394"/>
  <c r="AH2393"/>
  <c r="T2393"/>
  <c r="AH2392"/>
  <c r="T2392"/>
  <c r="AH2391"/>
  <c r="T2391"/>
  <c r="AH2390"/>
  <c r="T2390"/>
  <c r="AH2389"/>
  <c r="T2389"/>
  <c r="AH2388"/>
  <c r="T2388"/>
  <c r="AH2387"/>
  <c r="T2387"/>
  <c r="AH2386"/>
  <c r="T2386"/>
  <c r="AH2385"/>
  <c r="T2385"/>
  <c r="AH2384"/>
  <c r="T2384"/>
  <c r="AH2383"/>
  <c r="T2383"/>
  <c r="AH2382"/>
  <c r="T2382"/>
  <c r="AH2381"/>
  <c r="T2381"/>
  <c r="AH2380"/>
  <c r="T2380"/>
  <c r="AH2379"/>
  <c r="T2379"/>
  <c r="AH2378"/>
  <c r="T2378"/>
  <c r="AH2377"/>
  <c r="T2377"/>
  <c r="AH2376"/>
  <c r="T2376"/>
  <c r="AH2375"/>
  <c r="T2375"/>
  <c r="AH2374"/>
  <c r="T2374"/>
  <c r="AH2373"/>
  <c r="T2373"/>
  <c r="AH2372"/>
  <c r="T2372"/>
  <c r="AH2371"/>
  <c r="T2371"/>
  <c r="AH2370"/>
  <c r="T2370"/>
  <c r="AH2369"/>
  <c r="T2369"/>
  <c r="AH2368"/>
  <c r="T2368"/>
  <c r="AH2367"/>
  <c r="T2367"/>
  <c r="AH2366"/>
  <c r="T2366"/>
  <c r="AH2365"/>
  <c r="T2365"/>
  <c r="AH2364"/>
  <c r="T2364"/>
  <c r="AH2363"/>
  <c r="T2363"/>
  <c r="AH2362"/>
  <c r="T2362"/>
  <c r="AH2361"/>
  <c r="T2361"/>
  <c r="AH2360"/>
  <c r="T2360"/>
  <c r="AH2359"/>
  <c r="T2359"/>
  <c r="AH2358"/>
  <c r="T2358"/>
  <c r="AH2357"/>
  <c r="T2357"/>
  <c r="AH2356"/>
  <c r="T2356"/>
  <c r="AH2355"/>
  <c r="T2355"/>
  <c r="AH2354"/>
  <c r="T2354"/>
  <c r="AH2353"/>
  <c r="T2353"/>
  <c r="AH2352"/>
  <c r="T2352"/>
  <c r="AH2351"/>
  <c r="T2351"/>
  <c r="AH2350"/>
  <c r="T2350"/>
  <c r="AH2349"/>
  <c r="T2349"/>
  <c r="AH2348"/>
  <c r="T2348"/>
  <c r="AH2347"/>
  <c r="T2347"/>
  <c r="AH2346"/>
  <c r="T2346"/>
  <c r="AH2345"/>
  <c r="T2345"/>
  <c r="AH2344"/>
  <c r="T2344"/>
  <c r="AH2343"/>
  <c r="T2343"/>
  <c r="AH2342"/>
  <c r="T2342"/>
  <c r="AH2341"/>
  <c r="T2341"/>
  <c r="AH2340"/>
  <c r="T2340"/>
  <c r="AH2339"/>
  <c r="T2339"/>
  <c r="AH2338"/>
  <c r="T2338"/>
  <c r="AH2337"/>
  <c r="T2337"/>
  <c r="AH2336"/>
  <c r="T2336"/>
  <c r="AH2335"/>
  <c r="T2335"/>
  <c r="AH2334"/>
  <c r="T2334"/>
  <c r="AH2333"/>
  <c r="T2333"/>
  <c r="AH2332"/>
  <c r="T2332"/>
  <c r="AH2331"/>
  <c r="T2331"/>
  <c r="AH2330"/>
  <c r="T2330"/>
  <c r="AH2329"/>
  <c r="T2329"/>
  <c r="AH2328"/>
  <c r="T2328"/>
  <c r="AH2327"/>
  <c r="T2327"/>
  <c r="AH2326"/>
  <c r="T2326"/>
  <c r="AH2325"/>
  <c r="T2325"/>
  <c r="AH2324"/>
  <c r="T2324"/>
  <c r="AH2323"/>
  <c r="T2323"/>
  <c r="AH2322"/>
  <c r="T2322"/>
  <c r="AH2321"/>
  <c r="T2321"/>
  <c r="AH2320"/>
  <c r="T2320"/>
  <c r="AH2319"/>
  <c r="T2319"/>
  <c r="AH2318"/>
  <c r="T2318"/>
  <c r="AH2317"/>
  <c r="T2317"/>
  <c r="AH2316"/>
  <c r="T2316"/>
  <c r="AH2315"/>
  <c r="T2315"/>
  <c r="AH2314"/>
  <c r="T2314"/>
  <c r="AH2313"/>
  <c r="T2313"/>
  <c r="AH2312"/>
  <c r="T2312"/>
  <c r="AH2311"/>
  <c r="T2311"/>
  <c r="AH2310"/>
  <c r="T2310"/>
  <c r="AH2309"/>
  <c r="T2309"/>
  <c r="AH2308"/>
  <c r="T2308"/>
  <c r="AH2307"/>
  <c r="T2307"/>
  <c r="AH2306"/>
  <c r="T2306"/>
  <c r="AH2305"/>
  <c r="T2305"/>
  <c r="AH2304"/>
  <c r="T2304"/>
  <c r="AH2303"/>
  <c r="T2303"/>
  <c r="AH2302"/>
  <c r="T2302"/>
  <c r="AH2301"/>
  <c r="T2301"/>
  <c r="AH2300"/>
  <c r="T2300"/>
  <c r="AH2299"/>
  <c r="T2299"/>
  <c r="AH2298"/>
  <c r="T2298"/>
  <c r="AH2297"/>
  <c r="T2297"/>
  <c r="AH2296"/>
  <c r="T2296"/>
  <c r="AH2295"/>
  <c r="T2295"/>
  <c r="AH2294"/>
  <c r="T2294"/>
  <c r="AH2293"/>
  <c r="T2293"/>
  <c r="AH2292"/>
  <c r="T2292"/>
  <c r="AH2291"/>
  <c r="V2291"/>
  <c r="T2291"/>
  <c r="AH2290"/>
  <c r="V2290"/>
  <c r="T2290"/>
  <c r="AH2289"/>
  <c r="V2289"/>
  <c r="T2289"/>
  <c r="AH2288"/>
  <c r="V2288"/>
  <c r="T2288"/>
  <c r="AH2287"/>
  <c r="T2287"/>
  <c r="AH2286"/>
  <c r="T2286"/>
  <c r="AH2285"/>
  <c r="V2285"/>
  <c r="T2285"/>
  <c r="AH2284"/>
  <c r="V2284"/>
  <c r="T2284"/>
  <c r="AH2283"/>
  <c r="T2283"/>
  <c r="AH2282"/>
  <c r="T2282"/>
  <c r="AH2281"/>
  <c r="T2281"/>
  <c r="AH2280"/>
  <c r="T2280"/>
  <c r="AH2279"/>
  <c r="T2279"/>
  <c r="AH2278"/>
  <c r="T2278"/>
  <c r="AH2277"/>
  <c r="T2277"/>
  <c r="AH2276"/>
  <c r="T2276"/>
  <c r="AH2275"/>
  <c r="T2275"/>
  <c r="AH2274"/>
  <c r="T2274"/>
  <c r="AH2273"/>
  <c r="T2273"/>
  <c r="AH2272"/>
  <c r="T2272"/>
  <c r="AH2271"/>
  <c r="T2271"/>
  <c r="AH2270"/>
  <c r="T2270"/>
  <c r="AH2269"/>
  <c r="V2269"/>
  <c r="T2269"/>
  <c r="AH2268"/>
  <c r="V2268"/>
  <c r="T2268"/>
  <c r="AH2267"/>
  <c r="V2267"/>
  <c r="T2267"/>
  <c r="AH2266"/>
  <c r="V2266"/>
  <c r="T2266"/>
  <c r="AH2265"/>
  <c r="V2265"/>
  <c r="T2265"/>
  <c r="AH2264"/>
  <c r="V2264"/>
  <c r="T2264"/>
  <c r="AH2263"/>
  <c r="X2263"/>
  <c r="V2263"/>
  <c r="T2263"/>
  <c r="AH2262"/>
  <c r="T2262"/>
  <c r="AH2261"/>
  <c r="T2261"/>
  <c r="AH2260"/>
  <c r="T2260"/>
  <c r="AH2259"/>
  <c r="X2259"/>
  <c r="V2259"/>
  <c r="T2259"/>
  <c r="AH2258"/>
  <c r="T2258"/>
  <c r="AH2257"/>
  <c r="X2257"/>
  <c r="V2257"/>
  <c r="T2257"/>
  <c r="AH2256"/>
  <c r="X2256"/>
  <c r="V2256"/>
  <c r="T2256"/>
  <c r="AH2255"/>
  <c r="T2255"/>
  <c r="AH2254"/>
  <c r="T2254"/>
  <c r="AH2253"/>
  <c r="T2253"/>
  <c r="AH2252"/>
  <c r="V2252"/>
  <c r="T2252"/>
  <c r="AH2251"/>
  <c r="T2251"/>
  <c r="AH2250"/>
  <c r="T2250"/>
  <c r="AH2249"/>
  <c r="T2249"/>
  <c r="AH2248"/>
  <c r="V2248"/>
  <c r="T2248"/>
  <c r="AH2247"/>
  <c r="V2247"/>
  <c r="T2247"/>
  <c r="AH2246"/>
  <c r="V2246"/>
  <c r="T2246"/>
  <c r="AH2245"/>
  <c r="V2245"/>
  <c r="T2245"/>
  <c r="AH2244"/>
  <c r="V2244"/>
  <c r="T2244"/>
  <c r="AH2243"/>
  <c r="V2243"/>
  <c r="T2243"/>
  <c r="AH2242"/>
  <c r="V2242"/>
  <c r="T2242"/>
  <c r="AH2241"/>
  <c r="V2241"/>
  <c r="T2241"/>
  <c r="AH2240"/>
  <c r="V2240"/>
  <c r="T2240"/>
  <c r="AH2239"/>
  <c r="V2239"/>
  <c r="T2239"/>
  <c r="AH2238"/>
  <c r="T2238"/>
  <c r="AH2237"/>
  <c r="V2237"/>
  <c r="T2237"/>
  <c r="AH2236"/>
  <c r="V2236"/>
  <c r="T2236"/>
  <c r="AH2235"/>
  <c r="V2235"/>
  <c r="T2235"/>
  <c r="AH2234"/>
  <c r="V2234"/>
  <c r="T2234"/>
  <c r="AH2233"/>
  <c r="V2233"/>
  <c r="T2233"/>
  <c r="AH2232"/>
  <c r="T2232"/>
  <c r="AH2231"/>
  <c r="T2231"/>
  <c r="AH2230"/>
  <c r="T2230"/>
  <c r="AH2229"/>
  <c r="T2229"/>
  <c r="AH2228"/>
  <c r="T2228"/>
  <c r="AH2227"/>
  <c r="T2227"/>
  <c r="AH2226"/>
  <c r="T2226"/>
  <c r="AH2225"/>
  <c r="V2225"/>
  <c r="T2225"/>
  <c r="AH2224"/>
  <c r="T2224"/>
  <c r="AH2223"/>
  <c r="T2223"/>
  <c r="AH2222"/>
  <c r="V2222"/>
  <c r="T2222"/>
  <c r="AH2221"/>
  <c r="V2221"/>
  <c r="T2221"/>
  <c r="AH2220"/>
  <c r="V2220"/>
  <c r="T2220"/>
  <c r="AH2219"/>
  <c r="V2219"/>
  <c r="T2219"/>
  <c r="AH2218"/>
  <c r="V2218"/>
  <c r="T2218"/>
  <c r="AH2217"/>
  <c r="V2217"/>
  <c r="T2217"/>
  <c r="AH2216"/>
  <c r="V2216"/>
  <c r="T2216"/>
  <c r="AH2215"/>
  <c r="V2215"/>
  <c r="T2215"/>
  <c r="AH2214"/>
  <c r="V2214"/>
  <c r="T2214"/>
  <c r="AH2213"/>
  <c r="V2213"/>
  <c r="T2213"/>
  <c r="AH2212"/>
  <c r="V2212"/>
  <c r="T2212"/>
  <c r="AH2211"/>
  <c r="V2211"/>
  <c r="T2211"/>
  <c r="AH2210"/>
  <c r="V2210"/>
  <c r="T2210"/>
  <c r="AH2209"/>
  <c r="V2209"/>
  <c r="T2209"/>
  <c r="AH2208"/>
  <c r="V2208"/>
  <c r="T2208"/>
  <c r="AH2207"/>
  <c r="V2207"/>
  <c r="T2207"/>
  <c r="AH2206"/>
  <c r="V2206"/>
  <c r="T2206"/>
  <c r="AH2205"/>
  <c r="V2205"/>
  <c r="T2205"/>
  <c r="AH2204"/>
  <c r="V2204"/>
  <c r="T2204"/>
  <c r="AH2203"/>
  <c r="V2203"/>
  <c r="T2203"/>
  <c r="AH2202"/>
  <c r="V2202"/>
  <c r="T2202"/>
  <c r="AH2201"/>
  <c r="V2201"/>
  <c r="T2201"/>
  <c r="AH2200"/>
  <c r="V2200"/>
  <c r="T2200"/>
  <c r="AH2199"/>
  <c r="V2199"/>
  <c r="T2199"/>
  <c r="AH2198"/>
  <c r="V2198"/>
  <c r="T2198"/>
  <c r="AH2197"/>
  <c r="V2197"/>
  <c r="T2197"/>
  <c r="AH2196"/>
  <c r="T2196"/>
  <c r="AH2195"/>
  <c r="T2195"/>
  <c r="AH2194"/>
  <c r="T2194"/>
  <c r="AH2193"/>
  <c r="T2193"/>
  <c r="AH2192"/>
  <c r="T2192"/>
  <c r="AH2191"/>
  <c r="T2191"/>
  <c r="AH2190"/>
  <c r="T2190"/>
  <c r="AH2189"/>
  <c r="V2189"/>
  <c r="T2189"/>
  <c r="AH2188"/>
  <c r="V2188"/>
  <c r="T2188"/>
  <c r="AH2187"/>
  <c r="T2187"/>
  <c r="AH2186"/>
  <c r="T2186"/>
  <c r="AH2185"/>
  <c r="V2185"/>
  <c r="T2185"/>
  <c r="AH2184"/>
  <c r="V2184"/>
  <c r="T2184"/>
  <c r="AH2183"/>
  <c r="V2183"/>
  <c r="T2183"/>
  <c r="AH2182"/>
  <c r="V2182"/>
  <c r="T2182"/>
  <c r="AH2181"/>
  <c r="V2181"/>
  <c r="T2181"/>
  <c r="AH2180"/>
  <c r="V2180"/>
  <c r="T2180"/>
  <c r="AH2179"/>
  <c r="V2179"/>
  <c r="T2179"/>
  <c r="AH2178"/>
  <c r="V2178"/>
  <c r="T2178"/>
  <c r="AH2177"/>
  <c r="V2177"/>
  <c r="T2177"/>
  <c r="AH2176"/>
  <c r="V2176"/>
  <c r="T2176"/>
  <c r="AH2175"/>
  <c r="V2175"/>
  <c r="T2175"/>
  <c r="AH2174"/>
  <c r="V2174"/>
  <c r="T2174"/>
  <c r="AH2173"/>
  <c r="V2173"/>
  <c r="T2173"/>
  <c r="AH2172"/>
  <c r="T2172"/>
  <c r="AH2171"/>
  <c r="T2171"/>
  <c r="AH2170"/>
  <c r="T2170"/>
  <c r="AH2169"/>
  <c r="V2169"/>
  <c r="T2169"/>
  <c r="AH2168"/>
  <c r="V2168"/>
  <c r="T2168"/>
  <c r="AH2167"/>
  <c r="V2167"/>
  <c r="T2167"/>
  <c r="AH2166"/>
  <c r="V2166"/>
  <c r="T2166"/>
  <c r="AH2165"/>
  <c r="V2165"/>
  <c r="T2165"/>
  <c r="AH2164"/>
  <c r="V2164"/>
  <c r="T2164"/>
  <c r="AH2163"/>
  <c r="V2163"/>
  <c r="T2163"/>
  <c r="AH2162"/>
  <c r="V2162"/>
  <c r="T2162"/>
  <c r="AH2161"/>
  <c r="V2161"/>
  <c r="T2161"/>
  <c r="AH2160"/>
  <c r="V2160"/>
  <c r="T2160"/>
  <c r="AH2159"/>
  <c r="V2159"/>
  <c r="T2159"/>
  <c r="AH2158"/>
  <c r="V2158"/>
  <c r="T2158"/>
  <c r="AH2157"/>
  <c r="V2157"/>
  <c r="T2157"/>
  <c r="AH2156"/>
  <c r="V2156"/>
  <c r="T2156"/>
  <c r="AH2155"/>
  <c r="V2155"/>
  <c r="T2155"/>
  <c r="AH2154"/>
  <c r="V2154"/>
  <c r="T2154"/>
  <c r="AH2153"/>
  <c r="V2153"/>
  <c r="T2153"/>
  <c r="AH2152"/>
  <c r="V2152"/>
  <c r="T2152"/>
  <c r="AH2151"/>
  <c r="T2151"/>
  <c r="AH2150"/>
  <c r="T2150"/>
  <c r="AH2149"/>
  <c r="T2149"/>
  <c r="AH2148"/>
  <c r="T2148"/>
  <c r="AH2147"/>
  <c r="T2147"/>
  <c r="AH2146"/>
  <c r="T2146"/>
  <c r="AH2145"/>
  <c r="T2145"/>
  <c r="AH2144"/>
  <c r="T2144"/>
  <c r="AH2143"/>
  <c r="T2143"/>
  <c r="AH2142"/>
  <c r="T2142"/>
  <c r="AH2141"/>
  <c r="T2141"/>
  <c r="AH2140"/>
  <c r="T2140"/>
  <c r="AH2139"/>
  <c r="V2139"/>
  <c r="T2139"/>
  <c r="AH2138"/>
  <c r="V2138"/>
  <c r="T2138"/>
  <c r="AH2137"/>
  <c r="V2137"/>
  <c r="T2137"/>
  <c r="AH2136"/>
  <c r="V2136"/>
  <c r="T2136"/>
  <c r="AH2135"/>
  <c r="V2135"/>
  <c r="T2135"/>
  <c r="AH2134"/>
  <c r="V2134"/>
  <c r="T2134"/>
  <c r="AH2133"/>
  <c r="T2133"/>
  <c r="AH2132"/>
  <c r="T2132"/>
  <c r="AH2131"/>
  <c r="V2131"/>
  <c r="T2131"/>
  <c r="AH2130"/>
  <c r="V2130"/>
  <c r="T2130"/>
  <c r="AH2129"/>
  <c r="T2129"/>
  <c r="AH2128"/>
  <c r="V2128"/>
  <c r="T2128"/>
  <c r="AH2127"/>
  <c r="T2127"/>
  <c r="AH2126"/>
  <c r="V2126"/>
  <c r="T2126"/>
  <c r="AH2125"/>
  <c r="V2125"/>
  <c r="T2125"/>
  <c r="AH2124"/>
  <c r="V2124"/>
  <c r="T2124"/>
  <c r="AH2123"/>
  <c r="V2123"/>
  <c r="T2123"/>
  <c r="AH2122"/>
  <c r="V2122"/>
  <c r="T2122"/>
  <c r="AH2121"/>
  <c r="V2121"/>
  <c r="T2121"/>
  <c r="AH2120"/>
  <c r="V2120"/>
  <c r="T2120"/>
  <c r="AH2119"/>
  <c r="V2119"/>
  <c r="T2119"/>
  <c r="AH2118"/>
  <c r="V2118"/>
  <c r="T2118"/>
  <c r="AH2117"/>
  <c r="V2117"/>
  <c r="T2117"/>
  <c r="AH2116"/>
  <c r="V2116"/>
  <c r="T2116"/>
  <c r="AH2115"/>
  <c r="V2115"/>
  <c r="T2115"/>
  <c r="AH2114"/>
  <c r="V2114"/>
  <c r="T2114"/>
  <c r="AH2113"/>
  <c r="V2113"/>
  <c r="T2113"/>
  <c r="AH2112"/>
  <c r="V2112"/>
  <c r="T2112"/>
  <c r="AH2111"/>
  <c r="V2111"/>
  <c r="T2111"/>
  <c r="AH2110"/>
  <c r="V2110"/>
  <c r="T2110"/>
  <c r="AH2109"/>
  <c r="V2109"/>
  <c r="T2109"/>
  <c r="AH2108"/>
  <c r="V2108"/>
  <c r="T2108"/>
  <c r="AH2107"/>
  <c r="V2107"/>
  <c r="T2107"/>
  <c r="AH2106"/>
  <c r="V2106"/>
  <c r="T2106"/>
  <c r="AH2105"/>
  <c r="V2105"/>
  <c r="T2105"/>
  <c r="AH2104"/>
  <c r="V2104"/>
  <c r="T2104"/>
  <c r="AH2103"/>
  <c r="V2103"/>
  <c r="T2103"/>
  <c r="AH2102"/>
  <c r="X2102"/>
  <c r="V2102"/>
  <c r="T2102"/>
  <c r="AH2101"/>
  <c r="T2101"/>
  <c r="AH2100"/>
  <c r="T2100"/>
  <c r="AH2099"/>
  <c r="T2099"/>
  <c r="AH2098"/>
  <c r="T2098"/>
  <c r="AH2097"/>
  <c r="T2097"/>
  <c r="AH2096"/>
  <c r="T2096"/>
  <c r="AH2095"/>
  <c r="T2095"/>
  <c r="AH2094"/>
  <c r="T2094"/>
  <c r="AH2093"/>
  <c r="T2093"/>
  <c r="AH2092"/>
  <c r="V2092"/>
  <c r="T2092"/>
  <c r="AH2091"/>
  <c r="V2091"/>
  <c r="T2091"/>
  <c r="AH2090"/>
  <c r="V2090"/>
  <c r="T2090"/>
  <c r="AH2089"/>
  <c r="V2089"/>
  <c r="T2089"/>
  <c r="AH2088"/>
  <c r="V2088"/>
  <c r="T2088"/>
  <c r="AH2087"/>
  <c r="V2087"/>
  <c r="T2087"/>
  <c r="AH2086"/>
  <c r="V2086"/>
  <c r="T2086"/>
  <c r="AH2085"/>
  <c r="V2085"/>
  <c r="T2085"/>
  <c r="AH2084"/>
  <c r="V2084"/>
  <c r="T2084"/>
  <c r="AH2083"/>
  <c r="V2083"/>
  <c r="T2083"/>
  <c r="AH2082"/>
  <c r="V2082"/>
  <c r="T2082"/>
  <c r="AH2081"/>
  <c r="V2081"/>
  <c r="T2081"/>
  <c r="AH2080"/>
  <c r="V2080"/>
  <c r="T2080"/>
  <c r="AH2079"/>
  <c r="V2079"/>
  <c r="T2079"/>
  <c r="AH2078"/>
  <c r="V2078"/>
  <c r="T2078"/>
  <c r="AH2077"/>
  <c r="V2077"/>
  <c r="T2077"/>
  <c r="AH2076"/>
  <c r="V2076"/>
  <c r="T2076"/>
  <c r="AH2075"/>
  <c r="V2075"/>
  <c r="T2075"/>
  <c r="AH2074"/>
  <c r="V2074"/>
  <c r="T2074"/>
  <c r="AH2073"/>
  <c r="V2073"/>
  <c r="T2073"/>
  <c r="AH2072"/>
  <c r="V2072"/>
  <c r="T2072"/>
  <c r="AH2071"/>
  <c r="T2071"/>
  <c r="AH2070"/>
  <c r="T2070"/>
  <c r="AH2069"/>
  <c r="T2069"/>
  <c r="AH2068"/>
  <c r="T2068"/>
  <c r="AH2067"/>
  <c r="T2067"/>
  <c r="AH2066"/>
  <c r="T2066"/>
  <c r="AH2065"/>
  <c r="T2065"/>
  <c r="AH2064"/>
  <c r="T2064"/>
  <c r="AH2063"/>
  <c r="T2063"/>
  <c r="AH2062"/>
  <c r="T2062"/>
  <c r="AH2061"/>
  <c r="T2061"/>
  <c r="AH2060"/>
  <c r="T2060"/>
  <c r="AH2059"/>
  <c r="T2059"/>
  <c r="AH2058"/>
  <c r="T2058"/>
  <c r="AH2057"/>
  <c r="T2057"/>
  <c r="AH2056"/>
  <c r="T2056"/>
  <c r="AH2055"/>
  <c r="T2055"/>
  <c r="AH2054"/>
  <c r="T2054"/>
  <c r="AH2053"/>
  <c r="T2053"/>
  <c r="AH2052"/>
  <c r="T2052"/>
  <c r="AH2051"/>
  <c r="T2051"/>
  <c r="AH2050"/>
  <c r="T2050"/>
  <c r="AH2049"/>
  <c r="T2049"/>
  <c r="AH2048"/>
  <c r="T2048"/>
  <c r="AH2047"/>
  <c r="T2047"/>
  <c r="AH2046"/>
  <c r="T2046"/>
  <c r="AH2045"/>
  <c r="T2045"/>
  <c r="AH2044"/>
  <c r="T2044"/>
  <c r="AH2043"/>
  <c r="T2043"/>
  <c r="AH2042"/>
  <c r="T2042"/>
  <c r="AH2041"/>
  <c r="T2041"/>
  <c r="AH2040"/>
  <c r="T2040"/>
  <c r="AH2039"/>
  <c r="T2039"/>
  <c r="AH2038"/>
  <c r="T2038"/>
  <c r="AH2037"/>
  <c r="T2037"/>
  <c r="AH2036"/>
  <c r="T2036"/>
  <c r="AH2035"/>
  <c r="T2035"/>
  <c r="AH2034"/>
  <c r="V2034"/>
  <c r="T2034"/>
  <c r="AH2033"/>
  <c r="T2033"/>
  <c r="AH2032"/>
  <c r="T2032"/>
  <c r="AH2031"/>
  <c r="V2031"/>
  <c r="T2031"/>
  <c r="AH2030"/>
  <c r="V2030"/>
  <c r="T2030"/>
  <c r="AH2029"/>
  <c r="V2029"/>
  <c r="T2029"/>
  <c r="AH2028"/>
  <c r="V2028"/>
  <c r="T2028"/>
  <c r="AH2027"/>
  <c r="T2027"/>
  <c r="AH2026"/>
  <c r="T2026"/>
  <c r="AH2025"/>
  <c r="T2025"/>
  <c r="AH2024"/>
  <c r="T2024"/>
  <c r="AH2023"/>
  <c r="T2023"/>
  <c r="AH2022"/>
  <c r="T2022"/>
  <c r="AH2021"/>
  <c r="T2021"/>
  <c r="AH2020"/>
  <c r="T2020"/>
  <c r="AH2019"/>
  <c r="T2019"/>
  <c r="AH2018"/>
  <c r="T2018"/>
  <c r="AH2017"/>
  <c r="AB2017"/>
  <c r="Z2017"/>
  <c r="X2017"/>
  <c r="V2017"/>
  <c r="T2017"/>
  <c r="AH2016"/>
  <c r="AB2016"/>
  <c r="Z2016"/>
  <c r="X2016"/>
  <c r="V2016"/>
  <c r="T2016"/>
  <c r="AH2015"/>
  <c r="AB2015"/>
  <c r="Z2015"/>
  <c r="X2015"/>
  <c r="V2015"/>
  <c r="T2015"/>
  <c r="AH2014"/>
  <c r="T2014"/>
  <c r="AH2013"/>
  <c r="T2013"/>
  <c r="AH2012"/>
  <c r="T2012"/>
  <c r="AH2011"/>
  <c r="T2011"/>
  <c r="AH2010"/>
  <c r="V2010"/>
  <c r="T2010"/>
  <c r="AH2009"/>
  <c r="V2009"/>
  <c r="T2009"/>
  <c r="AH2008"/>
  <c r="T2008"/>
  <c r="AH2007"/>
  <c r="T2007"/>
  <c r="AH2006"/>
  <c r="T2006"/>
  <c r="AH2005"/>
  <c r="T2005"/>
  <c r="AH2004"/>
  <c r="T2004"/>
  <c r="AH2003"/>
  <c r="T2003"/>
  <c r="AH2002"/>
  <c r="T2002"/>
  <c r="AH2001"/>
  <c r="T2001"/>
  <c r="AH2000"/>
  <c r="T2000"/>
  <c r="AH1999"/>
  <c r="T1999"/>
  <c r="AH1998"/>
  <c r="T1998"/>
  <c r="AH1997"/>
  <c r="T1997"/>
  <c r="AH1996"/>
  <c r="T1996"/>
  <c r="AH1995"/>
  <c r="T1995"/>
  <c r="AH1994"/>
  <c r="T1994"/>
  <c r="AH1993"/>
  <c r="T1993"/>
  <c r="AH1992"/>
  <c r="T1992"/>
  <c r="AH1991"/>
  <c r="T1991"/>
  <c r="AH1990"/>
  <c r="T1990"/>
  <c r="AH1989"/>
  <c r="T1989"/>
  <c r="AH1988"/>
  <c r="T1988"/>
  <c r="AH1987"/>
  <c r="T1987"/>
  <c r="AH1986"/>
  <c r="T1986"/>
  <c r="AH1985"/>
  <c r="T1985"/>
  <c r="AH1984"/>
  <c r="T1984"/>
  <c r="AH1983"/>
  <c r="T1983"/>
  <c r="AH1982"/>
  <c r="T1982"/>
  <c r="AH1981"/>
  <c r="T1981"/>
  <c r="AH1980"/>
  <c r="T1980"/>
  <c r="AH1979"/>
  <c r="T1979"/>
  <c r="AH1978"/>
  <c r="T1978"/>
  <c r="AH1977"/>
  <c r="T1977"/>
  <c r="AH1976"/>
  <c r="T1976"/>
  <c r="AH1975"/>
  <c r="T1975"/>
  <c r="AH1974"/>
  <c r="T1974"/>
  <c r="AH1973"/>
  <c r="V1973"/>
  <c r="T1973"/>
  <c r="AH1972"/>
  <c r="V1972"/>
  <c r="T1972"/>
  <c r="AH1971"/>
  <c r="V1971"/>
  <c r="T1971"/>
  <c r="AH1970"/>
  <c r="V1970"/>
  <c r="T1970"/>
  <c r="AH1969"/>
  <c r="V1969"/>
  <c r="T1969"/>
  <c r="AH1968"/>
  <c r="V1968"/>
  <c r="T1968"/>
  <c r="AH1967"/>
  <c r="T1967"/>
  <c r="AH1966"/>
  <c r="T1966"/>
  <c r="AH1965"/>
  <c r="T1965"/>
  <c r="AH1964"/>
  <c r="T1964"/>
  <c r="AH1963"/>
  <c r="T1963"/>
  <c r="AH1962"/>
  <c r="T1962"/>
  <c r="AH1961"/>
  <c r="T1961"/>
  <c r="AH1960"/>
  <c r="T1960"/>
  <c r="AH1959"/>
  <c r="T1959"/>
  <c r="AH1958"/>
  <c r="T1958"/>
  <c r="AH1957"/>
  <c r="T1957"/>
  <c r="AH1956"/>
  <c r="T1956"/>
  <c r="AH1955"/>
  <c r="T1955"/>
  <c r="AH1954"/>
  <c r="T1954"/>
  <c r="AH1953"/>
  <c r="T1953"/>
  <c r="AH1952"/>
  <c r="T1952"/>
  <c r="AH1951"/>
  <c r="T1951"/>
  <c r="AH1950"/>
  <c r="T1950"/>
  <c r="AH1949"/>
  <c r="T1949"/>
  <c r="AH1948"/>
  <c r="T1948"/>
  <c r="AH1947"/>
  <c r="T1947"/>
  <c r="AH1946"/>
  <c r="T1946"/>
  <c r="AH1945"/>
  <c r="T1945"/>
  <c r="AH1944"/>
  <c r="T1944"/>
  <c r="AH1943"/>
  <c r="T1943"/>
  <c r="AH1942"/>
  <c r="T1942"/>
  <c r="AH1941"/>
  <c r="T1941"/>
  <c r="AH1940"/>
  <c r="T1940"/>
  <c r="AH1939"/>
  <c r="T1939"/>
  <c r="AH1938"/>
  <c r="T1938"/>
  <c r="AH1937"/>
  <c r="T1937"/>
  <c r="AH1936"/>
  <c r="T1936"/>
  <c r="AH1935"/>
  <c r="T1935"/>
  <c r="AH1934"/>
  <c r="T1934"/>
  <c r="AH1933"/>
  <c r="T1933"/>
  <c r="AH1932"/>
  <c r="T1932"/>
  <c r="AH1931"/>
  <c r="T1931"/>
  <c r="AH1930"/>
  <c r="T1930"/>
  <c r="AH1929"/>
  <c r="T1929"/>
  <c r="AH1928"/>
  <c r="T1928"/>
  <c r="AH1927"/>
  <c r="T1927"/>
  <c r="AH1926"/>
  <c r="T1926"/>
  <c r="AH1925"/>
  <c r="T1925"/>
  <c r="AH1924"/>
  <c r="T1924"/>
  <c r="AH1923"/>
  <c r="T1923"/>
  <c r="AH1922"/>
  <c r="T1922"/>
  <c r="AH1921"/>
  <c r="T1921"/>
  <c r="AH1920"/>
  <c r="T1920"/>
  <c r="AH1919"/>
  <c r="T1919"/>
  <c r="AH1918"/>
  <c r="T1918"/>
  <c r="AH1917"/>
  <c r="T1917"/>
  <c r="AH1916"/>
  <c r="T1916"/>
  <c r="AH1915"/>
  <c r="T1915"/>
  <c r="AH1914"/>
  <c r="T1914"/>
  <c r="AH1913"/>
  <c r="T1913"/>
  <c r="AH1912"/>
  <c r="T1912"/>
  <c r="AH1911"/>
  <c r="T1911"/>
  <c r="AH1910"/>
  <c r="T1910"/>
  <c r="AH1909"/>
  <c r="T1909"/>
  <c r="AH1908"/>
  <c r="T1908"/>
  <c r="AH1907"/>
  <c r="T1907"/>
  <c r="AH1906"/>
  <c r="T1906"/>
  <c r="AH1905"/>
  <c r="T1905"/>
  <c r="AH1904"/>
  <c r="T1904"/>
  <c r="AH1903"/>
  <c r="T1903"/>
  <c r="AH1902"/>
  <c r="V1902"/>
  <c r="T1902"/>
  <c r="AH1901"/>
  <c r="T1901"/>
  <c r="AH1900"/>
  <c r="T1900"/>
  <c r="AH1899"/>
  <c r="T1899"/>
  <c r="AH1898"/>
  <c r="T1898"/>
  <c r="AH1897"/>
  <c r="T1897"/>
  <c r="AH1896"/>
  <c r="T1896"/>
  <c r="AH1895"/>
  <c r="T1895"/>
  <c r="AH1894"/>
  <c r="T1894"/>
  <c r="AH1893"/>
  <c r="T1893"/>
  <c r="AH1892"/>
  <c r="T1892"/>
  <c r="AH1891"/>
  <c r="T1891"/>
  <c r="AH1890"/>
  <c r="T1890"/>
  <c r="AH1889"/>
  <c r="T1889"/>
  <c r="AH1888"/>
  <c r="T1888"/>
  <c r="AH1887"/>
  <c r="T1887"/>
  <c r="AH1886"/>
  <c r="T1886"/>
  <c r="AH1885"/>
  <c r="T1885"/>
  <c r="AH1884"/>
  <c r="T1884"/>
  <c r="AH1883"/>
  <c r="T1883"/>
  <c r="AH1882"/>
  <c r="T1882"/>
  <c r="AH1881"/>
  <c r="T1881"/>
  <c r="AH1880"/>
  <c r="T1880"/>
  <c r="AH1879"/>
  <c r="T1879"/>
  <c r="AH1878"/>
  <c r="T1878"/>
  <c r="AH1877"/>
  <c r="T1877"/>
  <c r="AH1876"/>
  <c r="T1876"/>
  <c r="AH1875"/>
  <c r="T1875"/>
  <c r="AH1874"/>
  <c r="T1874"/>
  <c r="AH1873"/>
  <c r="T1873"/>
  <c r="AH1872"/>
  <c r="T1872"/>
  <c r="AH1871"/>
  <c r="T1871"/>
  <c r="AH1870"/>
  <c r="T1870"/>
  <c r="AH1869"/>
  <c r="T1869"/>
  <c r="AH1868"/>
  <c r="T1868"/>
  <c r="AH1867"/>
  <c r="T1867"/>
  <c r="AH1866"/>
  <c r="T1866"/>
  <c r="AH1865"/>
  <c r="T1865"/>
  <c r="AH1864"/>
  <c r="T1864"/>
  <c r="AH1863"/>
  <c r="T1863"/>
  <c r="AH1862"/>
  <c r="T1862"/>
  <c r="AH1861"/>
  <c r="T1861"/>
  <c r="AH1860"/>
  <c r="T1860"/>
  <c r="AH1859"/>
  <c r="T1859"/>
  <c r="AH1858"/>
  <c r="T1858"/>
  <c r="AH1857"/>
  <c r="T1857"/>
  <c r="AH1856"/>
  <c r="T1856"/>
  <c r="AH1855"/>
  <c r="T1855"/>
  <c r="AH1854"/>
  <c r="T1854"/>
  <c r="AH1853"/>
  <c r="T1853"/>
  <c r="AH1852"/>
  <c r="T1852"/>
  <c r="AH1851"/>
  <c r="T1851"/>
  <c r="AH1850"/>
  <c r="T1850"/>
  <c r="AH1849"/>
  <c r="T1849"/>
  <c r="AH1848"/>
  <c r="T1848"/>
  <c r="AH1847"/>
  <c r="T1847"/>
  <c r="AH1846"/>
  <c r="T1846"/>
  <c r="AH1845"/>
  <c r="T1845"/>
  <c r="AH1844"/>
  <c r="T1844"/>
  <c r="AH1843"/>
  <c r="T1843"/>
  <c r="AH1842"/>
  <c r="T1842"/>
  <c r="AH1841"/>
  <c r="T1841"/>
  <c r="AH1840"/>
  <c r="T1840"/>
  <c r="AH1839"/>
  <c r="T1839"/>
  <c r="AH1838"/>
  <c r="T1838"/>
  <c r="AH1837"/>
  <c r="T1837"/>
  <c r="AH1836"/>
  <c r="T1836"/>
  <c r="AH1835"/>
  <c r="T1835"/>
  <c r="AH1834"/>
  <c r="T1834"/>
  <c r="AH1833"/>
  <c r="T1833"/>
  <c r="AH1832"/>
  <c r="T1832"/>
  <c r="AH1831"/>
  <c r="T1831"/>
  <c r="AH1830"/>
  <c r="T1830"/>
  <c r="AH1829"/>
  <c r="T1829"/>
  <c r="AH1828"/>
  <c r="T1828"/>
  <c r="AH1827"/>
  <c r="T1827"/>
  <c r="AH1826"/>
  <c r="T1826"/>
  <c r="AH1825"/>
  <c r="T1825"/>
  <c r="AH1824"/>
  <c r="T1824"/>
  <c r="AH1823"/>
  <c r="T1823"/>
  <c r="AH1822"/>
  <c r="T1822"/>
  <c r="AH1821"/>
  <c r="T1821"/>
  <c r="AH1820"/>
  <c r="T1820"/>
  <c r="AH1819"/>
  <c r="T1819"/>
  <c r="AH1818"/>
  <c r="T1818"/>
  <c r="AH1817"/>
  <c r="T1817"/>
  <c r="AH1816"/>
  <c r="T1816"/>
  <c r="AH1815"/>
  <c r="T1815"/>
  <c r="AH1814"/>
  <c r="T1814"/>
  <c r="AH1813"/>
  <c r="T1813"/>
  <c r="AH1812"/>
  <c r="T1812"/>
  <c r="AH1811"/>
  <c r="T1811"/>
  <c r="AH1810"/>
  <c r="T1810"/>
  <c r="AH1809"/>
  <c r="T1809"/>
  <c r="AH1808"/>
  <c r="T1808"/>
  <c r="AH1807"/>
  <c r="T1807"/>
  <c r="AH1806"/>
  <c r="T1806"/>
  <c r="AH1805"/>
  <c r="T1805"/>
  <c r="AH1804"/>
  <c r="Z1804"/>
  <c r="X1804"/>
  <c r="V1804"/>
  <c r="T1804"/>
  <c r="AH1803"/>
  <c r="V1803"/>
  <c r="T1803"/>
  <c r="AH1802"/>
  <c r="Z1802"/>
  <c r="X1802"/>
  <c r="V1802"/>
  <c r="T1802"/>
  <c r="AH1801"/>
  <c r="Z1801"/>
  <c r="X1801"/>
  <c r="V1801"/>
  <c r="T1801"/>
  <c r="AH1800"/>
  <c r="Z1800"/>
  <c r="X1800"/>
  <c r="V1800"/>
  <c r="T1800"/>
  <c r="AH1799"/>
  <c r="AB1799"/>
  <c r="Z1799"/>
  <c r="X1799"/>
  <c r="V1799"/>
  <c r="T1799"/>
  <c r="AH1798"/>
  <c r="X1798"/>
  <c r="V1798"/>
  <c r="T1798"/>
  <c r="AH1797"/>
  <c r="X1797"/>
  <c r="V1797"/>
  <c r="T1797"/>
  <c r="AH1796"/>
  <c r="X1796"/>
  <c r="V1796"/>
  <c r="T1796"/>
  <c r="AH1795"/>
  <c r="X1795"/>
  <c r="V1795"/>
  <c r="T1795"/>
  <c r="AH1794"/>
  <c r="X1794"/>
  <c r="V1794"/>
  <c r="T1794"/>
  <c r="AH1793"/>
  <c r="X1793"/>
  <c r="V1793"/>
  <c r="T1793"/>
  <c r="AH1792"/>
  <c r="X1792"/>
  <c r="V1792"/>
  <c r="T1792"/>
  <c r="AH1791"/>
  <c r="X1791"/>
  <c r="V1791"/>
  <c r="T1791"/>
  <c r="AH1790"/>
  <c r="X1790"/>
  <c r="V1790"/>
  <c r="T1790"/>
  <c r="AH1789"/>
  <c r="X1789"/>
  <c r="V1789"/>
  <c r="T1789"/>
  <c r="AH1788"/>
  <c r="X1788"/>
  <c r="V1788"/>
  <c r="T1788"/>
  <c r="AH1787"/>
  <c r="X1787"/>
  <c r="V1787"/>
  <c r="T1787"/>
  <c r="AH1786"/>
  <c r="T1786"/>
  <c r="AH1785"/>
  <c r="T1785"/>
  <c r="AH1784"/>
  <c r="T1784"/>
  <c r="AH1783"/>
  <c r="T1783"/>
  <c r="AH1782"/>
  <c r="T1782"/>
  <c r="AH1781"/>
  <c r="T1781"/>
  <c r="AH1780"/>
  <c r="T1780"/>
  <c r="AH1779"/>
  <c r="V1779"/>
  <c r="T1779"/>
  <c r="AH1778"/>
  <c r="V1778"/>
  <c r="T1778"/>
  <c r="AH1777"/>
  <c r="T1777"/>
  <c r="AH1776"/>
  <c r="T1776"/>
  <c r="AH1775"/>
  <c r="T1775"/>
  <c r="AH1774"/>
  <c r="T1774"/>
  <c r="AH1773"/>
  <c r="AF1773"/>
  <c r="AD1773"/>
  <c r="AB1773"/>
  <c r="Z1773"/>
  <c r="X1773"/>
  <c r="V1773"/>
  <c r="T1773"/>
  <c r="AH1772"/>
  <c r="AF1772"/>
  <c r="AD1772"/>
  <c r="AB1772"/>
  <c r="Z1772"/>
  <c r="X1772"/>
  <c r="V1772"/>
  <c r="T1772"/>
  <c r="AH1771"/>
  <c r="AF1771"/>
  <c r="AD1771"/>
  <c r="AB1771"/>
  <c r="Z1771"/>
  <c r="X1771"/>
  <c r="V1771"/>
  <c r="T1771"/>
  <c r="AH1770"/>
  <c r="AF1770"/>
  <c r="AD1770"/>
  <c r="AB1770"/>
  <c r="Z1770"/>
  <c r="X1770"/>
  <c r="V1770"/>
  <c r="T1770"/>
  <c r="AH1769"/>
  <c r="AF1769"/>
  <c r="AD1769"/>
  <c r="AB1769"/>
  <c r="Z1769"/>
  <c r="X1769"/>
  <c r="V1769"/>
  <c r="T1769"/>
  <c r="AH1768"/>
  <c r="AF1768"/>
  <c r="AD1768"/>
  <c r="AB1768"/>
  <c r="Z1768"/>
  <c r="X1768"/>
  <c r="V1768"/>
  <c r="T1768"/>
  <c r="AH1767"/>
  <c r="AF1767"/>
  <c r="AD1767"/>
  <c r="AB1767"/>
  <c r="Z1767"/>
  <c r="X1767"/>
  <c r="V1767"/>
  <c r="T1767"/>
  <c r="AH1766"/>
  <c r="AF1766"/>
  <c r="AD1766"/>
  <c r="AB1766"/>
  <c r="Z1766"/>
  <c r="X1766"/>
  <c r="V1766"/>
  <c r="T1766"/>
  <c r="AH1765"/>
  <c r="AF1765"/>
  <c r="AD1765"/>
  <c r="AB1765"/>
  <c r="Z1765"/>
  <c r="X1765"/>
  <c r="V1765"/>
  <c r="T1765"/>
  <c r="AH1764"/>
  <c r="AF1764"/>
  <c r="AD1764"/>
  <c r="AB1764"/>
  <c r="Z1764"/>
  <c r="X1764"/>
  <c r="V1764"/>
  <c r="T1764"/>
  <c r="AH1763"/>
  <c r="AF1763"/>
  <c r="AD1763"/>
  <c r="AB1763"/>
  <c r="Z1763"/>
  <c r="X1763"/>
  <c r="V1763"/>
  <c r="T1763"/>
  <c r="AH1762"/>
  <c r="AF1762"/>
  <c r="AD1762"/>
  <c r="AB1762"/>
  <c r="Z1762"/>
  <c r="X1762"/>
  <c r="V1762"/>
  <c r="T1762"/>
  <c r="AH1761"/>
  <c r="T1761"/>
  <c r="AH1760"/>
  <c r="AF1760"/>
  <c r="AD1760"/>
  <c r="AB1760"/>
  <c r="Z1760"/>
  <c r="X1760"/>
  <c r="V1760"/>
  <c r="T1760"/>
  <c r="AH1759"/>
  <c r="AF1759"/>
  <c r="AD1759"/>
  <c r="AB1759"/>
  <c r="Z1759"/>
  <c r="X1759"/>
  <c r="V1759"/>
  <c r="T1759"/>
  <c r="AH1758"/>
  <c r="T1758"/>
  <c r="AH1757"/>
  <c r="AF1757"/>
  <c r="AD1757"/>
  <c r="AB1757"/>
  <c r="Z1757"/>
  <c r="X1757"/>
  <c r="V1757"/>
  <c r="T1757"/>
  <c r="AH1756"/>
  <c r="AF1756"/>
  <c r="AD1756"/>
  <c r="AB1756"/>
  <c r="Z1756"/>
  <c r="X1756"/>
  <c r="V1756"/>
  <c r="T1756"/>
  <c r="AH1755"/>
  <c r="T1755"/>
  <c r="AH1754"/>
  <c r="T1754"/>
  <c r="AH1753"/>
  <c r="T1753"/>
  <c r="AH1752"/>
  <c r="T1752"/>
  <c r="AH1751"/>
  <c r="T1751"/>
  <c r="AH1750"/>
  <c r="T1750"/>
  <c r="AH1749"/>
  <c r="T1749"/>
  <c r="AH1748"/>
  <c r="T1748"/>
  <c r="AH1747"/>
  <c r="T1747"/>
  <c r="AH1746"/>
  <c r="T1746"/>
  <c r="AH1745"/>
  <c r="Z1745"/>
  <c r="X1745"/>
  <c r="V1745"/>
  <c r="T1745"/>
  <c r="AH1744"/>
  <c r="Z1744"/>
  <c r="X1744"/>
  <c r="V1744"/>
  <c r="T1744"/>
  <c r="AH1743"/>
  <c r="Z1743"/>
  <c r="X1743"/>
  <c r="V1743"/>
  <c r="T1743"/>
  <c r="AH1742"/>
  <c r="Z1742"/>
  <c r="X1742"/>
  <c r="V1742"/>
  <c r="T1742"/>
  <c r="AH1741"/>
  <c r="Z1741"/>
  <c r="X1741"/>
  <c r="V1741"/>
  <c r="T1741"/>
  <c r="AH1740"/>
  <c r="Z1740"/>
  <c r="X1740"/>
  <c r="V1740"/>
  <c r="T1740"/>
  <c r="AH1739"/>
  <c r="Z1739"/>
  <c r="X1739"/>
  <c r="V1739"/>
  <c r="T1739"/>
  <c r="AH1738"/>
  <c r="Z1738"/>
  <c r="X1738"/>
  <c r="V1738"/>
  <c r="T1738"/>
  <c r="AH1737"/>
  <c r="Z1737"/>
  <c r="X1737"/>
  <c r="V1737"/>
  <c r="T1737"/>
  <c r="AH1736"/>
  <c r="Z1736"/>
  <c r="X1736"/>
  <c r="V1736"/>
  <c r="T1736"/>
  <c r="AH1735"/>
  <c r="Z1735"/>
  <c r="X1735"/>
  <c r="V1735"/>
  <c r="T1735"/>
  <c r="AH1734"/>
  <c r="Z1734"/>
  <c r="X1734"/>
  <c r="V1734"/>
  <c r="T1734"/>
  <c r="AH1733"/>
  <c r="Z1733"/>
  <c r="X1733"/>
  <c r="V1733"/>
  <c r="T1733"/>
  <c r="AH1732"/>
  <c r="Z1732"/>
  <c r="X1732"/>
  <c r="V1732"/>
  <c r="T1732"/>
  <c r="AH1731"/>
  <c r="Z1731"/>
  <c r="X1731"/>
  <c r="V1731"/>
  <c r="T1731"/>
  <c r="AH1730"/>
  <c r="Z1730"/>
  <c r="X1730"/>
  <c r="V1730"/>
  <c r="T1730"/>
  <c r="AH1729"/>
  <c r="Z1729"/>
  <c r="X1729"/>
  <c r="V1729"/>
  <c r="T1729"/>
  <c r="AH1728"/>
  <c r="Z1728"/>
  <c r="X1728"/>
  <c r="V1728"/>
  <c r="T1728"/>
  <c r="AH1727"/>
  <c r="Z1727"/>
  <c r="X1727"/>
  <c r="V1727"/>
  <c r="T1727"/>
  <c r="AH1726"/>
  <c r="Z1726"/>
  <c r="X1726"/>
  <c r="V1726"/>
  <c r="T1726"/>
  <c r="AH1725"/>
  <c r="Z1725"/>
  <c r="X1725"/>
  <c r="V1725"/>
  <c r="T1725"/>
  <c r="AH1724"/>
  <c r="Z1724"/>
  <c r="X1724"/>
  <c r="V1724"/>
  <c r="T1724"/>
  <c r="AH1723"/>
  <c r="Z1723"/>
  <c r="X1723"/>
  <c r="V1723"/>
  <c r="T1723"/>
  <c r="AH1722"/>
  <c r="Z1722"/>
  <c r="X1722"/>
  <c r="V1722"/>
  <c r="T1722"/>
  <c r="AH1721"/>
  <c r="AB1721"/>
  <c r="Z1721"/>
  <c r="X1721"/>
  <c r="V1721"/>
  <c r="T1721"/>
  <c r="AH1720"/>
  <c r="AB1720"/>
  <c r="Z1720"/>
  <c r="X1720"/>
  <c r="V1720"/>
  <c r="T1720"/>
  <c r="AH1719"/>
  <c r="AB1719"/>
  <c r="Z1719"/>
  <c r="X1719"/>
  <c r="V1719"/>
  <c r="T1719"/>
  <c r="AH1718"/>
  <c r="AB1718"/>
  <c r="Z1718"/>
  <c r="X1718"/>
  <c r="V1718"/>
  <c r="T1718"/>
  <c r="AH1717"/>
  <c r="Z1717"/>
  <c r="X1717"/>
  <c r="V1717"/>
  <c r="T1717"/>
  <c r="AH1716"/>
  <c r="Z1716"/>
  <c r="X1716"/>
  <c r="V1716"/>
  <c r="T1716"/>
  <c r="AH1715"/>
  <c r="AB1715"/>
  <c r="Z1715"/>
  <c r="X1715"/>
  <c r="V1715"/>
  <c r="T1715"/>
  <c r="AH1714"/>
  <c r="AB1714"/>
  <c r="Z1714"/>
  <c r="X1714"/>
  <c r="V1714"/>
  <c r="T1714"/>
  <c r="AH1713"/>
  <c r="AB1713"/>
  <c r="Z1713"/>
  <c r="X1713"/>
  <c r="V1713"/>
  <c r="T1713"/>
  <c r="AH1712"/>
  <c r="AB1712"/>
  <c r="Z1712"/>
  <c r="X1712"/>
  <c r="V1712"/>
  <c r="T1712"/>
  <c r="AH1711"/>
  <c r="AB1711"/>
  <c r="Z1711"/>
  <c r="X1711"/>
  <c r="V1711"/>
  <c r="T1711"/>
  <c r="AH1710"/>
  <c r="AB1710"/>
  <c r="Z1710"/>
  <c r="X1710"/>
  <c r="V1710"/>
  <c r="T1710"/>
  <c r="AH1709"/>
  <c r="AB1709"/>
  <c r="Z1709"/>
  <c r="X1709"/>
  <c r="V1709"/>
  <c r="T1709"/>
  <c r="AH1708"/>
  <c r="AB1708"/>
  <c r="Z1708"/>
  <c r="X1708"/>
  <c r="V1708"/>
  <c r="T1708"/>
  <c r="AH1707"/>
  <c r="AB1707"/>
  <c r="Z1707"/>
  <c r="X1707"/>
  <c r="V1707"/>
  <c r="T1707"/>
  <c r="AH1706"/>
  <c r="Z1706"/>
  <c r="X1706"/>
  <c r="V1706"/>
  <c r="T1706"/>
  <c r="AH1705"/>
  <c r="AB1705"/>
  <c r="Z1705"/>
  <c r="X1705"/>
  <c r="V1705"/>
  <c r="T1705"/>
  <c r="AH1704"/>
  <c r="AB1704"/>
  <c r="Z1704"/>
  <c r="X1704"/>
  <c r="V1704"/>
  <c r="T1704"/>
  <c r="AH1703"/>
  <c r="X1703"/>
  <c r="V1703"/>
  <c r="T1703"/>
  <c r="AH1702"/>
  <c r="X1702"/>
  <c r="V1702"/>
  <c r="T1702"/>
  <c r="AH1701"/>
  <c r="Z1701"/>
  <c r="X1701"/>
  <c r="V1701"/>
  <c r="T1701"/>
  <c r="AH1700"/>
  <c r="Z1700"/>
  <c r="X1700"/>
  <c r="V1700"/>
  <c r="T1700"/>
  <c r="AH1699"/>
  <c r="Z1699"/>
  <c r="X1699"/>
  <c r="V1699"/>
  <c r="T1699"/>
  <c r="AH1698"/>
  <c r="Z1698"/>
  <c r="X1698"/>
  <c r="V1698"/>
  <c r="T1698"/>
  <c r="AH1697"/>
  <c r="Z1697"/>
  <c r="X1697"/>
  <c r="V1697"/>
  <c r="T1697"/>
  <c r="AH1696"/>
  <c r="Z1696"/>
  <c r="X1696"/>
  <c r="V1696"/>
  <c r="T1696"/>
  <c r="AH1695"/>
  <c r="Z1695"/>
  <c r="X1695"/>
  <c r="V1695"/>
  <c r="T1695"/>
  <c r="AH1694"/>
  <c r="Z1694"/>
  <c r="X1694"/>
  <c r="V1694"/>
  <c r="T1694"/>
  <c r="AH1693"/>
  <c r="Z1693"/>
  <c r="X1693"/>
  <c r="V1693"/>
  <c r="T1693"/>
  <c r="AH1692"/>
  <c r="Z1692"/>
  <c r="X1692"/>
  <c r="V1692"/>
  <c r="T1692"/>
  <c r="AH1691"/>
  <c r="Z1691"/>
  <c r="X1691"/>
  <c r="V1691"/>
  <c r="T1691"/>
  <c r="AH1690"/>
  <c r="Z1690"/>
  <c r="X1690"/>
  <c r="V1690"/>
  <c r="T1690"/>
  <c r="AH1689"/>
  <c r="Z1689"/>
  <c r="X1689"/>
  <c r="V1689"/>
  <c r="T1689"/>
  <c r="AH1688"/>
  <c r="Z1688"/>
  <c r="X1688"/>
  <c r="V1688"/>
  <c r="T1688"/>
  <c r="AH1687"/>
  <c r="Z1687"/>
  <c r="X1687"/>
  <c r="V1687"/>
  <c r="T1687"/>
  <c r="AH1686"/>
  <c r="T1686"/>
  <c r="AH1685"/>
  <c r="AD1685"/>
  <c r="AB1685"/>
  <c r="Z1685"/>
  <c r="X1685"/>
  <c r="V1685"/>
  <c r="T1685"/>
  <c r="AH1684"/>
  <c r="AD1684"/>
  <c r="AB1684"/>
  <c r="Z1684"/>
  <c r="X1684"/>
  <c r="V1684"/>
  <c r="T1684"/>
  <c r="AH1683"/>
  <c r="AD1683"/>
  <c r="AB1683"/>
  <c r="Z1683"/>
  <c r="X1683"/>
  <c r="V1683"/>
  <c r="T1683"/>
  <c r="AH1682"/>
  <c r="AD1682"/>
  <c r="AB1682"/>
  <c r="Z1682"/>
  <c r="X1682"/>
  <c r="V1682"/>
  <c r="T1682"/>
  <c r="AH1681"/>
  <c r="AD1681"/>
  <c r="AB1681"/>
  <c r="Z1681"/>
  <c r="X1681"/>
  <c r="V1681"/>
  <c r="T1681"/>
  <c r="AH1680"/>
  <c r="AD1680"/>
  <c r="AB1680"/>
  <c r="Z1680"/>
  <c r="X1680"/>
  <c r="V1680"/>
  <c r="T1680"/>
  <c r="AH1679"/>
  <c r="AD1679"/>
  <c r="AB1679"/>
  <c r="Z1679"/>
  <c r="X1679"/>
  <c r="V1679"/>
  <c r="T1679"/>
  <c r="AH1678"/>
  <c r="T1678"/>
  <c r="AH1677"/>
  <c r="T1677"/>
  <c r="AH1676"/>
  <c r="T1676"/>
  <c r="AH1675"/>
  <c r="T1675"/>
  <c r="AH1674"/>
  <c r="T1674"/>
  <c r="AH1673"/>
  <c r="T1673"/>
  <c r="AH1672"/>
  <c r="T1672"/>
  <c r="AH1671"/>
  <c r="T1671"/>
  <c r="AH1670"/>
  <c r="Z1670"/>
  <c r="X1670"/>
  <c r="V1670"/>
  <c r="T1670"/>
  <c r="AH1669"/>
  <c r="Z1669"/>
  <c r="X1669"/>
  <c r="V1669"/>
  <c r="T1669"/>
  <c r="AH1668"/>
  <c r="X1668"/>
  <c r="V1668"/>
  <c r="T1668"/>
  <c r="AH1667"/>
  <c r="X1667"/>
  <c r="V1667"/>
  <c r="T1667"/>
  <c r="AH1666"/>
  <c r="X1666"/>
  <c r="V1666"/>
  <c r="T1666"/>
  <c r="AH1665"/>
  <c r="X1665"/>
  <c r="V1665"/>
  <c r="T1665"/>
  <c r="AH1664"/>
  <c r="Z1664"/>
  <c r="X1664"/>
  <c r="V1664"/>
  <c r="T1664"/>
  <c r="AH1663"/>
  <c r="Z1663"/>
  <c r="X1663"/>
  <c r="V1663"/>
  <c r="T1663"/>
  <c r="AH1662"/>
  <c r="Z1662"/>
  <c r="X1662"/>
  <c r="V1662"/>
  <c r="T1662"/>
  <c r="AH1661"/>
  <c r="Z1661"/>
  <c r="X1661"/>
  <c r="V1661"/>
  <c r="T1661"/>
  <c r="AH1660"/>
  <c r="Z1660"/>
  <c r="X1660"/>
  <c r="V1660"/>
  <c r="T1660"/>
  <c r="AH1659"/>
  <c r="AD1659"/>
  <c r="AB1659"/>
  <c r="Z1659"/>
  <c r="X1659"/>
  <c r="V1659"/>
  <c r="T1659"/>
  <c r="AH1658"/>
  <c r="AD1658"/>
  <c r="AB1658"/>
  <c r="Z1658"/>
  <c r="X1658"/>
  <c r="V1658"/>
  <c r="T1658"/>
  <c r="AH1657"/>
  <c r="Z1657"/>
  <c r="X1657"/>
  <c r="V1657"/>
  <c r="T1657"/>
  <c r="AH1656"/>
  <c r="Z1656"/>
  <c r="X1656"/>
  <c r="V1656"/>
  <c r="T1656"/>
  <c r="AH1655"/>
  <c r="AD1655"/>
  <c r="AB1655"/>
  <c r="Z1655"/>
  <c r="X1655"/>
  <c r="V1655"/>
  <c r="T1655"/>
  <c r="AH1654"/>
  <c r="AD1654"/>
  <c r="AB1654"/>
  <c r="Z1654"/>
  <c r="X1654"/>
  <c r="V1654"/>
  <c r="T1654"/>
  <c r="AH1653"/>
  <c r="AD1653"/>
  <c r="AB1653"/>
  <c r="Z1653"/>
  <c r="X1653"/>
  <c r="V1653"/>
  <c r="T1653"/>
  <c r="AH1652"/>
  <c r="T1652"/>
  <c r="AH1651"/>
  <c r="V1651"/>
  <c r="T1651"/>
  <c r="AH1650"/>
  <c r="V1650"/>
  <c r="T1650"/>
  <c r="AH1649"/>
  <c r="T1649"/>
  <c r="AH1648"/>
  <c r="T1648"/>
  <c r="AH1647"/>
  <c r="T1647"/>
  <c r="AH1646"/>
  <c r="T1646"/>
  <c r="AH1645"/>
  <c r="Z1645"/>
  <c r="X1645"/>
  <c r="V1645"/>
  <c r="T1645"/>
  <c r="AH1644"/>
  <c r="Z1644"/>
  <c r="X1644"/>
  <c r="V1644"/>
  <c r="T1644"/>
  <c r="AH1643"/>
  <c r="AB1643"/>
  <c r="Z1643"/>
  <c r="X1643"/>
  <c r="V1643"/>
  <c r="T1643"/>
  <c r="AH1642"/>
  <c r="Z1642"/>
  <c r="X1642"/>
  <c r="V1642"/>
  <c r="T1642"/>
  <c r="AH1641"/>
  <c r="AD1641"/>
  <c r="AB1641"/>
  <c r="Z1641"/>
  <c r="X1641"/>
  <c r="V1641"/>
  <c r="T1641"/>
  <c r="AH1640"/>
  <c r="AD1640"/>
  <c r="AB1640"/>
  <c r="Z1640"/>
  <c r="X1640"/>
  <c r="V1640"/>
  <c r="T1640"/>
  <c r="AH1639"/>
  <c r="AD1639"/>
  <c r="AB1639"/>
  <c r="Z1639"/>
  <c r="X1639"/>
  <c r="V1639"/>
  <c r="T1639"/>
  <c r="AH1638"/>
  <c r="AD1638"/>
  <c r="AB1638"/>
  <c r="Z1638"/>
  <c r="X1638"/>
  <c r="V1638"/>
  <c r="T1638"/>
  <c r="AH1637"/>
  <c r="AD1637"/>
  <c r="AB1637"/>
  <c r="Z1637"/>
  <c r="X1637"/>
  <c r="V1637"/>
  <c r="T1637"/>
  <c r="AH1636"/>
  <c r="AD1636"/>
  <c r="AB1636"/>
  <c r="Z1636"/>
  <c r="X1636"/>
  <c r="V1636"/>
  <c r="T1636"/>
  <c r="AH1635"/>
  <c r="AD1635"/>
  <c r="AB1635"/>
  <c r="Z1635"/>
  <c r="X1635"/>
  <c r="V1635"/>
  <c r="T1635"/>
  <c r="AH1634"/>
  <c r="AD1634"/>
  <c r="AB1634"/>
  <c r="Z1634"/>
  <c r="X1634"/>
  <c r="V1634"/>
  <c r="T1634"/>
  <c r="AH1633"/>
  <c r="AD1633"/>
  <c r="AB1633"/>
  <c r="Z1633"/>
  <c r="X1633"/>
  <c r="V1633"/>
  <c r="T1633"/>
  <c r="AH1632"/>
  <c r="AD1632"/>
  <c r="AB1632"/>
  <c r="Z1632"/>
  <c r="X1632"/>
  <c r="V1632"/>
  <c r="T1632"/>
  <c r="AH1631"/>
  <c r="AB1631"/>
  <c r="Z1631"/>
  <c r="X1631"/>
  <c r="V1631"/>
  <c r="T1631"/>
  <c r="AH1630"/>
  <c r="AB1630"/>
  <c r="Z1630"/>
  <c r="X1630"/>
  <c r="V1630"/>
  <c r="T1630"/>
  <c r="AH1629"/>
  <c r="AB1629"/>
  <c r="Z1629"/>
  <c r="X1629"/>
  <c r="V1629"/>
  <c r="T1629"/>
  <c r="AH1628"/>
  <c r="AB1628"/>
  <c r="Z1628"/>
  <c r="X1628"/>
  <c r="V1628"/>
  <c r="T1628"/>
  <c r="AH1627"/>
  <c r="AB1627"/>
  <c r="Z1627"/>
  <c r="X1627"/>
  <c r="V1627"/>
  <c r="T1627"/>
  <c r="AH1626"/>
  <c r="AB1626"/>
  <c r="Z1626"/>
  <c r="X1626"/>
  <c r="V1626"/>
  <c r="T1626"/>
  <c r="AH1625"/>
  <c r="AB1625"/>
  <c r="Z1625"/>
  <c r="X1625"/>
  <c r="V1625"/>
  <c r="T1625"/>
  <c r="AH1624"/>
  <c r="AB1624"/>
  <c r="Z1624"/>
  <c r="X1624"/>
  <c r="V1624"/>
  <c r="T1624"/>
  <c r="AH1623"/>
  <c r="Z1623"/>
  <c r="X1623"/>
  <c r="V1623"/>
  <c r="T1623"/>
  <c r="AH1622"/>
  <c r="Z1622"/>
  <c r="X1622"/>
  <c r="V1622"/>
  <c r="T1622"/>
  <c r="AH1621"/>
  <c r="Z1621"/>
  <c r="X1621"/>
  <c r="V1621"/>
  <c r="T1621"/>
  <c r="AH1620"/>
  <c r="Z1620"/>
  <c r="X1620"/>
  <c r="V1620"/>
  <c r="T1620"/>
  <c r="AH1619"/>
  <c r="Z1619"/>
  <c r="X1619"/>
  <c r="V1619"/>
  <c r="T1619"/>
  <c r="AH1618"/>
  <c r="Z1618"/>
  <c r="X1618"/>
  <c r="V1618"/>
  <c r="T1618"/>
  <c r="AH1617"/>
  <c r="Z1617"/>
  <c r="X1617"/>
  <c r="V1617"/>
  <c r="T1617"/>
  <c r="AH1616"/>
  <c r="Z1616"/>
  <c r="X1616"/>
  <c r="V1616"/>
  <c r="T1616"/>
  <c r="AH1615"/>
  <c r="X1615"/>
  <c r="V1615"/>
  <c r="T1615"/>
  <c r="AH1614"/>
  <c r="X1614"/>
  <c r="V1614"/>
  <c r="T1614"/>
  <c r="AH1613"/>
  <c r="AD1613"/>
  <c r="AB1613"/>
  <c r="Z1613"/>
  <c r="X1613"/>
  <c r="V1613"/>
  <c r="T1613"/>
  <c r="AH1612"/>
  <c r="AB1612"/>
  <c r="Z1612"/>
  <c r="X1612"/>
  <c r="V1612"/>
  <c r="T1612"/>
  <c r="AH1611"/>
  <c r="AB1611"/>
  <c r="Z1611"/>
  <c r="X1611"/>
  <c r="V1611"/>
  <c r="T1611"/>
  <c r="AH1610"/>
  <c r="AD1610"/>
  <c r="AB1610"/>
  <c r="Z1610"/>
  <c r="X1610"/>
  <c r="V1610"/>
  <c r="T1610"/>
  <c r="AH1609"/>
  <c r="AD1609"/>
  <c r="AB1609"/>
  <c r="Z1609"/>
  <c r="X1609"/>
  <c r="V1609"/>
  <c r="T1609"/>
  <c r="AH1608"/>
  <c r="T1608"/>
  <c r="AH1607"/>
  <c r="AD1607"/>
  <c r="AB1607"/>
  <c r="Z1607"/>
  <c r="X1607"/>
  <c r="V1607"/>
  <c r="T1607"/>
  <c r="AH1606"/>
  <c r="AB1606"/>
  <c r="Z1606"/>
  <c r="X1606"/>
  <c r="V1606"/>
  <c r="T1606"/>
  <c r="AH1605"/>
  <c r="AD1605"/>
  <c r="AB1605"/>
  <c r="Z1605"/>
  <c r="X1605"/>
  <c r="V1605"/>
  <c r="T1605"/>
  <c r="AH1604"/>
  <c r="AD1604"/>
  <c r="AB1604"/>
  <c r="Z1604"/>
  <c r="X1604"/>
  <c r="V1604"/>
  <c r="T1604"/>
  <c r="AH1603"/>
  <c r="AD1603"/>
  <c r="AB1603"/>
  <c r="Z1603"/>
  <c r="X1603"/>
  <c r="V1603"/>
  <c r="T1603"/>
  <c r="AH1602"/>
  <c r="AD1602"/>
  <c r="AB1602"/>
  <c r="Z1602"/>
  <c r="X1602"/>
  <c r="V1602"/>
  <c r="T1602"/>
  <c r="AH1601"/>
  <c r="AD1601"/>
  <c r="AB1601"/>
  <c r="Z1601"/>
  <c r="X1601"/>
  <c r="V1601"/>
  <c r="T1601"/>
  <c r="AH1600"/>
  <c r="AD1600"/>
  <c r="AB1600"/>
  <c r="Z1600"/>
  <c r="X1600"/>
  <c r="V1600"/>
  <c r="T1600"/>
  <c r="AH1599"/>
  <c r="AD1599"/>
  <c r="AB1599"/>
  <c r="Z1599"/>
  <c r="X1599"/>
  <c r="V1599"/>
  <c r="T1599"/>
  <c r="AH1598"/>
  <c r="V1598"/>
  <c r="T1598"/>
  <c r="AH1597"/>
  <c r="V1597"/>
  <c r="T1597"/>
  <c r="AH1596"/>
  <c r="AD1596"/>
  <c r="AB1596"/>
  <c r="Z1596"/>
  <c r="X1596"/>
  <c r="V1596"/>
  <c r="T1596"/>
  <c r="AH1595"/>
  <c r="AD1595"/>
  <c r="AB1595"/>
  <c r="Z1595"/>
  <c r="X1595"/>
  <c r="V1595"/>
  <c r="T1595"/>
  <c r="AH1594"/>
  <c r="AD1594"/>
  <c r="AB1594"/>
  <c r="Z1594"/>
  <c r="X1594"/>
  <c r="V1594"/>
  <c r="T1594"/>
  <c r="AH1593"/>
  <c r="AD1593"/>
  <c r="AB1593"/>
  <c r="Z1593"/>
  <c r="X1593"/>
  <c r="V1593"/>
  <c r="T1593"/>
  <c r="AH1592"/>
  <c r="AD1592"/>
  <c r="AB1592"/>
  <c r="Z1592"/>
  <c r="X1592"/>
  <c r="V1592"/>
  <c r="T1592"/>
  <c r="AH1591"/>
  <c r="AD1591"/>
  <c r="AB1591"/>
  <c r="Z1591"/>
  <c r="X1591"/>
  <c r="V1591"/>
  <c r="T1591"/>
  <c r="AH1590"/>
  <c r="AD1590"/>
  <c r="AB1590"/>
  <c r="Z1590"/>
  <c r="X1590"/>
  <c r="V1590"/>
  <c r="T1590"/>
  <c r="AH1589"/>
  <c r="AD1589"/>
  <c r="AB1589"/>
  <c r="Z1589"/>
  <c r="X1589"/>
  <c r="V1589"/>
  <c r="T1589"/>
  <c r="AH1588"/>
  <c r="T1588"/>
  <c r="AH1587"/>
  <c r="V1587"/>
  <c r="T1587"/>
  <c r="AH1586"/>
  <c r="Z1586"/>
  <c r="X1586"/>
  <c r="V1586"/>
  <c r="T1586"/>
  <c r="AH1585"/>
  <c r="X1585"/>
  <c r="V1585"/>
  <c r="T1585"/>
  <c r="AH1584"/>
  <c r="X1584"/>
  <c r="V1584"/>
  <c r="T1584"/>
  <c r="AH1583"/>
  <c r="X1583"/>
  <c r="V1583"/>
  <c r="T1583"/>
  <c r="AH1582"/>
  <c r="X1582"/>
  <c r="V1582"/>
  <c r="T1582"/>
  <c r="AH1581"/>
  <c r="Z1581"/>
  <c r="X1581"/>
  <c r="V1581"/>
  <c r="T1581"/>
  <c r="AH1580"/>
  <c r="Z1580"/>
  <c r="X1580"/>
  <c r="V1580"/>
  <c r="T1580"/>
  <c r="AH1579"/>
  <c r="Z1579"/>
  <c r="X1579"/>
  <c r="V1579"/>
  <c r="T1579"/>
  <c r="AH1578"/>
  <c r="V1578"/>
  <c r="T1578"/>
  <c r="AH1577"/>
  <c r="X1577"/>
  <c r="V1577"/>
  <c r="T1577"/>
  <c r="AH1576"/>
  <c r="X1576"/>
  <c r="V1576"/>
  <c r="T1576"/>
  <c r="AH1575"/>
  <c r="X1575"/>
  <c r="V1575"/>
  <c r="T1575"/>
  <c r="AH1574"/>
  <c r="X1574"/>
  <c r="V1574"/>
  <c r="T1574"/>
  <c r="AH1573"/>
  <c r="Z1573"/>
  <c r="X1573"/>
  <c r="V1573"/>
  <c r="T1573"/>
  <c r="AH1572"/>
  <c r="Z1572"/>
  <c r="X1572"/>
  <c r="V1572"/>
  <c r="T1572"/>
  <c r="AH1571"/>
  <c r="AD1571"/>
  <c r="AB1571"/>
  <c r="Z1571"/>
  <c r="X1571"/>
  <c r="V1571"/>
  <c r="T1571"/>
  <c r="AH1570"/>
  <c r="AD1570"/>
  <c r="AB1570"/>
  <c r="Z1570"/>
  <c r="X1570"/>
  <c r="V1570"/>
  <c r="T1570"/>
  <c r="AH1569"/>
  <c r="AD1569"/>
  <c r="AB1569"/>
  <c r="Z1569"/>
  <c r="X1569"/>
  <c r="V1569"/>
  <c r="T1569"/>
  <c r="AH1568"/>
  <c r="AD1568"/>
  <c r="AB1568"/>
  <c r="Z1568"/>
  <c r="X1568"/>
  <c r="V1568"/>
  <c r="T1568"/>
  <c r="AH1567"/>
  <c r="AD1567"/>
  <c r="AB1567"/>
  <c r="Z1567"/>
  <c r="X1567"/>
  <c r="V1567"/>
  <c r="T1567"/>
  <c r="AH1566"/>
  <c r="AD1566"/>
  <c r="AB1566"/>
  <c r="Z1566"/>
  <c r="X1566"/>
  <c r="V1566"/>
  <c r="T1566"/>
  <c r="AH1565"/>
  <c r="AD1565"/>
  <c r="AB1565"/>
  <c r="Z1565"/>
  <c r="X1565"/>
  <c r="V1565"/>
  <c r="T1565"/>
  <c r="AH1564"/>
  <c r="AD1564"/>
  <c r="AB1564"/>
  <c r="Z1564"/>
  <c r="X1564"/>
  <c r="V1564"/>
  <c r="T1564"/>
  <c r="AH1563"/>
  <c r="AD1563"/>
  <c r="AB1563"/>
  <c r="Z1563"/>
  <c r="X1563"/>
  <c r="V1563"/>
  <c r="T1563"/>
  <c r="AH1562"/>
  <c r="AD1562"/>
  <c r="AB1562"/>
  <c r="Z1562"/>
  <c r="X1562"/>
  <c r="V1562"/>
  <c r="T1562"/>
  <c r="AH1561"/>
  <c r="AD1561"/>
  <c r="AB1561"/>
  <c r="Z1561"/>
  <c r="X1561"/>
  <c r="V1561"/>
  <c r="T1561"/>
  <c r="AH1560"/>
  <c r="AD1560"/>
  <c r="AB1560"/>
  <c r="Z1560"/>
  <c r="X1560"/>
  <c r="V1560"/>
  <c r="T1560"/>
  <c r="AH1559"/>
  <c r="AD1559"/>
  <c r="AB1559"/>
  <c r="Z1559"/>
  <c r="X1559"/>
  <c r="V1559"/>
  <c r="T1559"/>
  <c r="AH1558"/>
  <c r="AD1558"/>
  <c r="AB1558"/>
  <c r="Z1558"/>
  <c r="X1558"/>
  <c r="V1558"/>
  <c r="T1558"/>
  <c r="AH1557"/>
  <c r="AD1557"/>
  <c r="AB1557"/>
  <c r="Z1557"/>
  <c r="X1557"/>
  <c r="V1557"/>
  <c r="T1557"/>
  <c r="AH1556"/>
  <c r="T1556"/>
  <c r="AH1555"/>
  <c r="T1555"/>
  <c r="AH1554"/>
  <c r="AB1554"/>
  <c r="Z1554"/>
  <c r="X1554"/>
  <c r="V1554"/>
  <c r="T1554"/>
  <c r="AH1553"/>
  <c r="AB1553"/>
  <c r="Z1553"/>
  <c r="X1553"/>
  <c r="V1553"/>
  <c r="T1553"/>
  <c r="AH1552"/>
  <c r="AB1552"/>
  <c r="Z1552"/>
  <c r="X1552"/>
  <c r="V1552"/>
  <c r="T1552"/>
  <c r="AH1551"/>
  <c r="AB1551"/>
  <c r="Z1551"/>
  <c r="X1551"/>
  <c r="V1551"/>
  <c r="T1551"/>
  <c r="AH1550"/>
  <c r="AB1550"/>
  <c r="Z1550"/>
  <c r="X1550"/>
  <c r="V1550"/>
  <c r="T1550"/>
  <c r="AH1549"/>
  <c r="AB1549"/>
  <c r="Z1549"/>
  <c r="X1549"/>
  <c r="V1549"/>
  <c r="T1549"/>
  <c r="AH1548"/>
  <c r="AB1548"/>
  <c r="Z1548"/>
  <c r="X1548"/>
  <c r="V1548"/>
  <c r="T1548"/>
  <c r="AH1547"/>
  <c r="AB1547"/>
  <c r="Z1547"/>
  <c r="X1547"/>
  <c r="V1547"/>
  <c r="T1547"/>
  <c r="AH1546"/>
  <c r="AB1546"/>
  <c r="Z1546"/>
  <c r="X1546"/>
  <c r="V1546"/>
  <c r="T1546"/>
  <c r="AH1545"/>
  <c r="AB1545"/>
  <c r="Z1545"/>
  <c r="X1545"/>
  <c r="V1545"/>
  <c r="T1545"/>
  <c r="AH1544"/>
  <c r="AB1544"/>
  <c r="Z1544"/>
  <c r="X1544"/>
  <c r="V1544"/>
  <c r="T1544"/>
  <c r="AH1543"/>
  <c r="AB1543"/>
  <c r="Z1543"/>
  <c r="X1543"/>
  <c r="V1543"/>
  <c r="T1543"/>
  <c r="AH1542"/>
  <c r="AD1542"/>
  <c r="AB1542"/>
  <c r="Z1542"/>
  <c r="X1542"/>
  <c r="V1542"/>
  <c r="T1542"/>
  <c r="AH1541"/>
  <c r="AD1541"/>
  <c r="AB1541"/>
  <c r="Z1541"/>
  <c r="X1541"/>
  <c r="V1541"/>
  <c r="T1541"/>
  <c r="AH1540"/>
  <c r="AD1540"/>
  <c r="AB1540"/>
  <c r="Z1540"/>
  <c r="X1540"/>
  <c r="V1540"/>
  <c r="T1540"/>
  <c r="AH1539"/>
  <c r="AD1539"/>
  <c r="AB1539"/>
  <c r="Z1539"/>
  <c r="X1539"/>
  <c r="V1539"/>
  <c r="T1539"/>
  <c r="AH1538"/>
  <c r="AD1538"/>
  <c r="AB1538"/>
  <c r="Z1538"/>
  <c r="X1538"/>
  <c r="V1538"/>
  <c r="T1538"/>
  <c r="AH1537"/>
  <c r="AD1537"/>
  <c r="AB1537"/>
  <c r="Z1537"/>
  <c r="X1537"/>
  <c r="V1537"/>
  <c r="T1537"/>
  <c r="AH1536"/>
  <c r="AD1536"/>
  <c r="AB1536"/>
  <c r="Z1536"/>
  <c r="X1536"/>
  <c r="V1536"/>
  <c r="T1536"/>
  <c r="AH1535"/>
  <c r="AD1535"/>
  <c r="AB1535"/>
  <c r="Z1535"/>
  <c r="X1535"/>
  <c r="V1535"/>
  <c r="T1535"/>
  <c r="AH1534"/>
  <c r="AD1534"/>
  <c r="AB1534"/>
  <c r="Z1534"/>
  <c r="X1534"/>
  <c r="V1534"/>
  <c r="T1534"/>
  <c r="AH1533"/>
  <c r="AD1533"/>
  <c r="AB1533"/>
  <c r="Z1533"/>
  <c r="X1533"/>
  <c r="V1533"/>
  <c r="T1533"/>
  <c r="AH1532"/>
  <c r="AD1532"/>
  <c r="AB1532"/>
  <c r="Z1532"/>
  <c r="X1532"/>
  <c r="V1532"/>
  <c r="T1532"/>
  <c r="AH1531"/>
  <c r="AD1531"/>
  <c r="AB1531"/>
  <c r="Z1531"/>
  <c r="X1531"/>
  <c r="V1531"/>
  <c r="T1531"/>
  <c r="AH1530"/>
  <c r="AD1530"/>
  <c r="AB1530"/>
  <c r="Z1530"/>
  <c r="X1530"/>
  <c r="V1530"/>
  <c r="T1530"/>
  <c r="AH1529"/>
  <c r="AD1529"/>
  <c r="AB1529"/>
  <c r="Z1529"/>
  <c r="X1529"/>
  <c r="V1529"/>
  <c r="T1529"/>
  <c r="AH1528"/>
  <c r="AD1528"/>
  <c r="AB1528"/>
  <c r="Z1528"/>
  <c r="X1528"/>
  <c r="V1528"/>
  <c r="T1528"/>
  <c r="AH1527"/>
  <c r="AD1527"/>
  <c r="AB1527"/>
  <c r="Z1527"/>
  <c r="X1527"/>
  <c r="V1527"/>
  <c r="T1527"/>
  <c r="AH1526"/>
  <c r="AD1526"/>
  <c r="AB1526"/>
  <c r="Z1526"/>
  <c r="X1526"/>
  <c r="V1526"/>
  <c r="T1526"/>
  <c r="AH1525"/>
  <c r="AD1525"/>
  <c r="AB1525"/>
  <c r="Z1525"/>
  <c r="X1525"/>
  <c r="V1525"/>
  <c r="T1525"/>
  <c r="AH1524"/>
  <c r="AD1524"/>
  <c r="AB1524"/>
  <c r="Z1524"/>
  <c r="X1524"/>
  <c r="V1524"/>
  <c r="T1524"/>
  <c r="AH1523"/>
  <c r="AD1523"/>
  <c r="AB1523"/>
  <c r="Z1523"/>
  <c r="X1523"/>
  <c r="V1523"/>
  <c r="T1523"/>
  <c r="AH1522"/>
  <c r="T1522"/>
  <c r="AH1521"/>
  <c r="T1521"/>
  <c r="AH1520"/>
  <c r="T1520"/>
  <c r="AH1519"/>
  <c r="T1519"/>
  <c r="AH1518"/>
  <c r="T1518"/>
  <c r="AH1517"/>
  <c r="T1517"/>
  <c r="AH1516"/>
  <c r="X1516"/>
  <c r="V1516"/>
  <c r="T1516"/>
  <c r="AH1515"/>
  <c r="AD1515"/>
  <c r="AB1515"/>
  <c r="Z1515"/>
  <c r="X1515"/>
  <c r="V1515"/>
  <c r="T1515"/>
  <c r="AH1514"/>
  <c r="AD1514"/>
  <c r="AB1514"/>
  <c r="Z1514"/>
  <c r="X1514"/>
  <c r="V1514"/>
  <c r="T1514"/>
  <c r="AH1513"/>
  <c r="AD1513"/>
  <c r="AB1513"/>
  <c r="Z1513"/>
  <c r="X1513"/>
  <c r="V1513"/>
  <c r="T1513"/>
  <c r="AH1512"/>
  <c r="AD1512"/>
  <c r="AB1512"/>
  <c r="Z1512"/>
  <c r="X1512"/>
  <c r="V1512"/>
  <c r="T1512"/>
  <c r="AH1511"/>
  <c r="AD1511"/>
  <c r="AB1511"/>
  <c r="Z1511"/>
  <c r="X1511"/>
  <c r="V1511"/>
  <c r="T1511"/>
  <c r="AH1510"/>
  <c r="AD1510"/>
  <c r="AB1510"/>
  <c r="Z1510"/>
  <c r="X1510"/>
  <c r="V1510"/>
  <c r="T1510"/>
  <c r="AH1509"/>
  <c r="AD1509"/>
  <c r="AB1509"/>
  <c r="Z1509"/>
  <c r="X1509"/>
  <c r="V1509"/>
  <c r="T1509"/>
  <c r="AH1508"/>
  <c r="AD1508"/>
  <c r="AB1508"/>
  <c r="Z1508"/>
  <c r="X1508"/>
  <c r="V1508"/>
  <c r="T1508"/>
  <c r="AH1507"/>
  <c r="AD1507"/>
  <c r="AB1507"/>
  <c r="Z1507"/>
  <c r="X1507"/>
  <c r="V1507"/>
  <c r="T1507"/>
  <c r="AH1506"/>
  <c r="AD1506"/>
  <c r="AB1506"/>
  <c r="Z1506"/>
  <c r="X1506"/>
  <c r="V1506"/>
  <c r="T1506"/>
  <c r="AH1505"/>
  <c r="AD1505"/>
  <c r="AB1505"/>
  <c r="Z1505"/>
  <c r="X1505"/>
  <c r="V1505"/>
  <c r="T1505"/>
  <c r="AH1504"/>
  <c r="AD1504"/>
  <c r="AB1504"/>
  <c r="Z1504"/>
  <c r="X1504"/>
  <c r="V1504"/>
  <c r="T1504"/>
  <c r="AH1503"/>
  <c r="AD1503"/>
  <c r="AB1503"/>
  <c r="Z1503"/>
  <c r="X1503"/>
  <c r="V1503"/>
  <c r="T1503"/>
  <c r="AH1502"/>
  <c r="AB1502"/>
  <c r="Z1502"/>
  <c r="X1502"/>
  <c r="V1502"/>
  <c r="T1502"/>
  <c r="AH1501"/>
  <c r="AB1501"/>
  <c r="Z1501"/>
  <c r="X1501"/>
  <c r="V1501"/>
  <c r="T1501"/>
  <c r="AH1500"/>
  <c r="AB1500"/>
  <c r="Z1500"/>
  <c r="X1500"/>
  <c r="V1500"/>
  <c r="T1500"/>
  <c r="AH1499"/>
  <c r="AB1499"/>
  <c r="Z1499"/>
  <c r="X1499"/>
  <c r="V1499"/>
  <c r="T1499"/>
  <c r="AH1498"/>
  <c r="AB1498"/>
  <c r="Z1498"/>
  <c r="X1498"/>
  <c r="V1498"/>
  <c r="T1498"/>
  <c r="AH1497"/>
  <c r="AB1497"/>
  <c r="Z1497"/>
  <c r="X1497"/>
  <c r="V1497"/>
  <c r="T1497"/>
  <c r="AH1496"/>
  <c r="AB1496"/>
  <c r="Z1496"/>
  <c r="X1496"/>
  <c r="V1496"/>
  <c r="T1496"/>
  <c r="AH1495"/>
  <c r="AD1495"/>
  <c r="AB1495"/>
  <c r="Z1495"/>
  <c r="X1495"/>
  <c r="V1495"/>
  <c r="T1495"/>
  <c r="AH1494"/>
  <c r="AD1494"/>
  <c r="AB1494"/>
  <c r="Z1494"/>
  <c r="X1494"/>
  <c r="V1494"/>
  <c r="T1494"/>
  <c r="AH1493"/>
  <c r="AD1493"/>
  <c r="AB1493"/>
  <c r="Z1493"/>
  <c r="X1493"/>
  <c r="V1493"/>
  <c r="T1493"/>
  <c r="AH1492"/>
  <c r="AD1492"/>
  <c r="AB1492"/>
  <c r="Z1492"/>
  <c r="X1492"/>
  <c r="V1492"/>
  <c r="T1492"/>
  <c r="AH1491"/>
  <c r="AD1491"/>
  <c r="AB1491"/>
  <c r="Z1491"/>
  <c r="X1491"/>
  <c r="V1491"/>
  <c r="T1491"/>
  <c r="AH1490"/>
  <c r="AD1490"/>
  <c r="AB1490"/>
  <c r="Z1490"/>
  <c r="X1490"/>
  <c r="V1490"/>
  <c r="T1490"/>
  <c r="AH1489"/>
  <c r="AD1489"/>
  <c r="AB1489"/>
  <c r="Z1489"/>
  <c r="X1489"/>
  <c r="V1489"/>
  <c r="T1489"/>
  <c r="AH1488"/>
  <c r="AD1488"/>
  <c r="AB1488"/>
  <c r="Z1488"/>
  <c r="X1488"/>
  <c r="V1488"/>
  <c r="T1488"/>
  <c r="AH1487"/>
  <c r="AD1487"/>
  <c r="AB1487"/>
  <c r="Z1487"/>
  <c r="X1487"/>
  <c r="V1487"/>
  <c r="T1487"/>
  <c r="AH1486"/>
  <c r="AD1486"/>
  <c r="AB1486"/>
  <c r="Z1486"/>
  <c r="X1486"/>
  <c r="V1486"/>
  <c r="T1486"/>
  <c r="AH1485"/>
  <c r="AD1485"/>
  <c r="AB1485"/>
  <c r="Z1485"/>
  <c r="X1485"/>
  <c r="V1485"/>
  <c r="T1485"/>
  <c r="AH1484"/>
  <c r="AD1484"/>
  <c r="AB1484"/>
  <c r="Z1484"/>
  <c r="X1484"/>
  <c r="V1484"/>
  <c r="T1484"/>
  <c r="AH1483"/>
  <c r="T1483"/>
  <c r="AH1482"/>
  <c r="T1482"/>
  <c r="AH1481"/>
  <c r="T1481"/>
  <c r="AH1480"/>
  <c r="X1480"/>
  <c r="V1480"/>
  <c r="T1480"/>
  <c r="AH1479"/>
  <c r="X1479"/>
  <c r="V1479"/>
  <c r="T1479"/>
  <c r="AH1478"/>
  <c r="X1478"/>
  <c r="V1478"/>
  <c r="T1478"/>
  <c r="AH1477"/>
  <c r="X1477"/>
  <c r="V1477"/>
  <c r="T1477"/>
  <c r="AH1476"/>
  <c r="X1476"/>
  <c r="V1476"/>
  <c r="T1476"/>
  <c r="AH1475"/>
  <c r="X1475"/>
  <c r="V1475"/>
  <c r="T1475"/>
  <c r="AH1474"/>
  <c r="X1474"/>
  <c r="V1474"/>
  <c r="T1474"/>
  <c r="AH1473"/>
  <c r="X1473"/>
  <c r="V1473"/>
  <c r="T1473"/>
  <c r="AH1472"/>
  <c r="X1472"/>
  <c r="V1472"/>
  <c r="T1472"/>
  <c r="AH1471"/>
  <c r="X1471"/>
  <c r="V1471"/>
  <c r="T1471"/>
  <c r="AH1470"/>
  <c r="X1470"/>
  <c r="V1470"/>
  <c r="T1470"/>
  <c r="AH1469"/>
  <c r="X1469"/>
  <c r="V1469"/>
  <c r="T1469"/>
  <c r="AH1468"/>
  <c r="X1468"/>
  <c r="V1468"/>
  <c r="T1468"/>
  <c r="AH1467"/>
  <c r="X1467"/>
  <c r="V1467"/>
  <c r="T1467"/>
  <c r="AH1466"/>
  <c r="X1466"/>
  <c r="V1466"/>
  <c r="T1466"/>
  <c r="AH1465"/>
  <c r="X1465"/>
  <c r="V1465"/>
  <c r="T1465"/>
  <c r="AH1464"/>
  <c r="X1464"/>
  <c r="V1464"/>
  <c r="T1464"/>
  <c r="AH1463"/>
  <c r="X1463"/>
  <c r="V1463"/>
  <c r="T1463"/>
  <c r="AH1462"/>
  <c r="X1462"/>
  <c r="V1462"/>
  <c r="T1462"/>
  <c r="AH1461"/>
  <c r="X1461"/>
  <c r="V1461"/>
  <c r="T1461"/>
  <c r="AH1460"/>
  <c r="X1460"/>
  <c r="V1460"/>
  <c r="T1460"/>
  <c r="AH1459"/>
  <c r="X1459"/>
  <c r="V1459"/>
  <c r="T1459"/>
  <c r="AH1458"/>
  <c r="X1458"/>
  <c r="V1458"/>
  <c r="T1458"/>
  <c r="AH1457"/>
  <c r="X1457"/>
  <c r="V1457"/>
  <c r="T1457"/>
  <c r="AH1456"/>
  <c r="X1456"/>
  <c r="V1456"/>
  <c r="T1456"/>
  <c r="AH1455"/>
  <c r="X1455"/>
  <c r="V1455"/>
  <c r="T1455"/>
  <c r="AH1454"/>
  <c r="X1454"/>
  <c r="V1454"/>
  <c r="T1454"/>
  <c r="AH1453"/>
  <c r="X1453"/>
  <c r="V1453"/>
  <c r="T1453"/>
  <c r="AH1452"/>
  <c r="AF1452"/>
  <c r="AD1452"/>
  <c r="AB1452"/>
  <c r="Z1452"/>
  <c r="X1452"/>
  <c r="V1452"/>
  <c r="T1452"/>
  <c r="AH1451"/>
  <c r="AF1451"/>
  <c r="AD1451"/>
  <c r="AB1451"/>
  <c r="Z1451"/>
  <c r="X1451"/>
  <c r="V1451"/>
  <c r="T1451"/>
  <c r="AH1450"/>
  <c r="AF1450"/>
  <c r="AD1450"/>
  <c r="AB1450"/>
  <c r="Z1450"/>
  <c r="X1450"/>
  <c r="V1450"/>
  <c r="T1450"/>
  <c r="AH1449"/>
  <c r="AF1449"/>
  <c r="AD1449"/>
  <c r="AB1449"/>
  <c r="Z1449"/>
  <c r="X1449"/>
  <c r="V1449"/>
  <c r="T1449"/>
  <c r="AH1448"/>
  <c r="AF1448"/>
  <c r="AD1448"/>
  <c r="AB1448"/>
  <c r="Z1448"/>
  <c r="X1448"/>
  <c r="V1448"/>
  <c r="T1448"/>
  <c r="AH1447"/>
  <c r="AF1447"/>
  <c r="AD1447"/>
  <c r="AB1447"/>
  <c r="Z1447"/>
  <c r="X1447"/>
  <c r="V1447"/>
  <c r="T1447"/>
  <c r="AH1446"/>
  <c r="AF1446"/>
  <c r="AD1446"/>
  <c r="AB1446"/>
  <c r="Z1446"/>
  <c r="X1446"/>
  <c r="V1446"/>
  <c r="T1446"/>
  <c r="AH1445"/>
  <c r="AF1445"/>
  <c r="AD1445"/>
  <c r="AB1445"/>
  <c r="Z1445"/>
  <c r="X1445"/>
  <c r="V1445"/>
  <c r="T1445"/>
  <c r="AH1444"/>
  <c r="AF1444"/>
  <c r="AD1444"/>
  <c r="AB1444"/>
  <c r="Z1444"/>
  <c r="X1444"/>
  <c r="V1444"/>
  <c r="T1444"/>
  <c r="AH1443"/>
  <c r="AF1443"/>
  <c r="AD1443"/>
  <c r="AB1443"/>
  <c r="Z1443"/>
  <c r="X1443"/>
  <c r="V1443"/>
  <c r="T1443"/>
  <c r="AH1442"/>
  <c r="T1442"/>
  <c r="AH1441"/>
  <c r="AF1441"/>
  <c r="AD1441"/>
  <c r="AB1441"/>
  <c r="Z1441"/>
  <c r="X1441"/>
  <c r="V1441"/>
  <c r="T1441"/>
  <c r="AH1440"/>
  <c r="AF1440"/>
  <c r="AD1440"/>
  <c r="AB1440"/>
  <c r="Z1440"/>
  <c r="X1440"/>
  <c r="V1440"/>
  <c r="T1440"/>
  <c r="AH1439"/>
  <c r="T1439"/>
  <c r="AH1438"/>
  <c r="AF1438"/>
  <c r="AD1438"/>
  <c r="AB1438"/>
  <c r="Z1438"/>
  <c r="X1438"/>
  <c r="V1438"/>
  <c r="T1438"/>
  <c r="AH1437"/>
  <c r="AF1437"/>
  <c r="AD1437"/>
  <c r="AB1437"/>
  <c r="Z1437"/>
  <c r="X1437"/>
  <c r="V1437"/>
  <c r="T1437"/>
  <c r="AH1436"/>
  <c r="AD1436"/>
  <c r="AB1436"/>
  <c r="Z1436"/>
  <c r="X1436"/>
  <c r="V1436"/>
  <c r="T1436"/>
  <c r="AH1435"/>
  <c r="AD1435"/>
  <c r="AB1435"/>
  <c r="Z1435"/>
  <c r="X1435"/>
  <c r="V1435"/>
  <c r="T1435"/>
  <c r="AH1434"/>
  <c r="AD1434"/>
  <c r="AB1434"/>
  <c r="Z1434"/>
  <c r="X1434"/>
  <c r="V1434"/>
  <c r="T1434"/>
  <c r="AH1433"/>
  <c r="AD1433"/>
  <c r="AB1433"/>
  <c r="Z1433"/>
  <c r="X1433"/>
  <c r="V1433"/>
  <c r="T1433"/>
  <c r="AH1432"/>
  <c r="AD1432"/>
  <c r="AB1432"/>
  <c r="Z1432"/>
  <c r="X1432"/>
  <c r="V1432"/>
  <c r="T1432"/>
  <c r="AH1431"/>
  <c r="AD1431"/>
  <c r="AB1431"/>
  <c r="Z1431"/>
  <c r="X1431"/>
  <c r="V1431"/>
  <c r="T1431"/>
  <c r="AH1430"/>
  <c r="AD1430"/>
  <c r="AB1430"/>
  <c r="Z1430"/>
  <c r="X1430"/>
  <c r="V1430"/>
  <c r="T1430"/>
  <c r="AH1429"/>
  <c r="AD1429"/>
  <c r="AB1429"/>
  <c r="Z1429"/>
  <c r="X1429"/>
  <c r="V1429"/>
  <c r="T1429"/>
  <c r="AH1428"/>
  <c r="AD1428"/>
  <c r="AB1428"/>
  <c r="Z1428"/>
  <c r="X1428"/>
  <c r="V1428"/>
  <c r="T1428"/>
  <c r="AH1427"/>
  <c r="AB1427"/>
  <c r="Z1427"/>
  <c r="X1427"/>
  <c r="V1427"/>
  <c r="T1427"/>
  <c r="AH1426"/>
  <c r="AD1426"/>
  <c r="AB1426"/>
  <c r="Z1426"/>
  <c r="X1426"/>
  <c r="V1426"/>
  <c r="T1426"/>
  <c r="AH1425"/>
  <c r="AD1425"/>
  <c r="AB1425"/>
  <c r="Z1425"/>
  <c r="X1425"/>
  <c r="V1425"/>
  <c r="T1425"/>
  <c r="AH1424"/>
  <c r="T1424"/>
  <c r="AH1423"/>
  <c r="AD1423"/>
  <c r="AB1423"/>
  <c r="Z1423"/>
  <c r="X1423"/>
  <c r="V1423"/>
  <c r="T1423"/>
  <c r="AH1422"/>
  <c r="AD1422"/>
  <c r="AB1422"/>
  <c r="Z1422"/>
  <c r="X1422"/>
  <c r="V1422"/>
  <c r="T1422"/>
  <c r="AH1421"/>
  <c r="X1421"/>
  <c r="V1421"/>
  <c r="T1421"/>
  <c r="AH1420"/>
  <c r="X1420"/>
  <c r="V1420"/>
  <c r="T1420"/>
  <c r="AH1419"/>
  <c r="AD1419"/>
  <c r="AB1419"/>
  <c r="Z1419"/>
  <c r="X1419"/>
  <c r="V1419"/>
  <c r="T1419"/>
  <c r="AH1418"/>
  <c r="AD1418"/>
  <c r="AB1418"/>
  <c r="Z1418"/>
  <c r="X1418"/>
  <c r="V1418"/>
  <c r="T1418"/>
  <c r="AH1417"/>
  <c r="Z1417"/>
  <c r="X1417"/>
  <c r="V1417"/>
  <c r="T1417"/>
  <c r="AH1416"/>
  <c r="AD1416"/>
  <c r="AB1416"/>
  <c r="Z1416"/>
  <c r="X1416"/>
  <c r="V1416"/>
  <c r="T1416"/>
  <c r="AH1415"/>
  <c r="AD1415"/>
  <c r="AB1415"/>
  <c r="Z1415"/>
  <c r="X1415"/>
  <c r="V1415"/>
  <c r="T1415"/>
  <c r="AH1414"/>
  <c r="AD1414"/>
  <c r="AB1414"/>
  <c r="Z1414"/>
  <c r="X1414"/>
  <c r="V1414"/>
  <c r="T1414"/>
  <c r="AH1413"/>
  <c r="AD1413"/>
  <c r="AB1413"/>
  <c r="Z1413"/>
  <c r="X1413"/>
  <c r="V1413"/>
  <c r="T1413"/>
  <c r="AH1412"/>
  <c r="AD1412"/>
  <c r="AB1412"/>
  <c r="Z1412"/>
  <c r="X1412"/>
  <c r="V1412"/>
  <c r="T1412"/>
  <c r="AH1411"/>
  <c r="AD1411"/>
  <c r="AB1411"/>
  <c r="Z1411"/>
  <c r="X1411"/>
  <c r="V1411"/>
  <c r="T1411"/>
  <c r="AH1410"/>
  <c r="AD1410"/>
  <c r="AB1410"/>
  <c r="Z1410"/>
  <c r="X1410"/>
  <c r="V1410"/>
  <c r="T1410"/>
  <c r="AH1409"/>
  <c r="AD1409"/>
  <c r="AB1409"/>
  <c r="Z1409"/>
  <c r="X1409"/>
  <c r="V1409"/>
  <c r="T1409"/>
  <c r="AH1408"/>
  <c r="AD1408"/>
  <c r="AB1408"/>
  <c r="Z1408"/>
  <c r="X1408"/>
  <c r="V1408"/>
  <c r="T1408"/>
  <c r="AH1407"/>
  <c r="AD1407"/>
  <c r="AB1407"/>
  <c r="Z1407"/>
  <c r="X1407"/>
  <c r="V1407"/>
  <c r="T1407"/>
  <c r="AH1406"/>
  <c r="AD1406"/>
  <c r="AB1406"/>
  <c r="Z1406"/>
  <c r="X1406"/>
  <c r="V1406"/>
  <c r="T1406"/>
  <c r="AH1405"/>
  <c r="AD1405"/>
  <c r="AB1405"/>
  <c r="Z1405"/>
  <c r="X1405"/>
  <c r="V1405"/>
  <c r="T1405"/>
  <c r="AH1404"/>
  <c r="AD1404"/>
  <c r="AB1404"/>
  <c r="Z1404"/>
  <c r="X1404"/>
  <c r="V1404"/>
  <c r="T1404"/>
  <c r="AH1403"/>
  <c r="AD1403"/>
  <c r="AB1403"/>
  <c r="Z1403"/>
  <c r="X1403"/>
  <c r="V1403"/>
  <c r="T1403"/>
  <c r="AH1402"/>
  <c r="AF1402"/>
  <c r="AD1402"/>
  <c r="AB1402"/>
  <c r="Z1402"/>
  <c r="X1402"/>
  <c r="V1402"/>
  <c r="T1402"/>
  <c r="AH1401"/>
  <c r="AF1401"/>
  <c r="AD1401"/>
  <c r="AB1401"/>
  <c r="Z1401"/>
  <c r="X1401"/>
  <c r="V1401"/>
  <c r="T1401"/>
  <c r="AH1400"/>
  <c r="AF1400"/>
  <c r="AD1400"/>
  <c r="AB1400"/>
  <c r="Z1400"/>
  <c r="X1400"/>
  <c r="V1400"/>
  <c r="T1400"/>
  <c r="AH1399"/>
  <c r="AF1399"/>
  <c r="AD1399"/>
  <c r="AB1399"/>
  <c r="Z1399"/>
  <c r="X1399"/>
  <c r="V1399"/>
  <c r="T1399"/>
  <c r="AH1398"/>
  <c r="AF1398"/>
  <c r="AD1398"/>
  <c r="AB1398"/>
  <c r="Z1398"/>
  <c r="X1398"/>
  <c r="V1398"/>
  <c r="T1398"/>
  <c r="AH1397"/>
  <c r="AF1397"/>
  <c r="AD1397"/>
  <c r="AB1397"/>
  <c r="Z1397"/>
  <c r="X1397"/>
  <c r="V1397"/>
  <c r="T1397"/>
  <c r="AH1396"/>
  <c r="AF1396"/>
  <c r="AD1396"/>
  <c r="AB1396"/>
  <c r="Z1396"/>
  <c r="X1396"/>
  <c r="V1396"/>
  <c r="T1396"/>
  <c r="AH1395"/>
  <c r="AF1395"/>
  <c r="AD1395"/>
  <c r="AB1395"/>
  <c r="Z1395"/>
  <c r="X1395"/>
  <c r="V1395"/>
  <c r="T1395"/>
  <c r="AH1394"/>
  <c r="AF1394"/>
  <c r="AD1394"/>
  <c r="AB1394"/>
  <c r="Z1394"/>
  <c r="X1394"/>
  <c r="V1394"/>
  <c r="T1394"/>
  <c r="AH1393"/>
  <c r="AF1393"/>
  <c r="AD1393"/>
  <c r="AB1393"/>
  <c r="Z1393"/>
  <c r="X1393"/>
  <c r="V1393"/>
  <c r="T1393"/>
  <c r="AH1392"/>
  <c r="AF1392"/>
  <c r="AD1392"/>
  <c r="AB1392"/>
  <c r="Z1392"/>
  <c r="X1392"/>
  <c r="V1392"/>
  <c r="T1392"/>
  <c r="AH1391"/>
  <c r="AF1391"/>
  <c r="AD1391"/>
  <c r="AB1391"/>
  <c r="Z1391"/>
  <c r="X1391"/>
  <c r="V1391"/>
  <c r="T1391"/>
  <c r="AH1390"/>
  <c r="AF1390"/>
  <c r="AD1390"/>
  <c r="AB1390"/>
  <c r="Z1390"/>
  <c r="X1390"/>
  <c r="V1390"/>
  <c r="T1390"/>
  <c r="AH1389"/>
  <c r="AF1389"/>
  <c r="AD1389"/>
  <c r="AB1389"/>
  <c r="Z1389"/>
  <c r="X1389"/>
  <c r="V1389"/>
  <c r="T1389"/>
  <c r="AH1388"/>
  <c r="AF1388"/>
  <c r="AD1388"/>
  <c r="AB1388"/>
  <c r="Z1388"/>
  <c r="X1388"/>
  <c r="V1388"/>
  <c r="T1388"/>
  <c r="AH1387"/>
  <c r="AF1387"/>
  <c r="AD1387"/>
  <c r="AB1387"/>
  <c r="Z1387"/>
  <c r="X1387"/>
  <c r="V1387"/>
  <c r="T1387"/>
  <c r="AH1386"/>
  <c r="X1386"/>
  <c r="V1386"/>
  <c r="T1386"/>
  <c r="AH1385"/>
  <c r="X1385"/>
  <c r="V1385"/>
  <c r="T1385"/>
  <c r="AH1384"/>
  <c r="X1384"/>
  <c r="V1384"/>
  <c r="T1384"/>
  <c r="AH1383"/>
  <c r="X1383"/>
  <c r="V1383"/>
  <c r="T1383"/>
  <c r="AH1382"/>
  <c r="X1382"/>
  <c r="V1382"/>
  <c r="T1382"/>
  <c r="AH1381"/>
  <c r="X1381"/>
  <c r="V1381"/>
  <c r="T1381"/>
  <c r="AH1380"/>
  <c r="X1380"/>
  <c r="V1380"/>
  <c r="T1380"/>
  <c r="AH1379"/>
  <c r="X1379"/>
  <c r="V1379"/>
  <c r="T1379"/>
  <c r="AH1378"/>
  <c r="X1378"/>
  <c r="V1378"/>
  <c r="T1378"/>
  <c r="AH1377"/>
  <c r="X1377"/>
  <c r="V1377"/>
  <c r="T1377"/>
  <c r="AH1376"/>
  <c r="X1376"/>
  <c r="V1376"/>
  <c r="T1376"/>
  <c r="AH1375"/>
  <c r="X1375"/>
  <c r="V1375"/>
  <c r="T1375"/>
  <c r="AH1374"/>
  <c r="X1374"/>
  <c r="V1374"/>
  <c r="T1374"/>
  <c r="AH1373"/>
  <c r="X1373"/>
  <c r="V1373"/>
  <c r="T1373"/>
  <c r="AH1372"/>
  <c r="X1372"/>
  <c r="V1372"/>
  <c r="T1372"/>
  <c r="AH1371"/>
  <c r="V1371"/>
  <c r="T1371"/>
  <c r="AH1370"/>
  <c r="X1370"/>
  <c r="V1370"/>
  <c r="T1370"/>
  <c r="AH1369"/>
  <c r="X1369"/>
  <c r="V1369"/>
  <c r="T1369"/>
  <c r="AH1368"/>
  <c r="X1368"/>
  <c r="V1368"/>
  <c r="T1368"/>
  <c r="AH1367"/>
  <c r="T1367"/>
  <c r="AH1366"/>
  <c r="T1366"/>
  <c r="AH1365"/>
  <c r="V1365"/>
  <c r="T1365"/>
  <c r="AH1364"/>
  <c r="V1364"/>
  <c r="T1364"/>
  <c r="AH1363"/>
  <c r="V1363"/>
  <c r="T1363"/>
  <c r="AH1362"/>
  <c r="T1362"/>
  <c r="AH1361"/>
  <c r="X1361"/>
  <c r="V1361"/>
  <c r="T1361"/>
  <c r="AH1360"/>
  <c r="X1360"/>
  <c r="V1360"/>
  <c r="T1360"/>
  <c r="AH1359"/>
  <c r="T1359"/>
  <c r="AH1358"/>
  <c r="T1358"/>
  <c r="AH1357"/>
  <c r="X1357"/>
  <c r="V1357"/>
  <c r="T1357"/>
  <c r="AH1356"/>
  <c r="X1356"/>
  <c r="V1356"/>
  <c r="T1356"/>
  <c r="AH1355"/>
  <c r="T1355"/>
  <c r="AH1354"/>
  <c r="Z1354"/>
  <c r="X1354"/>
  <c r="V1354"/>
  <c r="T1354"/>
  <c r="AH1353"/>
  <c r="Z1353"/>
  <c r="X1353"/>
  <c r="V1353"/>
  <c r="T1353"/>
  <c r="AH1352"/>
  <c r="Z1352"/>
  <c r="X1352"/>
  <c r="V1352"/>
  <c r="T1352"/>
  <c r="AH1351"/>
  <c r="Z1351"/>
  <c r="X1351"/>
  <c r="V1351"/>
  <c r="T1351"/>
  <c r="AH1350"/>
  <c r="AB1350"/>
  <c r="Z1350"/>
  <c r="X1350"/>
  <c r="V1350"/>
  <c r="T1350"/>
  <c r="AH1349"/>
  <c r="Z1349"/>
  <c r="X1349"/>
  <c r="V1349"/>
  <c r="T1349"/>
  <c r="AH1348"/>
  <c r="Z1348"/>
  <c r="X1348"/>
  <c r="V1348"/>
  <c r="T1348"/>
  <c r="AH1347"/>
  <c r="Z1347"/>
  <c r="X1347"/>
  <c r="V1347"/>
  <c r="T1347"/>
  <c r="AH1346"/>
  <c r="AB1346"/>
  <c r="Z1346"/>
  <c r="X1346"/>
  <c r="V1346"/>
  <c r="T1346"/>
  <c r="AH1345"/>
  <c r="AB1345"/>
  <c r="Z1345"/>
  <c r="X1345"/>
  <c r="V1345"/>
  <c r="T1345"/>
  <c r="AH1344"/>
  <c r="AB1344"/>
  <c r="Z1344"/>
  <c r="X1344"/>
  <c r="V1344"/>
  <c r="T1344"/>
  <c r="AH1343"/>
  <c r="AB1343"/>
  <c r="Z1343"/>
  <c r="X1343"/>
  <c r="V1343"/>
  <c r="T1343"/>
  <c r="AH1342"/>
  <c r="AD1342"/>
  <c r="AB1342"/>
  <c r="Z1342"/>
  <c r="X1342"/>
  <c r="V1342"/>
  <c r="T1342"/>
  <c r="AH1341"/>
  <c r="AD1341"/>
  <c r="AB1341"/>
  <c r="Z1341"/>
  <c r="X1341"/>
  <c r="V1341"/>
  <c r="T1341"/>
  <c r="AH1340"/>
  <c r="X1340"/>
  <c r="V1340"/>
  <c r="T1340"/>
  <c r="AH1339"/>
  <c r="AD1339"/>
  <c r="AB1339"/>
  <c r="Z1339"/>
  <c r="X1339"/>
  <c r="V1339"/>
  <c r="T1339"/>
  <c r="AH1338"/>
  <c r="AD1338"/>
  <c r="AB1338"/>
  <c r="Z1338"/>
  <c r="X1338"/>
  <c r="V1338"/>
  <c r="T1338"/>
  <c r="AH1337"/>
  <c r="AD1337"/>
  <c r="AB1337"/>
  <c r="Z1337"/>
  <c r="X1337"/>
  <c r="V1337"/>
  <c r="T1337"/>
  <c r="AH1336"/>
  <c r="AB1336"/>
  <c r="Z1336"/>
  <c r="X1336"/>
  <c r="V1336"/>
  <c r="T1336"/>
  <c r="AH1335"/>
  <c r="AD1335"/>
  <c r="AB1335"/>
  <c r="Z1335"/>
  <c r="X1335"/>
  <c r="V1335"/>
  <c r="T1335"/>
  <c r="AH1334"/>
  <c r="AD1334"/>
  <c r="AB1334"/>
  <c r="Z1334"/>
  <c r="X1334"/>
  <c r="V1334"/>
  <c r="T1334"/>
  <c r="AH1333"/>
  <c r="T1333"/>
  <c r="AH1332"/>
  <c r="AB1332"/>
  <c r="Z1332"/>
  <c r="X1332"/>
  <c r="V1332"/>
  <c r="T1332"/>
  <c r="AH1331"/>
  <c r="AB1331"/>
  <c r="Z1331"/>
  <c r="X1331"/>
  <c r="V1331"/>
  <c r="T1331"/>
  <c r="AH1330"/>
  <c r="T1330"/>
  <c r="AH1329"/>
  <c r="AD1329"/>
  <c r="AB1329"/>
  <c r="Z1329"/>
  <c r="X1329"/>
  <c r="V1329"/>
  <c r="T1329"/>
  <c r="AH1328"/>
  <c r="AD1328"/>
  <c r="AB1328"/>
  <c r="Z1328"/>
  <c r="X1328"/>
  <c r="V1328"/>
  <c r="T1328"/>
  <c r="AH1327"/>
  <c r="AD1327"/>
  <c r="AB1327"/>
  <c r="Z1327"/>
  <c r="X1327"/>
  <c r="V1327"/>
  <c r="T1327"/>
  <c r="AH1326"/>
  <c r="AB1326"/>
  <c r="Z1326"/>
  <c r="X1326"/>
  <c r="V1326"/>
  <c r="T1326"/>
  <c r="AH1325"/>
  <c r="AD1325"/>
  <c r="AB1325"/>
  <c r="Z1325"/>
  <c r="X1325"/>
  <c r="V1325"/>
  <c r="T1325"/>
  <c r="AH1324"/>
  <c r="AD1324"/>
  <c r="AB1324"/>
  <c r="Z1324"/>
  <c r="X1324"/>
  <c r="V1324"/>
  <c r="T1324"/>
  <c r="AH1323"/>
  <c r="X1323"/>
  <c r="V1323"/>
  <c r="T1323"/>
  <c r="AH1322"/>
  <c r="X1322"/>
  <c r="V1322"/>
  <c r="T1322"/>
  <c r="AH1321"/>
  <c r="X1321"/>
  <c r="V1321"/>
  <c r="T1321"/>
  <c r="AH1320"/>
  <c r="Z1320"/>
  <c r="X1320"/>
  <c r="V1320"/>
  <c r="T1320"/>
  <c r="AH1319"/>
  <c r="X1319"/>
  <c r="V1319"/>
  <c r="T1319"/>
  <c r="AH1318"/>
  <c r="T1318"/>
  <c r="AH1317"/>
  <c r="Z1317"/>
  <c r="X1317"/>
  <c r="V1317"/>
  <c r="T1317"/>
  <c r="AH1316"/>
  <c r="AD1316"/>
  <c r="AB1316"/>
  <c r="Z1316"/>
  <c r="X1316"/>
  <c r="V1316"/>
  <c r="T1316"/>
  <c r="AH1315"/>
  <c r="AD1315"/>
  <c r="AB1315"/>
  <c r="Z1315"/>
  <c r="X1315"/>
  <c r="V1315"/>
  <c r="T1315"/>
  <c r="AH1314"/>
  <c r="AD1314"/>
  <c r="AB1314"/>
  <c r="Z1314"/>
  <c r="X1314"/>
  <c r="V1314"/>
  <c r="T1314"/>
  <c r="AH1313"/>
  <c r="AF1313"/>
  <c r="AD1313"/>
  <c r="AB1313"/>
  <c r="Z1313"/>
  <c r="X1313"/>
  <c r="V1313"/>
  <c r="T1313"/>
  <c r="AH1312"/>
  <c r="AD1312"/>
  <c r="AB1312"/>
  <c r="Z1312"/>
  <c r="X1312"/>
  <c r="V1312"/>
  <c r="T1312"/>
  <c r="AH1311"/>
  <c r="AD1311"/>
  <c r="AB1311"/>
  <c r="Z1311"/>
  <c r="X1311"/>
  <c r="V1311"/>
  <c r="T1311"/>
  <c r="AH1310"/>
  <c r="AD1310"/>
  <c r="AB1310"/>
  <c r="Z1310"/>
  <c r="X1310"/>
  <c r="V1310"/>
  <c r="T1310"/>
  <c r="AH1309"/>
  <c r="AD1309"/>
  <c r="AB1309"/>
  <c r="Z1309"/>
  <c r="X1309"/>
  <c r="V1309"/>
  <c r="T1309"/>
  <c r="AH1308"/>
  <c r="AD1308"/>
  <c r="AB1308"/>
  <c r="Z1308"/>
  <c r="X1308"/>
  <c r="V1308"/>
  <c r="T1308"/>
  <c r="AH1307"/>
  <c r="AD1307"/>
  <c r="AB1307"/>
  <c r="Z1307"/>
  <c r="X1307"/>
  <c r="V1307"/>
  <c r="T1307"/>
  <c r="AH1306"/>
  <c r="AD1306"/>
  <c r="AB1306"/>
  <c r="Z1306"/>
  <c r="X1306"/>
  <c r="V1306"/>
  <c r="T1306"/>
  <c r="AH1305"/>
  <c r="AD1305"/>
  <c r="AB1305"/>
  <c r="Z1305"/>
  <c r="X1305"/>
  <c r="V1305"/>
  <c r="T1305"/>
  <c r="AH1304"/>
  <c r="AD1304"/>
  <c r="AB1304"/>
  <c r="Z1304"/>
  <c r="X1304"/>
  <c r="V1304"/>
  <c r="T1304"/>
  <c r="AH1303"/>
  <c r="AD1303"/>
  <c r="AB1303"/>
  <c r="Z1303"/>
  <c r="X1303"/>
  <c r="V1303"/>
  <c r="T1303"/>
  <c r="AH1302"/>
  <c r="AD1302"/>
  <c r="AB1302"/>
  <c r="Z1302"/>
  <c r="X1302"/>
  <c r="V1302"/>
  <c r="T1302"/>
  <c r="AH1301"/>
  <c r="AD1301"/>
  <c r="AB1301"/>
  <c r="Z1301"/>
  <c r="X1301"/>
  <c r="V1301"/>
  <c r="T1301"/>
  <c r="AH1300"/>
  <c r="X1300"/>
  <c r="V1300"/>
  <c r="T1300"/>
  <c r="AH1299"/>
  <c r="X1299"/>
  <c r="V1299"/>
  <c r="T1299"/>
  <c r="AH1298"/>
  <c r="X1298"/>
  <c r="V1298"/>
  <c r="T1298"/>
  <c r="AH1297"/>
  <c r="X1297"/>
  <c r="V1297"/>
  <c r="T1297"/>
  <c r="AH1296"/>
  <c r="AD1296"/>
  <c r="AB1296"/>
  <c r="Z1296"/>
  <c r="X1296"/>
  <c r="V1296"/>
  <c r="T1296"/>
  <c r="AH1295"/>
  <c r="AF1295"/>
  <c r="AD1295"/>
  <c r="AB1295"/>
  <c r="Z1295"/>
  <c r="X1295"/>
  <c r="V1295"/>
  <c r="T1295"/>
  <c r="AH1294"/>
  <c r="AF1294"/>
  <c r="AD1294"/>
  <c r="AB1294"/>
  <c r="Z1294"/>
  <c r="X1294"/>
  <c r="V1294"/>
  <c r="T1294"/>
  <c r="AH1293"/>
  <c r="AF1293"/>
  <c r="AD1293"/>
  <c r="AB1293"/>
  <c r="Z1293"/>
  <c r="X1293"/>
  <c r="V1293"/>
  <c r="T1293"/>
  <c r="AH1292"/>
  <c r="AD1292"/>
  <c r="AB1292"/>
  <c r="Z1292"/>
  <c r="X1292"/>
  <c r="V1292"/>
  <c r="T1292"/>
  <c r="AH1291"/>
  <c r="AD1291"/>
  <c r="AB1291"/>
  <c r="Z1291"/>
  <c r="X1291"/>
  <c r="V1291"/>
  <c r="T1291"/>
  <c r="AH1290"/>
  <c r="AD1290"/>
  <c r="AB1290"/>
  <c r="Z1290"/>
  <c r="X1290"/>
  <c r="V1290"/>
  <c r="T1290"/>
  <c r="AH1289"/>
  <c r="AD1289"/>
  <c r="AB1289"/>
  <c r="Z1289"/>
  <c r="X1289"/>
  <c r="V1289"/>
  <c r="T1289"/>
  <c r="AH1288"/>
  <c r="AD1288"/>
  <c r="AB1288"/>
  <c r="Z1288"/>
  <c r="X1288"/>
  <c r="V1288"/>
  <c r="T1288"/>
  <c r="AH1287"/>
  <c r="AD1287"/>
  <c r="AB1287"/>
  <c r="Z1287"/>
  <c r="X1287"/>
  <c r="V1287"/>
  <c r="T1287"/>
  <c r="AH1286"/>
  <c r="AD1286"/>
  <c r="AB1286"/>
  <c r="Z1286"/>
  <c r="X1286"/>
  <c r="V1286"/>
  <c r="T1286"/>
  <c r="AH1285"/>
  <c r="AD1285"/>
  <c r="AB1285"/>
  <c r="Z1285"/>
  <c r="X1285"/>
  <c r="V1285"/>
  <c r="T1285"/>
  <c r="AH1284"/>
  <c r="AD1284"/>
  <c r="AB1284"/>
  <c r="Z1284"/>
  <c r="X1284"/>
  <c r="V1284"/>
  <c r="T1284"/>
  <c r="AH1283"/>
  <c r="T1283"/>
  <c r="AH1282"/>
  <c r="T1282"/>
  <c r="AH1281"/>
  <c r="T1281"/>
  <c r="AH1280"/>
  <c r="T1280"/>
  <c r="AH1279"/>
  <c r="T1279"/>
  <c r="AH1278"/>
  <c r="T1278"/>
  <c r="AH1277"/>
  <c r="T1277"/>
  <c r="AH1276"/>
  <c r="T1276"/>
  <c r="AH1275"/>
  <c r="T1275"/>
  <c r="AH1274"/>
  <c r="T1274"/>
  <c r="AH1273"/>
  <c r="T1273"/>
  <c r="AH1272"/>
  <c r="T1272"/>
  <c r="AH1271"/>
  <c r="V1271"/>
  <c r="T1271"/>
  <c r="AH1270"/>
  <c r="T1270"/>
  <c r="AH1269"/>
  <c r="T1269"/>
  <c r="AH1268"/>
  <c r="V1268"/>
  <c r="T1268"/>
  <c r="AH1267"/>
  <c r="V1267"/>
  <c r="T1267"/>
  <c r="AH1266"/>
  <c r="V1266"/>
  <c r="T1266"/>
  <c r="AH1265"/>
  <c r="V1265"/>
  <c r="T1265"/>
  <c r="AH1264"/>
  <c r="V1264"/>
  <c r="T1264"/>
  <c r="AH1263"/>
  <c r="V1263"/>
  <c r="T1263"/>
  <c r="AH1262"/>
  <c r="V1262"/>
  <c r="T1262"/>
  <c r="AH1261"/>
  <c r="X1261"/>
  <c r="V1261"/>
  <c r="T1261"/>
  <c r="AH1260"/>
  <c r="V1260"/>
  <c r="T1260"/>
  <c r="AH1259"/>
  <c r="V1259"/>
  <c r="T1259"/>
  <c r="AH1258"/>
  <c r="T1258"/>
  <c r="AH1257"/>
  <c r="V1257"/>
  <c r="T1257"/>
  <c r="AH1256"/>
  <c r="V1256"/>
  <c r="T1256"/>
  <c r="AH1255"/>
  <c r="V1255"/>
  <c r="T1255"/>
  <c r="AH1254"/>
  <c r="V1254"/>
  <c r="T1254"/>
  <c r="AH1253"/>
  <c r="V1253"/>
  <c r="T1253"/>
  <c r="AH1252"/>
  <c r="V1252"/>
  <c r="T1252"/>
  <c r="AH1251"/>
  <c r="V1251"/>
  <c r="T1251"/>
  <c r="AH1250"/>
  <c r="V1250"/>
  <c r="T1250"/>
  <c r="AH1249"/>
  <c r="T1249"/>
  <c r="AH1248"/>
  <c r="T1248"/>
  <c r="AH1247"/>
  <c r="T1247"/>
  <c r="AH1246"/>
  <c r="T1246"/>
  <c r="AH1245"/>
  <c r="T1245"/>
  <c r="AH1244"/>
  <c r="T1244"/>
  <c r="AH1243"/>
  <c r="T1243"/>
  <c r="AH1242"/>
  <c r="T1242"/>
  <c r="AH1241"/>
  <c r="T1241"/>
  <c r="AH1240"/>
  <c r="T1240"/>
  <c r="AH1239"/>
  <c r="T1239"/>
  <c r="AH1238"/>
  <c r="T1238"/>
  <c r="AH1237"/>
  <c r="T1237"/>
  <c r="AH1236"/>
  <c r="T1236"/>
  <c r="AH1235"/>
  <c r="T1235"/>
  <c r="AH1234"/>
  <c r="T1234"/>
  <c r="AH1233"/>
  <c r="T1233"/>
  <c r="AH1232"/>
  <c r="T1232"/>
  <c r="AH1231"/>
  <c r="T1231"/>
  <c r="AH1230"/>
  <c r="T1230"/>
  <c r="AH1229"/>
  <c r="T1229"/>
  <c r="AH1228"/>
  <c r="T1228"/>
  <c r="AH1227"/>
  <c r="T1227"/>
  <c r="AH1226"/>
  <c r="T1226"/>
  <c r="AH1225"/>
  <c r="T1225"/>
  <c r="AH1224"/>
  <c r="T1224"/>
  <c r="AH1223"/>
  <c r="T1223"/>
  <c r="AH1222"/>
  <c r="T1222"/>
  <c r="AH1221"/>
  <c r="T1221"/>
  <c r="AH1220"/>
  <c r="T1220"/>
  <c r="AH1219"/>
  <c r="T1219"/>
  <c r="AH1218"/>
  <c r="T1218"/>
  <c r="AH1217"/>
  <c r="T1217"/>
  <c r="AH1216"/>
  <c r="T1216"/>
  <c r="AH1215"/>
  <c r="T1215"/>
  <c r="AH1214"/>
  <c r="T1214"/>
  <c r="AH1213"/>
  <c r="T1213"/>
  <c r="AH1212"/>
  <c r="T1212"/>
  <c r="AH1211"/>
  <c r="T1211"/>
  <c r="AH1210"/>
  <c r="T1210"/>
  <c r="AH1209"/>
  <c r="T1209"/>
  <c r="AH1208"/>
  <c r="T1208"/>
  <c r="AH1207"/>
  <c r="T1207"/>
  <c r="AH1206"/>
  <c r="T1206"/>
  <c r="AH1205"/>
  <c r="T1205"/>
  <c r="AH1204"/>
  <c r="T1204"/>
  <c r="AH1203"/>
  <c r="T1203"/>
  <c r="AH1202"/>
  <c r="T1202"/>
  <c r="AH1201"/>
  <c r="T1201"/>
  <c r="AH1200"/>
  <c r="T1200"/>
  <c r="AH1199"/>
  <c r="T1199"/>
  <c r="AH1198"/>
  <c r="T1198"/>
  <c r="AH1197"/>
  <c r="T1197"/>
  <c r="AH1196"/>
  <c r="T1196"/>
  <c r="AH1195"/>
  <c r="T1195"/>
  <c r="AH1194"/>
  <c r="T1194"/>
  <c r="AH1193"/>
  <c r="T1193"/>
  <c r="AH1192"/>
  <c r="T1192"/>
  <c r="AH1191"/>
  <c r="T1191"/>
  <c r="AH1190"/>
  <c r="T1190"/>
  <c r="AH1189"/>
  <c r="T1189"/>
  <c r="AH1188"/>
  <c r="T1188"/>
  <c r="AH1187"/>
  <c r="T1187"/>
  <c r="AH1186"/>
  <c r="T1186"/>
  <c r="AH1185"/>
  <c r="T1185"/>
  <c r="AH1184"/>
  <c r="T1184"/>
  <c r="AH1183"/>
  <c r="T1183"/>
  <c r="AH1182"/>
  <c r="T1182"/>
  <c r="AH1181"/>
  <c r="T1181"/>
  <c r="AH1180"/>
  <c r="T1180"/>
  <c r="AH1179"/>
  <c r="T1179"/>
  <c r="AH1178"/>
  <c r="T1178"/>
  <c r="AH1177"/>
  <c r="T1177"/>
  <c r="AH1176"/>
  <c r="T1176"/>
  <c r="AH1175"/>
  <c r="T1175"/>
  <c r="AH1174"/>
  <c r="T1174"/>
  <c r="AH1173"/>
  <c r="T1173"/>
  <c r="AH1172"/>
  <c r="T1172"/>
  <c r="AH1171"/>
  <c r="T1171"/>
  <c r="AH1170"/>
  <c r="T1170"/>
  <c r="AH1169"/>
  <c r="T1169"/>
  <c r="AH1168"/>
  <c r="T1168"/>
  <c r="AH1167"/>
  <c r="T1167"/>
  <c r="AH1166"/>
  <c r="T1166"/>
  <c r="AH1165"/>
  <c r="T1165"/>
  <c r="AH1164"/>
  <c r="T1164"/>
  <c r="AH1163"/>
  <c r="T1163"/>
  <c r="AH1162"/>
  <c r="T1162"/>
  <c r="AH1161"/>
  <c r="T1161"/>
  <c r="AH1160"/>
  <c r="T1160"/>
  <c r="AH1159"/>
  <c r="T1159"/>
  <c r="AH1158"/>
  <c r="T1158"/>
  <c r="AH1157"/>
  <c r="T1157"/>
  <c r="AH1156"/>
  <c r="T1156"/>
  <c r="AH1155"/>
  <c r="T1155"/>
  <c r="AH1154"/>
  <c r="T1154"/>
  <c r="AH1153"/>
  <c r="T1153"/>
  <c r="AH1152"/>
  <c r="T1152"/>
  <c r="AH1151"/>
  <c r="T1151"/>
  <c r="AH1150"/>
  <c r="T1150"/>
  <c r="AH1149"/>
  <c r="T1149"/>
  <c r="AH1148"/>
  <c r="T1148"/>
  <c r="AH1147"/>
  <c r="T1147"/>
  <c r="AH1146"/>
  <c r="T1146"/>
  <c r="AH1145"/>
  <c r="T1145"/>
  <c r="AH1144"/>
  <c r="T1144"/>
  <c r="AH1143"/>
  <c r="T1143"/>
  <c r="AH1142"/>
  <c r="T1142"/>
  <c r="AH1141"/>
  <c r="T1141"/>
  <c r="AH1140"/>
  <c r="T1140"/>
  <c r="AH1139"/>
  <c r="T1139"/>
  <c r="AH1138"/>
  <c r="T1138"/>
  <c r="AH1137"/>
  <c r="T1137"/>
  <c r="AH1136"/>
  <c r="T1136"/>
  <c r="AH1135"/>
  <c r="T1135"/>
  <c r="AH1134"/>
  <c r="T1134"/>
  <c r="AH1133"/>
  <c r="T1133"/>
  <c r="AH1132"/>
  <c r="T1132"/>
  <c r="AH1131"/>
  <c r="T1131"/>
  <c r="AH1130"/>
  <c r="T1130"/>
  <c r="AH1129"/>
  <c r="T1129"/>
  <c r="AH1128"/>
  <c r="T1128"/>
  <c r="AH1127"/>
  <c r="T1127"/>
  <c r="AH1126"/>
  <c r="T1126"/>
  <c r="AH1125"/>
  <c r="T1125"/>
  <c r="AH1124"/>
  <c r="T1124"/>
  <c r="AH1123"/>
  <c r="T1123"/>
  <c r="AH1122"/>
  <c r="T1122"/>
  <c r="AH1121"/>
  <c r="T1121"/>
  <c r="AH1120"/>
  <c r="T1120"/>
  <c r="AH1119"/>
  <c r="T1119"/>
  <c r="AH1118"/>
  <c r="T1118"/>
  <c r="AH1117"/>
  <c r="T1117"/>
  <c r="AH1116"/>
  <c r="T1116"/>
  <c r="AH1115"/>
  <c r="T1115"/>
  <c r="AH1114"/>
  <c r="T1114"/>
  <c r="AH1113"/>
  <c r="T1113"/>
  <c r="AH1112"/>
  <c r="T1112"/>
  <c r="AH1111"/>
  <c r="T1111"/>
  <c r="AH1110"/>
  <c r="T1110"/>
  <c r="AH1109"/>
  <c r="T1109"/>
  <c r="AH1108"/>
  <c r="T1108"/>
  <c r="AH1107"/>
  <c r="T1107"/>
  <c r="AH1106"/>
  <c r="T1106"/>
  <c r="AH1105"/>
  <c r="T1105"/>
  <c r="AH1104"/>
  <c r="T1104"/>
  <c r="AH1103"/>
  <c r="T1103"/>
  <c r="AH1102"/>
  <c r="T1102"/>
  <c r="AH1101"/>
  <c r="T1101"/>
  <c r="AH1100"/>
  <c r="T1100"/>
  <c r="AH1099"/>
  <c r="T1099"/>
  <c r="AH1098"/>
  <c r="T1098"/>
  <c r="AH1097"/>
  <c r="T1097"/>
  <c r="AH1096"/>
  <c r="T1096"/>
  <c r="AH1095"/>
  <c r="T1095"/>
  <c r="AH1094"/>
  <c r="T1094"/>
  <c r="AH1093"/>
  <c r="T1093"/>
  <c r="AH1092"/>
  <c r="T1092"/>
  <c r="AH1091"/>
  <c r="T1091"/>
  <c r="AH1090"/>
  <c r="T1090"/>
  <c r="AH1089"/>
  <c r="T1089"/>
  <c r="AH1088"/>
  <c r="T1088"/>
  <c r="AH1087"/>
  <c r="T1087"/>
  <c r="AH1086"/>
  <c r="T1086"/>
  <c r="AH1085"/>
  <c r="T1085"/>
  <c r="AH1084"/>
  <c r="T1084"/>
  <c r="AH1083"/>
  <c r="T1083"/>
  <c r="AH1082"/>
  <c r="T1082"/>
  <c r="AH1081"/>
  <c r="T1081"/>
  <c r="AH1080"/>
  <c r="T1080"/>
  <c r="AH1079"/>
  <c r="T1079"/>
  <c r="AH1078"/>
  <c r="T1078"/>
  <c r="AH1077"/>
  <c r="T1077"/>
  <c r="AH1076"/>
  <c r="T1076"/>
  <c r="AH1075"/>
  <c r="T1075"/>
  <c r="AH1074"/>
  <c r="T1074"/>
  <c r="AH1073"/>
  <c r="T1073"/>
  <c r="AH1072"/>
  <c r="T1072"/>
  <c r="AH1071"/>
  <c r="T1071"/>
  <c r="AH1070"/>
  <c r="T1070"/>
  <c r="AH1069"/>
  <c r="T1069"/>
  <c r="AH1068"/>
  <c r="T1068"/>
  <c r="AH1067"/>
  <c r="T1067"/>
  <c r="AH1066"/>
  <c r="T1066"/>
  <c r="AH1065"/>
  <c r="T1065"/>
  <c r="AH1064"/>
  <c r="T1064"/>
  <c r="AH1063"/>
  <c r="T1063"/>
  <c r="AH1062"/>
  <c r="T1062"/>
  <c r="AH1061"/>
  <c r="T1061"/>
  <c r="AH1060"/>
  <c r="T1060"/>
  <c r="AH1059"/>
  <c r="T1059"/>
  <c r="AH1058"/>
  <c r="T1058"/>
  <c r="AH1057"/>
  <c r="T1057"/>
  <c r="AH1056"/>
  <c r="T1056"/>
  <c r="AH1055"/>
  <c r="T1055"/>
  <c r="AH1054"/>
  <c r="T1054"/>
  <c r="AH1053"/>
  <c r="T1053"/>
  <c r="AH1052"/>
  <c r="T1052"/>
  <c r="AH1051"/>
  <c r="T1051"/>
  <c r="AH1050"/>
  <c r="T1050"/>
  <c r="AH1049"/>
  <c r="T1049"/>
  <c r="AH1048"/>
  <c r="T1048"/>
  <c r="AH1047"/>
  <c r="T1047"/>
  <c r="AH1046"/>
  <c r="T1046"/>
  <c r="AH1045"/>
  <c r="T1045"/>
  <c r="AH1044"/>
  <c r="T1044"/>
  <c r="AH1043"/>
  <c r="T1043"/>
  <c r="AH1042"/>
  <c r="T1042"/>
  <c r="AH1041"/>
  <c r="T1041"/>
  <c r="AH1040"/>
  <c r="T1040"/>
  <c r="AH1039"/>
  <c r="T1039"/>
  <c r="AH1038"/>
  <c r="T1038"/>
  <c r="AH1037"/>
  <c r="X1037"/>
  <c r="V1037"/>
  <c r="T1037"/>
  <c r="AH1036"/>
  <c r="AB1036"/>
  <c r="Z1036"/>
  <c r="X1036"/>
  <c r="V1036"/>
  <c r="T1036"/>
  <c r="AH1035"/>
  <c r="AD1035"/>
  <c r="AB1035"/>
  <c r="Z1035"/>
  <c r="X1035"/>
  <c r="V1035"/>
  <c r="T1035"/>
  <c r="AH1034"/>
  <c r="AD1034"/>
  <c r="AB1034"/>
  <c r="Z1034"/>
  <c r="X1034"/>
  <c r="V1034"/>
  <c r="T1034"/>
  <c r="AH1033"/>
  <c r="T1033"/>
  <c r="AH1032"/>
  <c r="T1032"/>
  <c r="AH1031"/>
  <c r="T1031"/>
  <c r="AH1030"/>
  <c r="T1030"/>
  <c r="AH1029"/>
  <c r="T1029"/>
  <c r="AH1028"/>
  <c r="T1028"/>
  <c r="AH1027"/>
  <c r="T1027"/>
  <c r="AH1026"/>
  <c r="T1026"/>
  <c r="AH1025"/>
  <c r="T1025"/>
  <c r="AH1024"/>
  <c r="T1024"/>
  <c r="AH1023"/>
  <c r="T1023"/>
  <c r="AH1022"/>
  <c r="T1022"/>
  <c r="AH1021"/>
  <c r="T1021"/>
  <c r="AH1020"/>
  <c r="T1020"/>
  <c r="AH1019"/>
  <c r="T1019"/>
  <c r="AH1018"/>
  <c r="T1018"/>
  <c r="AH1017"/>
  <c r="T1017"/>
  <c r="AH1016"/>
  <c r="T1016"/>
  <c r="AH1015"/>
  <c r="T1015"/>
  <c r="AH1014"/>
  <c r="T1014"/>
  <c r="AH1013"/>
  <c r="T1013"/>
  <c r="AH1012"/>
  <c r="T1012"/>
  <c r="AH1011"/>
  <c r="T1011"/>
  <c r="AH1010"/>
  <c r="T1010"/>
  <c r="AH1009"/>
  <c r="T1009"/>
  <c r="AH1008"/>
  <c r="T1008"/>
  <c r="AH1007"/>
  <c r="T1007"/>
  <c r="AH1006"/>
  <c r="T1006"/>
  <c r="AH1005"/>
  <c r="T1005"/>
  <c r="AH1004"/>
  <c r="T1004"/>
  <c r="AH1003"/>
  <c r="T1003"/>
  <c r="AH1002"/>
  <c r="T1002"/>
  <c r="AH1001"/>
  <c r="T1001"/>
  <c r="AH1000"/>
  <c r="T1000"/>
  <c r="AH999"/>
  <c r="T999"/>
  <c r="AH998"/>
  <c r="T998"/>
  <c r="AH997"/>
  <c r="T997"/>
  <c r="AH996"/>
  <c r="T996"/>
  <c r="AH995"/>
  <c r="T995"/>
  <c r="AH994"/>
  <c r="T994"/>
  <c r="AH993"/>
  <c r="T993"/>
  <c r="AH992"/>
  <c r="T992"/>
  <c r="AH991"/>
  <c r="T991"/>
  <c r="AH990"/>
  <c r="T990"/>
  <c r="AH989"/>
  <c r="T989"/>
  <c r="AH988"/>
  <c r="T988"/>
  <c r="AH987"/>
  <c r="T987"/>
  <c r="AH986"/>
  <c r="T986"/>
  <c r="AH985"/>
  <c r="T985"/>
  <c r="AH984"/>
  <c r="T984"/>
  <c r="AH983"/>
  <c r="T983"/>
  <c r="AH982"/>
  <c r="T982"/>
  <c r="AH981"/>
  <c r="T981"/>
  <c r="AH980"/>
  <c r="T980"/>
  <c r="AH979"/>
  <c r="T979"/>
  <c r="AH978"/>
  <c r="T978"/>
  <c r="AH977"/>
  <c r="T977"/>
  <c r="AH976"/>
  <c r="T976"/>
  <c r="AH975"/>
  <c r="T975"/>
  <c r="AH974"/>
  <c r="T974"/>
  <c r="AH973"/>
  <c r="T973"/>
  <c r="AH972"/>
  <c r="T972"/>
  <c r="AH971"/>
  <c r="T971"/>
  <c r="AH970"/>
  <c r="T970"/>
  <c r="AH969"/>
  <c r="T969"/>
  <c r="AH968"/>
  <c r="T968"/>
  <c r="AH967"/>
  <c r="T967"/>
  <c r="AH966"/>
  <c r="T966"/>
  <c r="AH965"/>
  <c r="T965"/>
  <c r="AH964"/>
  <c r="T964"/>
  <c r="AH963"/>
  <c r="T963"/>
  <c r="AH962"/>
  <c r="T962"/>
  <c r="AH961"/>
  <c r="T961"/>
  <c r="AH960"/>
  <c r="T960"/>
  <c r="AH959"/>
  <c r="T959"/>
  <c r="AH958"/>
  <c r="T958"/>
  <c r="AH957"/>
  <c r="T957"/>
  <c r="AH956"/>
  <c r="T956"/>
  <c r="AH955"/>
  <c r="T955"/>
  <c r="AH954"/>
  <c r="T954"/>
  <c r="AH953"/>
  <c r="T953"/>
  <c r="AH952"/>
  <c r="T952"/>
  <c r="AH951"/>
  <c r="T951"/>
  <c r="AH950"/>
  <c r="T950"/>
  <c r="AH949"/>
  <c r="T949"/>
  <c r="AH948"/>
  <c r="T948"/>
  <c r="AH947"/>
  <c r="T947"/>
  <c r="AH946"/>
  <c r="T946"/>
  <c r="AH945"/>
  <c r="T945"/>
  <c r="AH944"/>
  <c r="T944"/>
  <c r="AH943"/>
  <c r="T943"/>
  <c r="AH942"/>
  <c r="T942"/>
  <c r="AH941"/>
  <c r="T941"/>
  <c r="AH940"/>
  <c r="T940"/>
  <c r="AH939"/>
  <c r="T939"/>
  <c r="AH938"/>
  <c r="T938"/>
  <c r="AH937"/>
  <c r="T937"/>
  <c r="AH936"/>
  <c r="T936"/>
  <c r="AH935"/>
  <c r="T935"/>
  <c r="AH934"/>
  <c r="T934"/>
  <c r="AH933"/>
  <c r="T933"/>
  <c r="AH932"/>
  <c r="T932"/>
  <c r="AH931"/>
  <c r="T931"/>
  <c r="AH930"/>
  <c r="T930"/>
  <c r="AH929"/>
  <c r="T929"/>
  <c r="AH928"/>
  <c r="T928"/>
  <c r="AH927"/>
  <c r="T927"/>
  <c r="AH926"/>
  <c r="T926"/>
  <c r="AH925"/>
  <c r="T925"/>
  <c r="AH924"/>
  <c r="T924"/>
  <c r="AH923"/>
  <c r="T923"/>
  <c r="AH922"/>
  <c r="T922"/>
  <c r="AH921"/>
  <c r="T921"/>
  <c r="AH920"/>
  <c r="T920"/>
  <c r="AH919"/>
  <c r="T919"/>
  <c r="AH918"/>
  <c r="T918"/>
  <c r="AH917"/>
  <c r="T917"/>
  <c r="AH916"/>
  <c r="T916"/>
  <c r="AH915"/>
  <c r="T915"/>
  <c r="AH914"/>
  <c r="T914"/>
  <c r="AH913"/>
  <c r="T913"/>
  <c r="AH912"/>
  <c r="T912"/>
  <c r="AH911"/>
  <c r="T911"/>
  <c r="AH910"/>
  <c r="T910"/>
  <c r="AH909"/>
  <c r="T909"/>
  <c r="AH908"/>
  <c r="T908"/>
  <c r="AH907"/>
  <c r="T907"/>
  <c r="AH906"/>
  <c r="T906"/>
  <c r="AH905"/>
  <c r="T905"/>
  <c r="AH904"/>
  <c r="T904"/>
  <c r="AH903"/>
  <c r="T903"/>
  <c r="AH902"/>
  <c r="T902"/>
  <c r="AH901"/>
  <c r="T901"/>
  <c r="AH900"/>
  <c r="T900"/>
  <c r="AH899"/>
  <c r="T899"/>
  <c r="AH898"/>
  <c r="T898"/>
  <c r="AH897"/>
  <c r="T897"/>
  <c r="AH896"/>
  <c r="T896"/>
  <c r="AH895"/>
  <c r="T895"/>
  <c r="AH894"/>
  <c r="T894"/>
  <c r="AH893"/>
  <c r="T893"/>
  <c r="AH892"/>
  <c r="T892"/>
  <c r="AH891"/>
  <c r="T891"/>
  <c r="AH890"/>
  <c r="T890"/>
  <c r="AH889"/>
  <c r="T889"/>
  <c r="AH888"/>
  <c r="T888"/>
  <c r="AH887"/>
  <c r="T887"/>
  <c r="AH886"/>
  <c r="T886"/>
  <c r="AH885"/>
  <c r="T885"/>
  <c r="AH884"/>
  <c r="T884"/>
  <c r="AH883"/>
  <c r="T883"/>
  <c r="AH882"/>
  <c r="T882"/>
  <c r="AH881"/>
  <c r="T881"/>
  <c r="AH880"/>
  <c r="T880"/>
  <c r="AH879"/>
  <c r="T879"/>
  <c r="AH878"/>
  <c r="T878"/>
  <c r="AH877"/>
  <c r="T877"/>
  <c r="AH876"/>
  <c r="T876"/>
  <c r="AH875"/>
  <c r="T875"/>
  <c r="AH874"/>
  <c r="T874"/>
  <c r="AH873"/>
  <c r="T873"/>
  <c r="AH872"/>
  <c r="T872"/>
  <c r="AH871"/>
  <c r="T871"/>
  <c r="AH870"/>
  <c r="T870"/>
  <c r="AH869"/>
  <c r="T869"/>
  <c r="AH868"/>
  <c r="T868"/>
  <c r="AH867"/>
  <c r="T867"/>
  <c r="AH866"/>
  <c r="T866"/>
  <c r="AH865"/>
  <c r="T865"/>
  <c r="AH864"/>
  <c r="T864"/>
  <c r="AH863"/>
  <c r="T863"/>
  <c r="AH862"/>
  <c r="T862"/>
  <c r="AH861"/>
  <c r="T861"/>
  <c r="AH860"/>
  <c r="T860"/>
  <c r="AH859"/>
  <c r="T859"/>
  <c r="AH858"/>
  <c r="T858"/>
  <c r="AH857"/>
  <c r="T857"/>
  <c r="AH856"/>
  <c r="T856"/>
  <c r="AH855"/>
  <c r="T855"/>
  <c r="AH854"/>
  <c r="T854"/>
  <c r="AH853"/>
  <c r="T853"/>
  <c r="AH852"/>
  <c r="T852"/>
  <c r="AH851"/>
  <c r="T851"/>
  <c r="AH850"/>
  <c r="T850"/>
  <c r="AH849"/>
  <c r="T849"/>
  <c r="AH848"/>
  <c r="T848"/>
  <c r="AH847"/>
  <c r="T847"/>
  <c r="AH846"/>
  <c r="T846"/>
  <c r="AH845"/>
  <c r="T845"/>
  <c r="AH844"/>
  <c r="T844"/>
  <c r="AH843"/>
  <c r="T843"/>
  <c r="AH842"/>
  <c r="T842"/>
  <c r="AH841"/>
  <c r="T841"/>
  <c r="AH840"/>
  <c r="T840"/>
  <c r="AH839"/>
  <c r="T839"/>
  <c r="AH838"/>
  <c r="T838"/>
  <c r="AH837"/>
  <c r="T837"/>
  <c r="AH836"/>
  <c r="T836"/>
  <c r="AH835"/>
  <c r="T835"/>
  <c r="AH834"/>
  <c r="T834"/>
  <c r="AH833"/>
  <c r="T833"/>
  <c r="AH832"/>
  <c r="T832"/>
  <c r="AH831"/>
  <c r="T831"/>
  <c r="AH830"/>
  <c r="T830"/>
  <c r="AH829"/>
  <c r="T829"/>
  <c r="AH828"/>
  <c r="T828"/>
  <c r="AH827"/>
  <c r="T827"/>
  <c r="AH826"/>
  <c r="T826"/>
  <c r="AH825"/>
  <c r="V825"/>
  <c r="T825"/>
  <c r="AH824"/>
  <c r="V824"/>
  <c r="T824"/>
  <c r="AH823"/>
  <c r="V823"/>
  <c r="T823"/>
  <c r="AH822"/>
  <c r="T822"/>
  <c r="AH821"/>
  <c r="V821"/>
  <c r="T821"/>
  <c r="AH820"/>
  <c r="V820"/>
  <c r="T820"/>
  <c r="AH819"/>
  <c r="T819"/>
  <c r="AH818"/>
  <c r="T818"/>
  <c r="AH817"/>
  <c r="T817"/>
  <c r="AH816"/>
  <c r="T816"/>
  <c r="AH815"/>
  <c r="T815"/>
  <c r="AH814"/>
  <c r="T814"/>
  <c r="AH813"/>
  <c r="T813"/>
  <c r="AH812"/>
  <c r="T812"/>
  <c r="AH811"/>
  <c r="T811"/>
  <c r="AH810"/>
  <c r="T810"/>
  <c r="AH809"/>
  <c r="T809"/>
  <c r="AH808"/>
  <c r="T808"/>
  <c r="AH807"/>
  <c r="T807"/>
  <c r="AH806"/>
  <c r="T806"/>
  <c r="AH805"/>
  <c r="T805"/>
  <c r="AH804"/>
  <c r="T804"/>
  <c r="AH803"/>
  <c r="T803"/>
  <c r="AH802"/>
  <c r="T802"/>
  <c r="AH801"/>
  <c r="T801"/>
  <c r="AH800"/>
  <c r="T800"/>
  <c r="AH799"/>
  <c r="T799"/>
  <c r="AH798"/>
  <c r="T798"/>
  <c r="AH797"/>
  <c r="T797"/>
  <c r="AH796"/>
  <c r="T796"/>
  <c r="AH795"/>
  <c r="T795"/>
  <c r="AH794"/>
  <c r="T794"/>
  <c r="AH793"/>
  <c r="T793"/>
  <c r="AH792"/>
  <c r="T792"/>
  <c r="AH791"/>
  <c r="T791"/>
  <c r="AH790"/>
  <c r="T790"/>
  <c r="AH789"/>
  <c r="T789"/>
  <c r="AH788"/>
  <c r="T788"/>
  <c r="AH787"/>
  <c r="T787"/>
  <c r="AH786"/>
  <c r="T786"/>
  <c r="AH785"/>
  <c r="T785"/>
  <c r="AH784"/>
  <c r="T784"/>
  <c r="AH783"/>
  <c r="T783"/>
  <c r="AH782"/>
  <c r="T782"/>
  <c r="AH781"/>
  <c r="T781"/>
  <c r="AH780"/>
  <c r="T780"/>
  <c r="AH779"/>
  <c r="T779"/>
  <c r="AH778"/>
  <c r="T778"/>
  <c r="AH777"/>
  <c r="T777"/>
  <c r="AH776"/>
  <c r="T776"/>
  <c r="AH775"/>
  <c r="T775"/>
  <c r="AH774"/>
  <c r="T774"/>
  <c r="AH773"/>
  <c r="T773"/>
  <c r="AH772"/>
  <c r="T772"/>
  <c r="AH771"/>
  <c r="T771"/>
  <c r="AH770"/>
  <c r="T770"/>
  <c r="AH769"/>
  <c r="T769"/>
  <c r="AH768"/>
  <c r="T768"/>
  <c r="AH767"/>
  <c r="T767"/>
  <c r="AH766"/>
  <c r="T766"/>
  <c r="AH765"/>
  <c r="T765"/>
  <c r="AH764"/>
  <c r="T764"/>
  <c r="AH763"/>
  <c r="T763"/>
  <c r="AH762"/>
  <c r="T762"/>
  <c r="AH761"/>
  <c r="T761"/>
  <c r="AH760"/>
  <c r="T760"/>
  <c r="AH759"/>
  <c r="T759"/>
  <c r="AH758"/>
  <c r="T758"/>
  <c r="AH757"/>
  <c r="T757"/>
  <c r="AH756"/>
  <c r="T756"/>
  <c r="AH755"/>
  <c r="T755"/>
  <c r="AH754"/>
  <c r="T754"/>
  <c r="AH753"/>
  <c r="T753"/>
  <c r="AH752"/>
  <c r="T752"/>
  <c r="AH751"/>
  <c r="T751"/>
  <c r="AH750"/>
  <c r="T750"/>
  <c r="AH749"/>
  <c r="T749"/>
  <c r="AH748"/>
  <c r="T748"/>
  <c r="AH747"/>
  <c r="T747"/>
  <c r="AH746"/>
  <c r="T746"/>
  <c r="AH745"/>
  <c r="T745"/>
  <c r="AH744"/>
  <c r="T744"/>
  <c r="AH743"/>
  <c r="T743"/>
  <c r="AH742"/>
  <c r="T742"/>
  <c r="AH741"/>
  <c r="T741"/>
  <c r="AH740"/>
  <c r="T740"/>
  <c r="AH739"/>
  <c r="T739"/>
  <c r="AH738"/>
  <c r="T738"/>
  <c r="AH737"/>
  <c r="T737"/>
  <c r="AH736"/>
  <c r="T736"/>
  <c r="AH735"/>
  <c r="T735"/>
  <c r="AH734"/>
  <c r="T734"/>
  <c r="AH733"/>
  <c r="T733"/>
  <c r="AH732"/>
  <c r="T732"/>
  <c r="AH731"/>
  <c r="T731"/>
  <c r="AH730"/>
  <c r="T730"/>
  <c r="AH729"/>
  <c r="T729"/>
  <c r="AH728"/>
  <c r="T728"/>
  <c r="AH727"/>
  <c r="T727"/>
  <c r="AH726"/>
  <c r="T726"/>
  <c r="AH725"/>
  <c r="T725"/>
  <c r="AH724"/>
  <c r="T724"/>
  <c r="AH723"/>
  <c r="T723"/>
  <c r="AH722"/>
  <c r="T722"/>
  <c r="AH721"/>
  <c r="T721"/>
  <c r="AH720"/>
  <c r="T720"/>
  <c r="AH719"/>
  <c r="T719"/>
  <c r="AH718"/>
  <c r="T718"/>
  <c r="AH717"/>
  <c r="T717"/>
  <c r="AH716"/>
  <c r="T716"/>
  <c r="AH715"/>
  <c r="T715"/>
  <c r="AH714"/>
  <c r="T714"/>
  <c r="AH713"/>
  <c r="T713"/>
  <c r="AH712"/>
  <c r="T712"/>
  <c r="AH711"/>
  <c r="T711"/>
  <c r="AH710"/>
  <c r="T710"/>
  <c r="AH709"/>
  <c r="T709"/>
  <c r="AH708"/>
  <c r="T708"/>
  <c r="AH707"/>
  <c r="T707"/>
  <c r="AH706"/>
  <c r="T706"/>
  <c r="AH705"/>
  <c r="T705"/>
  <c r="AH704"/>
  <c r="T704"/>
  <c r="AH703"/>
  <c r="T703"/>
  <c r="AH702"/>
  <c r="T702"/>
  <c r="AH701"/>
  <c r="T701"/>
  <c r="AH700"/>
  <c r="T700"/>
  <c r="AH699"/>
  <c r="T699"/>
  <c r="AH698"/>
  <c r="T698"/>
  <c r="AH697"/>
  <c r="T697"/>
  <c r="AH696"/>
  <c r="T696"/>
  <c r="AH695"/>
  <c r="T695"/>
  <c r="AH694"/>
  <c r="T694"/>
  <c r="AH693"/>
  <c r="T693"/>
  <c r="AH692"/>
  <c r="T692"/>
  <c r="AH691"/>
  <c r="T691"/>
  <c r="AH690"/>
  <c r="T690"/>
  <c r="AH689"/>
  <c r="T689"/>
  <c r="AH688"/>
  <c r="T688"/>
  <c r="AH687"/>
  <c r="T687"/>
  <c r="AH686"/>
  <c r="T686"/>
  <c r="AH685"/>
  <c r="T685"/>
  <c r="AH684"/>
  <c r="T684"/>
  <c r="AH683"/>
  <c r="T683"/>
  <c r="AH682"/>
  <c r="T682"/>
  <c r="AH681"/>
  <c r="T681"/>
  <c r="AH680"/>
  <c r="T680"/>
  <c r="AH679"/>
  <c r="T679"/>
  <c r="AH678"/>
  <c r="T678"/>
  <c r="AH677"/>
  <c r="T677"/>
  <c r="AH676"/>
  <c r="T676"/>
  <c r="AH675"/>
  <c r="T675"/>
  <c r="AH674"/>
  <c r="T674"/>
  <c r="AH673"/>
  <c r="T673"/>
  <c r="AH672"/>
  <c r="T672"/>
  <c r="AH671"/>
  <c r="T671"/>
  <c r="AH670"/>
  <c r="T670"/>
  <c r="AH669"/>
  <c r="T669"/>
  <c r="AH668"/>
  <c r="T668"/>
  <c r="AH667"/>
  <c r="T667"/>
  <c r="AH666"/>
  <c r="T666"/>
  <c r="AH665"/>
  <c r="T665"/>
  <c r="AH664"/>
  <c r="T664"/>
  <c r="AH663"/>
  <c r="T663"/>
  <c r="AH662"/>
  <c r="T662"/>
  <c r="AH661"/>
  <c r="T661"/>
  <c r="AH660"/>
  <c r="T660"/>
  <c r="AH659"/>
  <c r="T659"/>
  <c r="AH658"/>
  <c r="T658"/>
  <c r="AH657"/>
  <c r="T657"/>
  <c r="AH656"/>
  <c r="T656"/>
  <c r="AH655"/>
  <c r="T655"/>
  <c r="AH654"/>
  <c r="T654"/>
  <c r="AH653"/>
  <c r="T653"/>
  <c r="AH652"/>
  <c r="T652"/>
  <c r="AH651"/>
  <c r="T651"/>
  <c r="AH650"/>
  <c r="T650"/>
  <c r="AH649"/>
  <c r="T649"/>
  <c r="AH648"/>
  <c r="T648"/>
  <c r="AH647"/>
  <c r="T647"/>
  <c r="AH646"/>
  <c r="T646"/>
  <c r="AH645"/>
  <c r="T645"/>
  <c r="AH644"/>
  <c r="T644"/>
  <c r="AH643"/>
  <c r="T643"/>
  <c r="AH642"/>
  <c r="T642"/>
  <c r="AH641"/>
  <c r="T641"/>
  <c r="AH640"/>
  <c r="T640"/>
  <c r="AH639"/>
  <c r="T639"/>
  <c r="AH638"/>
  <c r="T638"/>
  <c r="AH637"/>
  <c r="T637"/>
  <c r="AH636"/>
  <c r="T636"/>
  <c r="AH635"/>
  <c r="T635"/>
  <c r="AH634"/>
  <c r="T634"/>
  <c r="AH633"/>
  <c r="T633"/>
  <c r="AH632"/>
  <c r="T632"/>
  <c r="AH631"/>
  <c r="T631"/>
  <c r="AH630"/>
  <c r="T630"/>
  <c r="AH629"/>
  <c r="T629"/>
  <c r="AH628"/>
  <c r="T628"/>
  <c r="AH627"/>
  <c r="T627"/>
  <c r="AH626"/>
  <c r="T626"/>
  <c r="AH625"/>
  <c r="T625"/>
  <c r="AH624"/>
  <c r="T624"/>
  <c r="AH623"/>
  <c r="T623"/>
  <c r="AH622"/>
  <c r="T622"/>
  <c r="AH621"/>
  <c r="T621"/>
  <c r="AH620"/>
  <c r="T620"/>
  <c r="AH619"/>
  <c r="T619"/>
  <c r="AH618"/>
  <c r="T618"/>
  <c r="AH617"/>
  <c r="T617"/>
  <c r="AH616"/>
  <c r="T616"/>
  <c r="AH615"/>
  <c r="T615"/>
  <c r="AH614"/>
  <c r="T614"/>
  <c r="AH613"/>
  <c r="T613"/>
  <c r="AH612"/>
  <c r="T612"/>
  <c r="AH611"/>
  <c r="T611"/>
  <c r="AH610"/>
  <c r="T610"/>
  <c r="AH609"/>
  <c r="T609"/>
  <c r="AH608"/>
  <c r="T608"/>
  <c r="AH607"/>
  <c r="T607"/>
  <c r="AH606"/>
  <c r="T606"/>
  <c r="AH605"/>
  <c r="T605"/>
  <c r="AH604"/>
  <c r="T604"/>
  <c r="AH603"/>
  <c r="T603"/>
  <c r="AH602"/>
  <c r="T602"/>
  <c r="AH601"/>
  <c r="T601"/>
  <c r="AH600"/>
  <c r="T600"/>
  <c r="AH599"/>
  <c r="T599"/>
  <c r="AH598"/>
  <c r="T598"/>
  <c r="AH597"/>
  <c r="T597"/>
  <c r="AH596"/>
  <c r="T596"/>
  <c r="AH595"/>
  <c r="T595"/>
  <c r="AH594"/>
  <c r="T594"/>
  <c r="AH593"/>
  <c r="T593"/>
  <c r="AH592"/>
  <c r="T592"/>
  <c r="AH591"/>
  <c r="T591"/>
  <c r="AH590"/>
  <c r="T590"/>
  <c r="AH589"/>
  <c r="T589"/>
  <c r="AH588"/>
  <c r="T588"/>
  <c r="AH587"/>
  <c r="T587"/>
  <c r="AH586"/>
  <c r="T586"/>
  <c r="AH585"/>
  <c r="T585"/>
  <c r="AH584"/>
  <c r="T584"/>
  <c r="AH583"/>
  <c r="T583"/>
  <c r="AH582"/>
  <c r="T582"/>
  <c r="AH581"/>
  <c r="T581"/>
  <c r="AH580"/>
  <c r="T580"/>
  <c r="AH579"/>
  <c r="T579"/>
  <c r="AH578"/>
  <c r="T578"/>
  <c r="AH577"/>
  <c r="T577"/>
  <c r="AH576"/>
  <c r="T576"/>
  <c r="AH575"/>
  <c r="T575"/>
  <c r="AH574"/>
  <c r="T574"/>
  <c r="AH573"/>
  <c r="T573"/>
  <c r="AH572"/>
  <c r="T572"/>
  <c r="AH571"/>
  <c r="T571"/>
  <c r="AH570"/>
  <c r="T570"/>
  <c r="AH569"/>
  <c r="T569"/>
  <c r="AH568"/>
  <c r="T568"/>
  <c r="AH567"/>
  <c r="T567"/>
  <c r="AH566"/>
  <c r="T566"/>
  <c r="AH565"/>
  <c r="T565"/>
  <c r="AH564"/>
  <c r="T564"/>
  <c r="AH563"/>
  <c r="T563"/>
  <c r="AH562"/>
  <c r="T562"/>
  <c r="AH561"/>
  <c r="T561"/>
  <c r="AH560"/>
  <c r="T560"/>
  <c r="AH559"/>
  <c r="T559"/>
  <c r="AH558"/>
  <c r="T558"/>
  <c r="AH557"/>
  <c r="T557"/>
  <c r="AH556"/>
  <c r="T556"/>
  <c r="AH555"/>
  <c r="T555"/>
  <c r="AH554"/>
  <c r="T554"/>
  <c r="AH553"/>
  <c r="T553"/>
  <c r="AH552"/>
  <c r="T552"/>
  <c r="AH551"/>
  <c r="T551"/>
  <c r="AH550"/>
  <c r="T550"/>
  <c r="AH549"/>
  <c r="T549"/>
  <c r="AH548"/>
  <c r="T548"/>
  <c r="AH547"/>
  <c r="T547"/>
  <c r="AH546"/>
  <c r="T546"/>
  <c r="AH545"/>
  <c r="T545"/>
  <c r="AH544"/>
  <c r="T544"/>
  <c r="AH543"/>
  <c r="T543"/>
  <c r="AH542"/>
  <c r="T542"/>
  <c r="AH541"/>
  <c r="T541"/>
  <c r="AH540"/>
  <c r="T540"/>
  <c r="AH539"/>
  <c r="T539"/>
  <c r="AH538"/>
  <c r="T538"/>
  <c r="AH537"/>
  <c r="T537"/>
  <c r="AH536"/>
  <c r="T536"/>
  <c r="AH535"/>
  <c r="T535"/>
  <c r="AH534"/>
  <c r="T534"/>
  <c r="AH533"/>
  <c r="T533"/>
  <c r="AH532"/>
  <c r="T532"/>
  <c r="AH531"/>
  <c r="T531"/>
  <c r="AH530"/>
  <c r="T530"/>
  <c r="AH529"/>
  <c r="T529"/>
  <c r="AH528"/>
  <c r="T528"/>
  <c r="AH527"/>
  <c r="T527"/>
  <c r="AH526"/>
  <c r="T526"/>
  <c r="AH525"/>
  <c r="T525"/>
  <c r="AH524"/>
  <c r="T524"/>
  <c r="AH523"/>
  <c r="T523"/>
  <c r="AH522"/>
  <c r="T522"/>
  <c r="AH521"/>
  <c r="T521"/>
  <c r="AH520"/>
  <c r="T520"/>
  <c r="AH519"/>
  <c r="T519"/>
  <c r="AH518"/>
  <c r="T518"/>
  <c r="AH517"/>
  <c r="T517"/>
  <c r="AH516"/>
  <c r="T516"/>
  <c r="AH515"/>
  <c r="T515"/>
  <c r="AH514"/>
  <c r="T514"/>
  <c r="AH513"/>
  <c r="T513"/>
  <c r="AH512"/>
  <c r="T512"/>
  <c r="AH511"/>
  <c r="T511"/>
  <c r="AH510"/>
  <c r="T510"/>
  <c r="AH509"/>
  <c r="T509"/>
  <c r="AH508"/>
  <c r="T508"/>
  <c r="AH507"/>
  <c r="T507"/>
  <c r="AH506"/>
  <c r="T506"/>
  <c r="AH505"/>
  <c r="T505"/>
  <c r="AH504"/>
  <c r="T504"/>
  <c r="AH503"/>
  <c r="T503"/>
  <c r="AH502"/>
  <c r="T502"/>
  <c r="AH501"/>
  <c r="T501"/>
  <c r="AH500"/>
  <c r="T500"/>
  <c r="AH499"/>
  <c r="T499"/>
  <c r="AH498"/>
  <c r="T498"/>
  <c r="AH497"/>
  <c r="T497"/>
  <c r="AH496"/>
  <c r="T496"/>
  <c r="AH495"/>
  <c r="T495"/>
  <c r="AH494"/>
  <c r="T494"/>
  <c r="AH493"/>
  <c r="T493"/>
  <c r="AH492"/>
  <c r="T492"/>
  <c r="AH491"/>
  <c r="T491"/>
  <c r="AH490"/>
  <c r="T490"/>
  <c r="AH489"/>
  <c r="T489"/>
  <c r="AH488"/>
  <c r="T488"/>
  <c r="AH487"/>
  <c r="T487"/>
  <c r="AH486"/>
  <c r="T486"/>
  <c r="AH485"/>
  <c r="T485"/>
  <c r="AH484"/>
  <c r="T484"/>
  <c r="AH483"/>
  <c r="T483"/>
  <c r="AH482"/>
  <c r="T482"/>
  <c r="AH481"/>
  <c r="T481"/>
  <c r="AH480"/>
  <c r="T480"/>
  <c r="AH479"/>
  <c r="T479"/>
  <c r="AH478"/>
  <c r="T478"/>
  <c r="AH477"/>
  <c r="T477"/>
  <c r="AH476"/>
  <c r="T476"/>
  <c r="AH475"/>
  <c r="T475"/>
  <c r="AH474"/>
  <c r="T474"/>
  <c r="AH473"/>
  <c r="T473"/>
  <c r="AH472"/>
  <c r="T472"/>
  <c r="AH471"/>
  <c r="T471"/>
  <c r="AH470"/>
  <c r="T470"/>
  <c r="AH469"/>
  <c r="T469"/>
  <c r="AH468"/>
  <c r="T468"/>
  <c r="AH467"/>
  <c r="T467"/>
  <c r="AH466"/>
  <c r="T466"/>
  <c r="AH465"/>
  <c r="T465"/>
  <c r="AH464"/>
  <c r="T464"/>
  <c r="AH463"/>
  <c r="T463"/>
  <c r="AH462"/>
  <c r="T462"/>
  <c r="AH461"/>
  <c r="T461"/>
  <c r="AH460"/>
  <c r="T460"/>
  <c r="AH459"/>
  <c r="T459"/>
  <c r="AH458"/>
  <c r="T458"/>
  <c r="AH457"/>
  <c r="T457"/>
  <c r="AH456"/>
  <c r="T456"/>
  <c r="AH455"/>
  <c r="T455"/>
  <c r="AH454"/>
  <c r="T454"/>
  <c r="AH453"/>
  <c r="T453"/>
  <c r="AH452"/>
  <c r="T452"/>
  <c r="AH451"/>
  <c r="T451"/>
  <c r="AH450"/>
  <c r="T450"/>
  <c r="AH449"/>
  <c r="T449"/>
  <c r="AH448"/>
  <c r="T448"/>
  <c r="AH447"/>
  <c r="T447"/>
  <c r="AH446"/>
  <c r="T446"/>
  <c r="AH445"/>
  <c r="T445"/>
  <c r="AH444"/>
  <c r="T444"/>
  <c r="AH443"/>
  <c r="T443"/>
  <c r="AH442"/>
  <c r="T442"/>
  <c r="AH441"/>
  <c r="T441"/>
  <c r="AH440"/>
  <c r="T440"/>
  <c r="AH439"/>
  <c r="T439"/>
  <c r="AH438"/>
  <c r="T438"/>
  <c r="AH437"/>
  <c r="T437"/>
  <c r="AH436"/>
  <c r="T436"/>
  <c r="AH435"/>
  <c r="T435"/>
  <c r="AH434"/>
  <c r="T434"/>
  <c r="AH433"/>
  <c r="T433"/>
  <c r="AH432"/>
  <c r="T432"/>
  <c r="AH431"/>
  <c r="T431"/>
  <c r="AH430"/>
  <c r="T430"/>
  <c r="AH429"/>
  <c r="T429"/>
  <c r="AH428"/>
  <c r="T428"/>
  <c r="AH427"/>
  <c r="T427"/>
  <c r="AH426"/>
  <c r="T426"/>
  <c r="AH425"/>
  <c r="T425"/>
  <c r="AH424"/>
  <c r="T424"/>
  <c r="AH423"/>
  <c r="T423"/>
  <c r="AH422"/>
  <c r="T422"/>
  <c r="AH421"/>
  <c r="T421"/>
  <c r="AH420"/>
  <c r="T420"/>
  <c r="AH419"/>
  <c r="T419"/>
  <c r="AH418"/>
  <c r="T418"/>
  <c r="AH417"/>
  <c r="T417"/>
  <c r="AH416"/>
  <c r="T416"/>
  <c r="AH415"/>
  <c r="T415"/>
  <c r="AH414"/>
  <c r="T414"/>
  <c r="AH413"/>
  <c r="T413"/>
  <c r="AH412"/>
  <c r="T412"/>
  <c r="AH411"/>
  <c r="T411"/>
  <c r="AH410"/>
  <c r="T410"/>
  <c r="AH409"/>
  <c r="T409"/>
  <c r="AH408"/>
  <c r="T408"/>
  <c r="AH407"/>
  <c r="T407"/>
  <c r="AH406"/>
  <c r="T406"/>
  <c r="AH405"/>
  <c r="T405"/>
  <c r="AH404"/>
  <c r="T404"/>
  <c r="AH403"/>
  <c r="T403"/>
  <c r="AH402"/>
  <c r="T402"/>
  <c r="AH401"/>
  <c r="T401"/>
  <c r="AH400"/>
  <c r="T400"/>
  <c r="AH399"/>
  <c r="T399"/>
  <c r="AH398"/>
  <c r="T398"/>
  <c r="AH397"/>
  <c r="T397"/>
  <c r="AH396"/>
  <c r="T396"/>
  <c r="AH395"/>
  <c r="T395"/>
  <c r="AH394"/>
  <c r="T394"/>
  <c r="AH393"/>
  <c r="T393"/>
  <c r="AH392"/>
  <c r="T392"/>
  <c r="AH391"/>
  <c r="T391"/>
  <c r="AH390"/>
  <c r="T390"/>
  <c r="AH389"/>
  <c r="T389"/>
  <c r="AH388"/>
  <c r="T388"/>
  <c r="AH387"/>
  <c r="T387"/>
  <c r="AH386"/>
  <c r="T386"/>
  <c r="AH385"/>
  <c r="T385"/>
  <c r="AH384"/>
  <c r="T384"/>
  <c r="AH383"/>
  <c r="T383"/>
  <c r="AH382"/>
  <c r="T382"/>
  <c r="AH381"/>
  <c r="T381"/>
  <c r="AH380"/>
  <c r="T380"/>
  <c r="AH379"/>
  <c r="T379"/>
  <c r="AH378"/>
  <c r="T378"/>
  <c r="AH377"/>
  <c r="T377"/>
  <c r="AH376"/>
  <c r="T376"/>
  <c r="AH375"/>
  <c r="T375"/>
  <c r="AH374"/>
  <c r="T374"/>
  <c r="AH373"/>
  <c r="T373"/>
  <c r="AH372"/>
  <c r="T372"/>
  <c r="AH371"/>
  <c r="T371"/>
  <c r="AH370"/>
  <c r="T370"/>
  <c r="AH369"/>
  <c r="T369"/>
  <c r="AH368"/>
  <c r="T368"/>
  <c r="AH367"/>
  <c r="T367"/>
  <c r="AH366"/>
  <c r="V366"/>
  <c r="T366"/>
  <c r="AH365"/>
  <c r="V365"/>
  <c r="T365"/>
  <c r="AH364"/>
  <c r="V364"/>
  <c r="T364"/>
  <c r="AH363"/>
  <c r="V363"/>
  <c r="T363"/>
  <c r="AH362"/>
  <c r="V362"/>
  <c r="T362"/>
  <c r="AH361"/>
  <c r="V361"/>
  <c r="T361"/>
  <c r="AH360"/>
  <c r="V360"/>
  <c r="T360"/>
  <c r="AH359"/>
  <c r="V359"/>
  <c r="T359"/>
  <c r="AH358"/>
  <c r="V358"/>
  <c r="T358"/>
  <c r="AH357"/>
  <c r="V357"/>
  <c r="T357"/>
  <c r="AH356"/>
  <c r="V356"/>
  <c r="T356"/>
  <c r="AH355"/>
  <c r="T355"/>
  <c r="AH354"/>
  <c r="V354"/>
  <c r="T354"/>
  <c r="AH353"/>
  <c r="V353"/>
  <c r="T353"/>
  <c r="AH352"/>
  <c r="V352"/>
  <c r="T352"/>
  <c r="AH351"/>
  <c r="V351"/>
  <c r="T351"/>
  <c r="AH350"/>
  <c r="T350"/>
  <c r="AH349"/>
  <c r="T349"/>
  <c r="AH348"/>
  <c r="T348"/>
  <c r="AH347"/>
  <c r="T347"/>
  <c r="AH346"/>
  <c r="T346"/>
  <c r="AH345"/>
  <c r="T345"/>
  <c r="AH344"/>
  <c r="T344"/>
  <c r="AH343"/>
  <c r="T343"/>
  <c r="AH342"/>
  <c r="T342"/>
  <c r="AH341"/>
  <c r="T341"/>
  <c r="AH340"/>
  <c r="T340"/>
  <c r="AH339"/>
  <c r="T339"/>
  <c r="AH338"/>
  <c r="T338"/>
  <c r="AH337"/>
  <c r="T337"/>
  <c r="AH336"/>
  <c r="T336"/>
  <c r="AH335"/>
  <c r="T335"/>
  <c r="AH334"/>
  <c r="T334"/>
  <c r="AH333"/>
  <c r="T333"/>
  <c r="AH332"/>
  <c r="T332"/>
  <c r="AH331"/>
  <c r="T331"/>
  <c r="AH330"/>
  <c r="T330"/>
  <c r="AH329"/>
  <c r="T329"/>
  <c r="AH328"/>
  <c r="T328"/>
  <c r="AH327"/>
  <c r="T327"/>
  <c r="AH326"/>
  <c r="T326"/>
  <c r="AH325"/>
  <c r="T325"/>
  <c r="AH324"/>
  <c r="T324"/>
  <c r="AH323"/>
  <c r="T323"/>
  <c r="AH322"/>
  <c r="T322"/>
  <c r="AH321"/>
  <c r="T321"/>
  <c r="AH320"/>
  <c r="T320"/>
  <c r="AH319"/>
  <c r="T319"/>
  <c r="AH318"/>
  <c r="T318"/>
  <c r="AH317"/>
  <c r="T317"/>
  <c r="AH316"/>
  <c r="T316"/>
  <c r="AH315"/>
  <c r="T315"/>
  <c r="AH314"/>
  <c r="T314"/>
  <c r="AH313"/>
  <c r="T313"/>
  <c r="AH312"/>
  <c r="T312"/>
  <c r="AH311"/>
  <c r="T311"/>
  <c r="AH310"/>
  <c r="T310"/>
  <c r="AH309"/>
  <c r="T309"/>
  <c r="AH308"/>
  <c r="T308"/>
  <c r="AH307"/>
  <c r="T307"/>
  <c r="AH306"/>
  <c r="T306"/>
  <c r="AH305"/>
  <c r="T305"/>
  <c r="AH304"/>
  <c r="T304"/>
  <c r="AH303"/>
  <c r="T303"/>
  <c r="AH302"/>
  <c r="T302"/>
  <c r="AH301"/>
  <c r="T301"/>
  <c r="AH300"/>
  <c r="T300"/>
  <c r="AH299"/>
  <c r="T299"/>
  <c r="AH298"/>
  <c r="T298"/>
  <c r="AH297"/>
  <c r="T297"/>
  <c r="AH296"/>
  <c r="T296"/>
  <c r="AH295"/>
  <c r="T295"/>
  <c r="AH294"/>
  <c r="T294"/>
  <c r="AH293"/>
  <c r="T293"/>
  <c r="AH292"/>
  <c r="T292"/>
  <c r="AH291"/>
  <c r="T291"/>
  <c r="AH290"/>
  <c r="T290"/>
  <c r="AH289"/>
  <c r="T289"/>
  <c r="AH288"/>
  <c r="T288"/>
  <c r="AH287"/>
  <c r="T287"/>
  <c r="AH286"/>
  <c r="T286"/>
  <c r="AH285"/>
  <c r="T285"/>
  <c r="AH284"/>
  <c r="T284"/>
  <c r="AH283"/>
  <c r="T283"/>
  <c r="AH282"/>
  <c r="T282"/>
  <c r="AH281"/>
  <c r="T281"/>
  <c r="AH280"/>
  <c r="T280"/>
  <c r="AH279"/>
  <c r="T279"/>
  <c r="AH278"/>
  <c r="T278"/>
  <c r="AH277"/>
  <c r="T277"/>
  <c r="AH276"/>
  <c r="T276"/>
  <c r="AH275"/>
  <c r="T275"/>
  <c r="AH274"/>
  <c r="T274"/>
  <c r="AH273"/>
  <c r="T273"/>
  <c r="AH272"/>
  <c r="T272"/>
  <c r="AH271"/>
  <c r="T271"/>
  <c r="AH270"/>
  <c r="T270"/>
  <c r="AH269"/>
  <c r="T269"/>
  <c r="AH268"/>
  <c r="T268"/>
  <c r="AH267"/>
  <c r="T267"/>
  <c r="AH266"/>
  <c r="T266"/>
  <c r="AH265"/>
  <c r="T265"/>
  <c r="AH264"/>
  <c r="T264"/>
  <c r="AH263"/>
  <c r="T263"/>
  <c r="AH262"/>
  <c r="T262"/>
  <c r="AH261"/>
  <c r="T261"/>
  <c r="AH260"/>
  <c r="T260"/>
  <c r="AH259"/>
  <c r="T259"/>
  <c r="AH258"/>
  <c r="T258"/>
  <c r="AH257"/>
  <c r="T257"/>
  <c r="AH256"/>
  <c r="T256"/>
  <c r="AH255"/>
  <c r="T255"/>
  <c r="AH254"/>
  <c r="T254"/>
  <c r="AH253"/>
  <c r="T253"/>
  <c r="AH252"/>
  <c r="T252"/>
  <c r="AH251"/>
  <c r="T251"/>
  <c r="AH250"/>
  <c r="T250"/>
  <c r="AH249"/>
  <c r="T249"/>
  <c r="AH248"/>
  <c r="T248"/>
  <c r="AH247"/>
  <c r="T247"/>
  <c r="AH246"/>
  <c r="T246"/>
  <c r="AH245"/>
  <c r="T245"/>
  <c r="AH244"/>
  <c r="T244"/>
  <c r="AH243"/>
  <c r="T243"/>
  <c r="AH242"/>
  <c r="T242"/>
  <c r="AH241"/>
  <c r="T241"/>
  <c r="AH240"/>
  <c r="T240"/>
  <c r="AH239"/>
  <c r="T239"/>
  <c r="AH238"/>
  <c r="T238"/>
  <c r="AH237"/>
  <c r="T237"/>
  <c r="AH236"/>
  <c r="T236"/>
  <c r="AH235"/>
  <c r="T235"/>
  <c r="AH234"/>
  <c r="T234"/>
  <c r="AH233"/>
  <c r="T233"/>
  <c r="AH232"/>
  <c r="T232"/>
  <c r="AH231"/>
  <c r="T231"/>
  <c r="AH230"/>
  <c r="T230"/>
  <c r="AH229"/>
  <c r="T229"/>
  <c r="AH228"/>
  <c r="T228"/>
  <c r="AH227"/>
  <c r="T227"/>
  <c r="AH226"/>
  <c r="T226"/>
  <c r="AH225"/>
  <c r="T225"/>
  <c r="AH224"/>
  <c r="T224"/>
  <c r="AH223"/>
  <c r="T223"/>
  <c r="AH222"/>
  <c r="T222"/>
  <c r="AH221"/>
  <c r="T221"/>
  <c r="AH220"/>
  <c r="T220"/>
  <c r="AH219"/>
  <c r="T219"/>
  <c r="AH218"/>
  <c r="T218"/>
  <c r="AH217"/>
  <c r="T217"/>
  <c r="AH216"/>
  <c r="T216"/>
  <c r="AH215"/>
  <c r="T215"/>
  <c r="AH214"/>
  <c r="T214"/>
  <c r="AH213"/>
  <c r="T213"/>
  <c r="AH212"/>
  <c r="T212"/>
  <c r="AH211"/>
  <c r="T211"/>
  <c r="AH210"/>
  <c r="T210"/>
  <c r="AH209"/>
  <c r="T209"/>
  <c r="AH208"/>
  <c r="T208"/>
  <c r="AH207"/>
  <c r="V207"/>
  <c r="T207"/>
  <c r="AH206"/>
  <c r="V206"/>
  <c r="T206"/>
  <c r="AH205"/>
  <c r="V205"/>
  <c r="T205"/>
  <c r="AH204"/>
  <c r="T204"/>
  <c r="AH203"/>
  <c r="T203"/>
  <c r="AH202"/>
  <c r="T202"/>
  <c r="AH201"/>
  <c r="T201"/>
  <c r="AH200"/>
  <c r="T200"/>
  <c r="AH199"/>
  <c r="T199"/>
  <c r="AH198"/>
  <c r="T198"/>
  <c r="AH197"/>
  <c r="T197"/>
  <c r="AH196"/>
  <c r="T196"/>
  <c r="AH195"/>
  <c r="T195"/>
  <c r="AH194"/>
  <c r="T194"/>
  <c r="AH193"/>
  <c r="T193"/>
  <c r="AH192"/>
  <c r="T192"/>
  <c r="AH191"/>
  <c r="V191"/>
  <c r="T191"/>
  <c r="AH190"/>
  <c r="V190"/>
  <c r="T190"/>
  <c r="AH189"/>
  <c r="V189"/>
  <c r="T189"/>
  <c r="AH188"/>
  <c r="V188"/>
  <c r="T188"/>
  <c r="AH187"/>
  <c r="V187"/>
  <c r="T187"/>
  <c r="AH186"/>
  <c r="T186"/>
  <c r="AH185"/>
  <c r="T185"/>
  <c r="AH184"/>
  <c r="T184"/>
  <c r="AH183"/>
  <c r="T183"/>
  <c r="AH182"/>
  <c r="T182"/>
  <c r="AH181"/>
  <c r="T181"/>
  <c r="AH180"/>
  <c r="T180"/>
  <c r="AH179"/>
  <c r="T179"/>
  <c r="AH178"/>
  <c r="T178"/>
  <c r="AH177"/>
  <c r="T177"/>
  <c r="AH176"/>
  <c r="T176"/>
  <c r="AH175"/>
  <c r="T175"/>
  <c r="AH174"/>
  <c r="T174"/>
  <c r="AH173"/>
  <c r="T173"/>
  <c r="AH172"/>
  <c r="T172"/>
  <c r="AH171"/>
  <c r="T171"/>
  <c r="AH170"/>
  <c r="T170"/>
  <c r="AH169"/>
  <c r="T169"/>
  <c r="AH168"/>
  <c r="T168"/>
  <c r="AH167"/>
  <c r="T167"/>
  <c r="AH166"/>
  <c r="T166"/>
  <c r="AH165"/>
  <c r="T165"/>
  <c r="AH164"/>
  <c r="T164"/>
  <c r="AH163"/>
  <c r="T163"/>
  <c r="AH162"/>
  <c r="T162"/>
  <c r="AH161"/>
  <c r="T161"/>
  <c r="AH160"/>
  <c r="T160"/>
  <c r="AH159"/>
  <c r="T159"/>
  <c r="AH158"/>
  <c r="T158"/>
  <c r="AH157"/>
  <c r="T157"/>
  <c r="AH156"/>
  <c r="T156"/>
  <c r="AH155"/>
  <c r="T155"/>
  <c r="AH154"/>
  <c r="T154"/>
  <c r="AH153"/>
  <c r="T153"/>
  <c r="AH152"/>
  <c r="T152"/>
  <c r="AH151"/>
  <c r="T151"/>
  <c r="AH150"/>
  <c r="T150"/>
  <c r="AH149"/>
  <c r="T149"/>
  <c r="AH148"/>
  <c r="V148"/>
  <c r="T148"/>
  <c r="AH147"/>
  <c r="V147"/>
  <c r="T147"/>
  <c r="AH146"/>
  <c r="V146"/>
  <c r="T146"/>
  <c r="AH145"/>
  <c r="V145"/>
  <c r="T145"/>
  <c r="AH144"/>
  <c r="V144"/>
  <c r="T144"/>
  <c r="AH143"/>
  <c r="V143"/>
  <c r="T143"/>
  <c r="AH142"/>
  <c r="V142"/>
  <c r="T142"/>
  <c r="AH141"/>
  <c r="V141"/>
  <c r="T141"/>
  <c r="AH140"/>
  <c r="V140"/>
  <c r="T140"/>
  <c r="AH139"/>
  <c r="V139"/>
  <c r="T139"/>
  <c r="AH138"/>
  <c r="V138"/>
  <c r="T138"/>
  <c r="AH137"/>
  <c r="V137"/>
  <c r="T137"/>
  <c r="AH136"/>
  <c r="V136"/>
  <c r="T136"/>
  <c r="AH135"/>
  <c r="V135"/>
  <c r="T135"/>
  <c r="AH134"/>
  <c r="V134"/>
  <c r="T134"/>
  <c r="AH133"/>
  <c r="V133"/>
  <c r="T133"/>
  <c r="AH132"/>
  <c r="V132"/>
  <c r="T132"/>
  <c r="AH131"/>
  <c r="V131"/>
  <c r="T131"/>
  <c r="AH130"/>
  <c r="V130"/>
  <c r="T130"/>
  <c r="AH129"/>
  <c r="V129"/>
  <c r="T129"/>
  <c r="AH128"/>
  <c r="V128"/>
  <c r="T128"/>
  <c r="AH127"/>
  <c r="V127"/>
  <c r="T127"/>
  <c r="AH126"/>
  <c r="V126"/>
  <c r="T126"/>
  <c r="AH125"/>
  <c r="V125"/>
  <c r="T125"/>
  <c r="AH124"/>
  <c r="V124"/>
  <c r="T124"/>
  <c r="AH123"/>
  <c r="V123"/>
  <c r="T123"/>
  <c r="AH122"/>
  <c r="V122"/>
  <c r="T122"/>
  <c r="AH121"/>
  <c r="V121"/>
  <c r="T121"/>
  <c r="AH120"/>
  <c r="V120"/>
  <c r="T120"/>
  <c r="AH119"/>
  <c r="V119"/>
  <c r="T119"/>
  <c r="AH118"/>
  <c r="V118"/>
  <c r="T118"/>
  <c r="AH117"/>
  <c r="V117"/>
  <c r="T117"/>
  <c r="AH116"/>
  <c r="T116"/>
  <c r="AH115"/>
  <c r="T115"/>
  <c r="AH114"/>
  <c r="T114"/>
  <c r="AH113"/>
  <c r="T113"/>
  <c r="AH112"/>
  <c r="T112"/>
  <c r="AH111"/>
  <c r="T111"/>
  <c r="AH110"/>
  <c r="T110"/>
  <c r="AH109"/>
  <c r="T109"/>
  <c r="AH108"/>
  <c r="T108"/>
  <c r="AH107"/>
  <c r="T107"/>
  <c r="AH106"/>
  <c r="T106"/>
  <c r="AH105"/>
  <c r="T105"/>
  <c r="AH104"/>
  <c r="T104"/>
  <c r="AH103"/>
  <c r="T103"/>
  <c r="AH102"/>
  <c r="T102"/>
  <c r="AH101"/>
  <c r="T101"/>
  <c r="AH100"/>
  <c r="T100"/>
  <c r="AH99"/>
  <c r="T99"/>
  <c r="AH98"/>
  <c r="T98"/>
  <c r="AH97"/>
  <c r="T97"/>
  <c r="AH96"/>
  <c r="T96"/>
  <c r="AH95"/>
  <c r="T95"/>
  <c r="AH94"/>
  <c r="T94"/>
  <c r="AH93"/>
  <c r="T93"/>
  <c r="AH92"/>
  <c r="T92"/>
  <c r="AH91"/>
  <c r="T91"/>
  <c r="AH90"/>
  <c r="T90"/>
  <c r="AH89"/>
  <c r="T89"/>
  <c r="AH88"/>
  <c r="T88"/>
  <c r="AH87"/>
  <c r="T87"/>
  <c r="AH86"/>
  <c r="T86"/>
  <c r="AH85"/>
  <c r="T85"/>
  <c r="AH84"/>
  <c r="T84"/>
  <c r="AH83"/>
  <c r="T83"/>
  <c r="AH82"/>
  <c r="T82"/>
  <c r="AH81"/>
  <c r="T81"/>
  <c r="AH80"/>
  <c r="V80"/>
  <c r="T80"/>
  <c r="AH79"/>
  <c r="V79"/>
  <c r="T79"/>
  <c r="AH78"/>
  <c r="V78"/>
  <c r="T78"/>
  <c r="AH77"/>
  <c r="V77"/>
  <c r="T77"/>
  <c r="AH76"/>
  <c r="V76"/>
  <c r="T76"/>
  <c r="AH75"/>
  <c r="V75"/>
  <c r="T75"/>
  <c r="AH74"/>
  <c r="T74"/>
  <c r="AH73"/>
  <c r="T73"/>
  <c r="AH72"/>
  <c r="T72"/>
  <c r="AH71"/>
  <c r="V71"/>
  <c r="T71"/>
  <c r="AH70"/>
  <c r="V70"/>
  <c r="T70"/>
  <c r="AH69"/>
  <c r="V69"/>
  <c r="T69"/>
  <c r="AH68"/>
  <c r="V68"/>
  <c r="T68"/>
  <c r="AH67"/>
  <c r="V67"/>
  <c r="T67"/>
  <c r="AH66"/>
  <c r="T66"/>
  <c r="AH65"/>
  <c r="T65"/>
  <c r="AH64"/>
  <c r="T64"/>
  <c r="AH63"/>
  <c r="T63"/>
  <c r="AH62"/>
  <c r="T62"/>
  <c r="AH61"/>
  <c r="T61"/>
  <c r="AH60"/>
  <c r="T60"/>
  <c r="AH59"/>
  <c r="T59"/>
  <c r="AH58"/>
  <c r="T58"/>
  <c r="AH57"/>
  <c r="T57"/>
  <c r="AH56"/>
  <c r="T56"/>
  <c r="AH55"/>
  <c r="T55"/>
  <c r="AH54"/>
  <c r="T54"/>
  <c r="AH53"/>
  <c r="T53"/>
  <c r="AH52"/>
  <c r="T52"/>
  <c r="AH51"/>
  <c r="T51"/>
  <c r="AH50"/>
  <c r="T50"/>
  <c r="AH49"/>
  <c r="T49"/>
  <c r="AH48"/>
  <c r="T48"/>
  <c r="AH47"/>
  <c r="T47"/>
  <c r="AH46"/>
  <c r="T46"/>
  <c r="AH45"/>
  <c r="T45"/>
  <c r="AH44"/>
  <c r="T44"/>
  <c r="AH43"/>
  <c r="T43"/>
  <c r="AH42"/>
  <c r="T42"/>
  <c r="AH41"/>
  <c r="T41"/>
  <c r="AH40"/>
  <c r="T40"/>
  <c r="AH39"/>
  <c r="T39"/>
  <c r="AH38"/>
  <c r="T38"/>
  <c r="AH37"/>
  <c r="T37"/>
  <c r="AH36"/>
  <c r="T36"/>
  <c r="AH35"/>
  <c r="T35"/>
  <c r="AH34"/>
  <c r="T34"/>
  <c r="AH33"/>
  <c r="T33"/>
  <c r="AH32"/>
  <c r="T32"/>
  <c r="AH31"/>
  <c r="T31"/>
  <c r="AH30"/>
  <c r="T30"/>
  <c r="AH29"/>
  <c r="T29"/>
  <c r="AH28"/>
  <c r="T28"/>
  <c r="AH27"/>
  <c r="T27"/>
  <c r="AH26"/>
  <c r="T26"/>
  <c r="AH25"/>
  <c r="T25"/>
  <c r="AH24"/>
  <c r="T24"/>
  <c r="AH23"/>
  <c r="T23"/>
  <c r="AH22"/>
  <c r="T22"/>
  <c r="AH21"/>
  <c r="T21"/>
  <c r="AH20"/>
  <c r="T20"/>
  <c r="AH19"/>
  <c r="T19"/>
  <c r="AH18"/>
  <c r="T18"/>
  <c r="AH17"/>
  <c r="T17"/>
  <c r="AH16"/>
  <c r="T16"/>
  <c r="AH15"/>
  <c r="T15"/>
  <c r="AH14"/>
  <c r="T14"/>
  <c r="AH13"/>
  <c r="T13"/>
  <c r="AH12"/>
  <c r="T12"/>
  <c r="AH11"/>
  <c r="T11"/>
  <c r="AH10"/>
  <c r="T10"/>
  <c r="AH9"/>
  <c r="T9"/>
  <c r="AH8"/>
  <c r="T8"/>
  <c r="AH7"/>
  <c r="T7"/>
  <c r="AH6"/>
  <c r="T6"/>
  <c r="AH5"/>
  <c r="T5"/>
  <c r="AH4"/>
  <c r="T4"/>
  <c r="AH3"/>
  <c r="T3"/>
  <c r="AH2"/>
  <c r="T2"/>
</calcChain>
</file>

<file path=xl/sharedStrings.xml><?xml version="1.0" encoding="utf-8"?>
<sst xmlns="http://schemas.openxmlformats.org/spreadsheetml/2006/main" count="75145" uniqueCount="6805">
  <si>
    <t>Instruction Type</t>
  </si>
  <si>
    <t>Instruction</t>
  </si>
  <si>
    <t>Instructions for Public Users (External to Government)</t>
  </si>
  <si>
    <t>Narrowing Down Area of Interest -Using iMap</t>
  </si>
  <si>
    <t>Click on Layers --&gt; Forests, Grasslands, and Wetlands --&gt; Terrestrial Ecosystems Information Scanned Map Boundaries By Project Type. Use the information tool to get a list of all of the available maps that intersect your area of interest.</t>
  </si>
  <si>
    <r>
      <rPr>
        <b/>
        <sz val="11"/>
        <rFont val="Calibri"/>
        <family val="2"/>
      </rPr>
      <t>iMap (Public):</t>
    </r>
    <r>
      <rPr>
        <u/>
        <sz val="11"/>
        <color theme="10"/>
        <rFont val="Calibri"/>
        <family val="2"/>
      </rPr>
      <t xml:space="preserve"> http://webmaps.gov.bc.ca/imfx/imf.jsp?site=imapbc</t>
    </r>
  </si>
  <si>
    <t>Narrowing Down Area of Interest - ArcGIS or other GIS software</t>
  </si>
  <si>
    <t>The scanned map footprint dataset can be downloaded via the GeoBC Data Discovery Service in a variety of formats to load into your GIS program. Click on the purple "Download Data" button in the top right hand corner of the metadata record to download.</t>
  </si>
  <si>
    <r>
      <rPr>
        <b/>
        <sz val="11"/>
        <rFont val="Calibri"/>
        <family val="2"/>
      </rPr>
      <t>GeoBC Discovery Service:</t>
    </r>
    <r>
      <rPr>
        <u/>
        <sz val="11"/>
        <color theme="10"/>
        <rFont val="Calibri"/>
        <family val="2"/>
      </rPr>
      <t xml:space="preserve"> https://apps.gov.bc.ca/pub/geometadata/metadataDetail.do?from=search&amp;edit=true&amp;showall=showall&amp;recordSet=ISO19115&amp;recordUID=55919</t>
    </r>
  </si>
  <si>
    <t>Accessing Maps</t>
  </si>
  <si>
    <t xml:space="preserve">Click on the hyperlink in the External Image Download URL column (column R). This will take directly you to the web distribution site that houses the scanned map as a .TIF file along with the associated georeferencing files. </t>
  </si>
  <si>
    <t>Using Maps - GIS</t>
  </si>
  <si>
    <t>Download the .TIF file and all other files within the scanned map directory and save into a single directory on your own system.</t>
  </si>
  <si>
    <t>Using Maps - No GIS</t>
  </si>
  <si>
    <t>The scanned map.TIF files are best viewed with MS Office Document Imaging (under Start – Programs – MS Office – Tools), as the default picture and fax viewers are not powerful enough to deal with the large files.</t>
  </si>
  <si>
    <t>Instructions for IDIR Users (Internal to Government)</t>
  </si>
  <si>
    <r>
      <rPr>
        <b/>
        <sz val="11"/>
        <rFont val="Calibri"/>
        <family val="2"/>
      </rPr>
      <t xml:space="preserve"> iMap (IDIR): </t>
    </r>
    <r>
      <rPr>
        <u/>
        <sz val="11"/>
        <color theme="10"/>
        <rFont val="Calibri"/>
        <family val="2"/>
      </rPr>
      <t>https://webmaps.gov.bc.ca/imfz/imf.jsp?site=imapbc</t>
    </r>
  </si>
  <si>
    <t>Narrowing Down Area of Interest - ArcGIS</t>
  </si>
  <si>
    <t xml:space="preserve">In ArcMap,  click on the Layer Library --&gt; Forests, Grasslands, and Wetlands --&gt; Terrestrial Ecosystems Information Scanned Map Boundaries By Project Type. </t>
  </si>
  <si>
    <t xml:space="preserve">If accessing from within the provincial government network, click on the hyperlink in the IDIR Image URL column (column P). This will take you to the directory that houses the scanned map as a .TIF file along with the associated georeferencing files. </t>
  </si>
  <si>
    <t>Scanned maps can be loaded into ArcGIS by clicking on the Add Data button and navigating to the Image Warehouse file location. The image will show up in it's correct spatial location within the province of BC.</t>
  </si>
  <si>
    <t>Image File Name</t>
  </si>
  <si>
    <t>Image Type</t>
  </si>
  <si>
    <t>Mapsheet Number</t>
  </si>
  <si>
    <t>Partial Mapsheet Flag</t>
  </si>
  <si>
    <t>Project Name</t>
  </si>
  <si>
    <t>Map Name</t>
  </si>
  <si>
    <t>Map Scale</t>
  </si>
  <si>
    <t>Map Date</t>
  </si>
  <si>
    <t>Project Report</t>
  </si>
  <si>
    <t>Project Flag</t>
  </si>
  <si>
    <t>Terrain Flag</t>
  </si>
  <si>
    <t>Soils Flag</t>
  </si>
  <si>
    <t>Ecosystems Flag</t>
  </si>
  <si>
    <t>Agr Capability Flag</t>
  </si>
  <si>
    <t>Climate Capability Flag</t>
  </si>
  <si>
    <t>Terrain or Soil Flag</t>
  </si>
  <si>
    <t>Image Comments</t>
  </si>
  <si>
    <t>IDIR Image URL</t>
  </si>
  <si>
    <t>External Image Comments</t>
  </si>
  <si>
    <t>External Image Download URL</t>
  </si>
  <si>
    <t>Reference 1 Comments</t>
  </si>
  <si>
    <t>Reference 1 URL</t>
  </si>
  <si>
    <t>Reference 2 Comments</t>
  </si>
  <si>
    <t>Reference 2 URL</t>
  </si>
  <si>
    <t>Reference 3 Comments</t>
  </si>
  <si>
    <t>Reference 3 URL</t>
  </si>
  <si>
    <t>Reference 4 Comments</t>
  </si>
  <si>
    <t>Reference 4 URL</t>
  </si>
  <si>
    <t>Reference 5 Comments</t>
  </si>
  <si>
    <t>Reference 5 URL</t>
  </si>
  <si>
    <t>Reference 6 Comments</t>
  </si>
  <si>
    <t>Reference 6 URL</t>
  </si>
  <si>
    <t>Reference 7 Comments</t>
  </si>
  <si>
    <t>Reference 7 URL</t>
  </si>
  <si>
    <t>B01-4700</t>
  </si>
  <si>
    <t>TIF</t>
  </si>
  <si>
    <t>082</t>
  </si>
  <si>
    <t xml:space="preserve"> </t>
  </si>
  <si>
    <t>Terrain/Surficial Geology</t>
  </si>
  <si>
    <t>Kootenay Lake: Surficial Geology</t>
  </si>
  <si>
    <t>Y</t>
  </si>
  <si>
    <t>External clients may download .tif files and associated georeference files from the following URL:</t>
  </si>
  <si>
    <t>Further info and/or GIS data may be available and can be requested from the following email address:</t>
  </si>
  <si>
    <t>B01-4701</t>
  </si>
  <si>
    <t>092</t>
  </si>
  <si>
    <t>Quaternary of Canadian Cordillera: Vancouver Nm-9/10</t>
  </si>
  <si>
    <t>B01-4702</t>
  </si>
  <si>
    <t>082F15</t>
  </si>
  <si>
    <t>Terrain: Kaslo</t>
  </si>
  <si>
    <t>1982?</t>
  </si>
  <si>
    <t>B01-4703</t>
  </si>
  <si>
    <t>Terrain Features: Kaslo</t>
  </si>
  <si>
    <t>B01-4704</t>
  </si>
  <si>
    <t>082F16</t>
  </si>
  <si>
    <t>Terrain Features: Dewar Creek</t>
  </si>
  <si>
    <t>B01-4705</t>
  </si>
  <si>
    <t>Terrain: Dewar Creek</t>
  </si>
  <si>
    <t>B01-4706</t>
  </si>
  <si>
    <t>082K01</t>
  </si>
  <si>
    <t>Terrain: Findlay Creek</t>
  </si>
  <si>
    <t>B01-4707</t>
  </si>
  <si>
    <t>Terrain Features: Findlay Creek</t>
  </si>
  <si>
    <t>B01-4708</t>
  </si>
  <si>
    <t>082K02</t>
  </si>
  <si>
    <t>Terrain: Lardeau</t>
  </si>
  <si>
    <t>B01-4709</t>
  </si>
  <si>
    <t>Terrain Features: Lardeau</t>
  </si>
  <si>
    <t>B01-4710</t>
  </si>
  <si>
    <t>082K07</t>
  </si>
  <si>
    <t>Terrain: Duncan Lake</t>
  </si>
  <si>
    <t>B01-4711</t>
  </si>
  <si>
    <t>Terrain Features: Duncan Lake</t>
  </si>
  <si>
    <t>B01-4712</t>
  </si>
  <si>
    <t>082K08</t>
  </si>
  <si>
    <t>Terrain: Toby Creek</t>
  </si>
  <si>
    <t>B01-4713</t>
  </si>
  <si>
    <t>Terrain Features: Toby Creek</t>
  </si>
  <si>
    <t>B01-4714</t>
  </si>
  <si>
    <t>082G01</t>
  </si>
  <si>
    <t>Project - East Kootenay</t>
  </si>
  <si>
    <t>Terrain: Sage Creek</t>
  </si>
  <si>
    <t>1975-1976</t>
  </si>
  <si>
    <t>B01-4715</t>
  </si>
  <si>
    <t>082G02</t>
  </si>
  <si>
    <t>Terrain: Inverted Ridge</t>
  </si>
  <si>
    <t>B01-4716</t>
  </si>
  <si>
    <t>082G03</t>
  </si>
  <si>
    <t>Terrain: Lake Koocanusa</t>
  </si>
  <si>
    <t>B01-4717</t>
  </si>
  <si>
    <t>082G04</t>
  </si>
  <si>
    <t>Terrain: Yahk River</t>
  </si>
  <si>
    <t>B01-4718</t>
  </si>
  <si>
    <t>082G05</t>
  </si>
  <si>
    <t>Terrain: Moyie Lake</t>
  </si>
  <si>
    <t>B01-4719</t>
  </si>
  <si>
    <t>082G06</t>
  </si>
  <si>
    <t>Terrain: Elko</t>
  </si>
  <si>
    <t>B01-4720</t>
  </si>
  <si>
    <t>082O04</t>
  </si>
  <si>
    <t>Terrain: Banff</t>
  </si>
  <si>
    <t>B01-4721</t>
  </si>
  <si>
    <t>082J041</t>
  </si>
  <si>
    <t>Project - Invermere/Windermere</t>
  </si>
  <si>
    <t>Invermere/Windermere Project: Terrain (Provisional Copy)</t>
  </si>
  <si>
    <t>about 1977-1978</t>
  </si>
  <si>
    <t>B01-4722</t>
  </si>
  <si>
    <t>Invermere/Windermere Project: Settlement Suitability (Provisional Copy)</t>
  </si>
  <si>
    <t>about 1977-1979</t>
  </si>
  <si>
    <t>B01-4724</t>
  </si>
  <si>
    <t>082G13</t>
  </si>
  <si>
    <t>Surficial Geology of The Upper Columbia River Valley: Map 5: Terrain</t>
  </si>
  <si>
    <t>Mapsheet number does not match map scale</t>
  </si>
  <si>
    <t>B01-4726</t>
  </si>
  <si>
    <t>092C13</t>
  </si>
  <si>
    <t>Ucluelet: Terrain + Landforms</t>
  </si>
  <si>
    <t>about 1976</t>
  </si>
  <si>
    <t>B01-4727</t>
  </si>
  <si>
    <t>092C14</t>
  </si>
  <si>
    <t>Barclay Sound: Terrain + Landforms</t>
  </si>
  <si>
    <t>B01-4728</t>
  </si>
  <si>
    <t>092F01</t>
  </si>
  <si>
    <t>Nanaimo Lakes: Terrain + Landforms</t>
  </si>
  <si>
    <t>about 1977</t>
  </si>
  <si>
    <t>B01-4729</t>
  </si>
  <si>
    <t>092F03</t>
  </si>
  <si>
    <t>Effingham: Terrain + Landforms</t>
  </si>
  <si>
    <t>about 1978</t>
  </si>
  <si>
    <t>B01-4730</t>
  </si>
  <si>
    <t>092F04</t>
  </si>
  <si>
    <t>Tofino: Terrain + Landforms</t>
  </si>
  <si>
    <t>about 1979</t>
  </si>
  <si>
    <t>B01-4731</t>
  </si>
  <si>
    <t>092F05</t>
  </si>
  <si>
    <t>Bedwell: Terrain + Landforms</t>
  </si>
  <si>
    <t>about 1980</t>
  </si>
  <si>
    <t>B01-4732</t>
  </si>
  <si>
    <t>092F06</t>
  </si>
  <si>
    <t>Great Central: Terrain + Landforms</t>
  </si>
  <si>
    <t>about 1981</t>
  </si>
  <si>
    <t>B01-4733</t>
  </si>
  <si>
    <t>092F08</t>
  </si>
  <si>
    <t>Parksville: Terrain + Landforms</t>
  </si>
  <si>
    <t>about 1982</t>
  </si>
  <si>
    <t>B01-4737</t>
  </si>
  <si>
    <t>092F16</t>
  </si>
  <si>
    <t>Project - Quadra Project Area</t>
  </si>
  <si>
    <t>Haslam Lake: Terrain With Map Legend</t>
  </si>
  <si>
    <t>1977-1979</t>
  </si>
  <si>
    <t>B01-4738</t>
  </si>
  <si>
    <t>092G05</t>
  </si>
  <si>
    <t>Sechelt: Terrain With Map Legend</t>
  </si>
  <si>
    <t>B01-4739</t>
  </si>
  <si>
    <t>092G11</t>
  </si>
  <si>
    <t>Squamish: Terrain With Map Legend</t>
  </si>
  <si>
    <t>B01-4740</t>
  </si>
  <si>
    <t>092G12</t>
  </si>
  <si>
    <t>Terrain: Sechelt Inlet</t>
  </si>
  <si>
    <t>B01-4741</t>
  </si>
  <si>
    <t>092G13</t>
  </si>
  <si>
    <t>Jervis Inlet: Terrain With Map Legend</t>
  </si>
  <si>
    <t>B01-4742</t>
  </si>
  <si>
    <t>092G14</t>
  </si>
  <si>
    <t>Terrain: Cheakamus River</t>
  </si>
  <si>
    <t>B01-4743</t>
  </si>
  <si>
    <t>092G07</t>
  </si>
  <si>
    <t>Stave Lake: Bioterrain (Port Coquitlam)</t>
  </si>
  <si>
    <t>Unknown</t>
  </si>
  <si>
    <t>B01-4744</t>
  </si>
  <si>
    <t>092G09</t>
  </si>
  <si>
    <t>Stave Lake: Bioterrain (Stave River)</t>
  </si>
  <si>
    <t>B01-4745</t>
  </si>
  <si>
    <t>092G08</t>
  </si>
  <si>
    <t>Stave Lake: Bioterrain (Stave Lake Bioterrain)</t>
  </si>
  <si>
    <t>B01-4746</t>
  </si>
  <si>
    <t>092G10</t>
  </si>
  <si>
    <t>Stave Lake: Bioterrain (Pitt River)</t>
  </si>
  <si>
    <t>B01-4747</t>
  </si>
  <si>
    <t>092J04</t>
  </si>
  <si>
    <t>Terrain: Princess Louisa Inlet</t>
  </si>
  <si>
    <t>B01-4748</t>
  </si>
  <si>
    <t>092J05</t>
  </si>
  <si>
    <t>Terrain: Clendenning Creek</t>
  </si>
  <si>
    <t>B01-4749</t>
  </si>
  <si>
    <t>092J13</t>
  </si>
  <si>
    <t>Stanley Smith Glacier:Terrain</t>
  </si>
  <si>
    <t>B01-4750</t>
  </si>
  <si>
    <t>092K01</t>
  </si>
  <si>
    <t>Terrain: Powell Lake</t>
  </si>
  <si>
    <t>B01-4753</t>
  </si>
  <si>
    <t>092K04</t>
  </si>
  <si>
    <t>Brewster Lake: Terrain + Landforms</t>
  </si>
  <si>
    <t>B01-4754</t>
  </si>
  <si>
    <t>092K05</t>
  </si>
  <si>
    <t>Terrain: Sayward</t>
  </si>
  <si>
    <t>B01-4755</t>
  </si>
  <si>
    <t>092K06</t>
  </si>
  <si>
    <t>Terrain: Sonora Island</t>
  </si>
  <si>
    <t>B01-4756</t>
  </si>
  <si>
    <t>092K07</t>
  </si>
  <si>
    <t>Terrain: Toba Inlet</t>
  </si>
  <si>
    <t>B01-4757</t>
  </si>
  <si>
    <t>092K08</t>
  </si>
  <si>
    <t>Terrain: Little Toba River</t>
  </si>
  <si>
    <t>B01-4758</t>
  </si>
  <si>
    <t>092K09</t>
  </si>
  <si>
    <t>Terrain: Mount Argyll</t>
  </si>
  <si>
    <t>B01-4759</t>
  </si>
  <si>
    <t>092K10</t>
  </si>
  <si>
    <t>Terrain: Orford River</t>
  </si>
  <si>
    <t>B01-4760</t>
  </si>
  <si>
    <t>092K11</t>
  </si>
  <si>
    <t>Terrain: Phillips River</t>
  </si>
  <si>
    <t>B01-4761</t>
  </si>
  <si>
    <t>092K14</t>
  </si>
  <si>
    <t>Terrain: Stafford River</t>
  </si>
  <si>
    <t>B01-4762</t>
  </si>
  <si>
    <t>092K15</t>
  </si>
  <si>
    <t>Terrain: Southgate River</t>
  </si>
  <si>
    <t>B01-4763</t>
  </si>
  <si>
    <t>092J03</t>
  </si>
  <si>
    <t>Project - Elaho River Resource Folio</t>
  </si>
  <si>
    <t>Terrain: Elaho River</t>
  </si>
  <si>
    <t>1977?</t>
  </si>
  <si>
    <t>Guide to Interpretive Groupings Used in the Elaho River Resource Folio</t>
  </si>
  <si>
    <t>B01-4764</t>
  </si>
  <si>
    <t>Elaho River: Mass Movement</t>
  </si>
  <si>
    <t>B01-4765</t>
  </si>
  <si>
    <t>Elaho River: Surface Movement</t>
  </si>
  <si>
    <t>B01-4766</t>
  </si>
  <si>
    <t>Elaho River: Road-Associated Problems</t>
  </si>
  <si>
    <t>B01-4767</t>
  </si>
  <si>
    <t>092K16</t>
  </si>
  <si>
    <t>Terrain: Mount Gilbert</t>
  </si>
  <si>
    <t>B01-4768</t>
  </si>
  <si>
    <t>092N01</t>
  </si>
  <si>
    <t>Terrain: Chilko Mountain</t>
  </si>
  <si>
    <t>B01-4769</t>
  </si>
  <si>
    <t>092N02</t>
  </si>
  <si>
    <t>Terrain: Homathko Snowfield</t>
  </si>
  <si>
    <t>B01-4770</t>
  </si>
  <si>
    <t>092N03</t>
  </si>
  <si>
    <t>Terrain: Whitemantle Creek</t>
  </si>
  <si>
    <t>B01-4771</t>
  </si>
  <si>
    <t>092J08</t>
  </si>
  <si>
    <t>Stein River Basin: Terrain + Slope and Soil Drainage</t>
  </si>
  <si>
    <t>Stein River Basin: terrain conditions and interpretations for forest engineering.</t>
  </si>
  <si>
    <t>B01-4772</t>
  </si>
  <si>
    <t>Stein River Basin: Pot.Surface Erosion &amp; Pot. Mass Movement</t>
  </si>
  <si>
    <t>The report is available from the BC Ministry of Forests Library at the following URL:</t>
  </si>
  <si>
    <t>B01-4773</t>
  </si>
  <si>
    <t>Stein River Basin: Geological Hazards Map</t>
  </si>
  <si>
    <t>B01-4774</t>
  </si>
  <si>
    <t>Stein River Basin: Terrain Limitations For Logging Roads</t>
  </si>
  <si>
    <t>B01-4775</t>
  </si>
  <si>
    <t>092E07</t>
  </si>
  <si>
    <t>Terrain: North Vancouver Island</t>
  </si>
  <si>
    <t>1977, 1978 field; 1979 revision</t>
  </si>
  <si>
    <t>B01-4776</t>
  </si>
  <si>
    <t>092E08</t>
  </si>
  <si>
    <t>Terrain: Hesquiat</t>
  </si>
  <si>
    <t>1977, 1978 field; 1980 revision</t>
  </si>
  <si>
    <t>B01-4777</t>
  </si>
  <si>
    <t>092E09</t>
  </si>
  <si>
    <t>Terrain: Muchalat Inlet</t>
  </si>
  <si>
    <t>1977, 1978 field; 1981 revision</t>
  </si>
  <si>
    <t>B01-4778</t>
  </si>
  <si>
    <t>092E10</t>
  </si>
  <si>
    <t>1977, 1978 field; 1982 revision</t>
  </si>
  <si>
    <t>Terrain Inventory and Geological Hazards, Northern Vancouver Island.</t>
  </si>
  <si>
    <t>B01-4779</t>
  </si>
  <si>
    <t>092L01</t>
  </si>
  <si>
    <t>1977-1978, 1980 revision</t>
  </si>
  <si>
    <t>B01-4780</t>
  </si>
  <si>
    <t>092L06</t>
  </si>
  <si>
    <t>B01-4781</t>
  </si>
  <si>
    <t>092L08</t>
  </si>
  <si>
    <t>B01-4782</t>
  </si>
  <si>
    <t>092L10</t>
  </si>
  <si>
    <t>B01-4783</t>
  </si>
  <si>
    <t>092L11</t>
  </si>
  <si>
    <t>B01-4784</t>
  </si>
  <si>
    <t>092J15</t>
  </si>
  <si>
    <t>Goldbridge/Bralorne (North): Terrain Interpretations</t>
  </si>
  <si>
    <t>B01-4785</t>
  </si>
  <si>
    <t>Goldbridge/Bralorne (North): Terrain</t>
  </si>
  <si>
    <t>B01-4786</t>
  </si>
  <si>
    <t>Goldbridge/Bralorne (South): Terrain Interpretations</t>
  </si>
  <si>
    <t>B01-4787</t>
  </si>
  <si>
    <t>Goldbridge/Bralorne (South): Terrain</t>
  </si>
  <si>
    <t>B01-4788</t>
  </si>
  <si>
    <t>093H07</t>
  </si>
  <si>
    <t>Terrain Features: Goat River/Milk River</t>
  </si>
  <si>
    <t>B01-4789</t>
  </si>
  <si>
    <t>Terrain: Goat River/Milk River</t>
  </si>
  <si>
    <t>B01-4790</t>
  </si>
  <si>
    <t>Goat River/Milk River: Geological Processes</t>
  </si>
  <si>
    <t>B01-4791</t>
  </si>
  <si>
    <t>093I14</t>
  </si>
  <si>
    <t>Terrain: Tumbler Ridge Project</t>
  </si>
  <si>
    <t>1979?</t>
  </si>
  <si>
    <t>B01-4792</t>
  </si>
  <si>
    <t>093I15</t>
  </si>
  <si>
    <t>B01-4793</t>
  </si>
  <si>
    <t>093P02</t>
  </si>
  <si>
    <t>B01-4794</t>
  </si>
  <si>
    <t>093P03</t>
  </si>
  <si>
    <t>B01-4795</t>
  </si>
  <si>
    <t>093K10</t>
  </si>
  <si>
    <t>Terrain: Stuart Lake</t>
  </si>
  <si>
    <t>B01-4796</t>
  </si>
  <si>
    <t>093K11</t>
  </si>
  <si>
    <t>Terrain: Cunningham Lake</t>
  </si>
  <si>
    <t>B01-4797</t>
  </si>
  <si>
    <t>093K14</t>
  </si>
  <si>
    <t>Terrain: Trembleur Lake</t>
  </si>
  <si>
    <t>B01-4798</t>
  </si>
  <si>
    <t>093K15</t>
  </si>
  <si>
    <t>Terrain: Inzana Lake</t>
  </si>
  <si>
    <t>B01-4799</t>
  </si>
  <si>
    <t>094B03</t>
  </si>
  <si>
    <t>Ne-Parle-Pas Rapids: Terrain and Landforms</t>
  </si>
  <si>
    <t>1975, 1976</t>
  </si>
  <si>
    <t>B01-4800</t>
  </si>
  <si>
    <t>094B04</t>
  </si>
  <si>
    <t>Terrain and Landforms: Wicked River</t>
  </si>
  <si>
    <t>B01-4801</t>
  </si>
  <si>
    <t>094B05</t>
  </si>
  <si>
    <t>Gavreau Creek: Terrain and Landforms</t>
  </si>
  <si>
    <t>B01-4802</t>
  </si>
  <si>
    <t>094C01</t>
  </si>
  <si>
    <t>Omineca Arm: Terrain and Landforms (Provisional Copy)</t>
  </si>
  <si>
    <t>1975?</t>
  </si>
  <si>
    <t>B01-4803</t>
  </si>
  <si>
    <t>094C02</t>
  </si>
  <si>
    <t>End Lake: Terrain and Landforms (Provisional Copy)</t>
  </si>
  <si>
    <t>B01-4804</t>
  </si>
  <si>
    <t>094C07</t>
  </si>
  <si>
    <t>Lorimer Creek: Terrain and Landforms (Provisional Copy)</t>
  </si>
  <si>
    <t>B01-4805</t>
  </si>
  <si>
    <t>094C08</t>
  </si>
  <si>
    <t>Lafferty Arm: Terrain and Landforms (Provisional Copy)</t>
  </si>
  <si>
    <t>B01-4806</t>
  </si>
  <si>
    <t>094C09</t>
  </si>
  <si>
    <t>Davis River: Terrain and Landforms (Provisional Copy)</t>
  </si>
  <si>
    <t>B01-4807</t>
  </si>
  <si>
    <t>094C10</t>
  </si>
  <si>
    <t>Terrain and Landforms (Provisional Copy): Factor Ross Creek</t>
  </si>
  <si>
    <t>B01-4808</t>
  </si>
  <si>
    <t>094C11</t>
  </si>
  <si>
    <t>Ingenika Mine: Terrain and Landforms (Provisional Copy)</t>
  </si>
  <si>
    <t>B01-4809</t>
  </si>
  <si>
    <t>094C14</t>
  </si>
  <si>
    <t>Ed Bird Creek: Terrain and Landforms (Provisional Copy)</t>
  </si>
  <si>
    <t>B01-4810</t>
  </si>
  <si>
    <t>094C15</t>
  </si>
  <si>
    <t>Chowika Creek: Terrain and Landforms (Provisional Copy)</t>
  </si>
  <si>
    <t>B01-4811</t>
  </si>
  <si>
    <t>104G</t>
  </si>
  <si>
    <t>Stikine-Iskut Area (Telegraph Creek &amp; Sumdum): Geological Hazards</t>
  </si>
  <si>
    <t>B01-4812</t>
  </si>
  <si>
    <t>092H001</t>
  </si>
  <si>
    <t>Chilliwack River Valley: Terrain</t>
  </si>
  <si>
    <t>B01-4813</t>
  </si>
  <si>
    <t>092H002</t>
  </si>
  <si>
    <t>B01-4814</t>
  </si>
  <si>
    <t>092H003</t>
  </si>
  <si>
    <t>B01-4815</t>
  </si>
  <si>
    <t>092H004</t>
  </si>
  <si>
    <t>B01-4816</t>
  </si>
  <si>
    <t>092H011</t>
  </si>
  <si>
    <t>B01-4817</t>
  </si>
  <si>
    <t>092H012</t>
  </si>
  <si>
    <t>B01-4818</t>
  </si>
  <si>
    <t>092H013</t>
  </si>
  <si>
    <t>B01-4819</t>
  </si>
  <si>
    <t>092H023</t>
  </si>
  <si>
    <t>B01-4820</t>
  </si>
  <si>
    <t>104F</t>
  </si>
  <si>
    <t>Stikine-Iskut Area (Sumdum): Terrain Materials</t>
  </si>
  <si>
    <t>1982-1983</t>
  </si>
  <si>
    <t>Terrain Inventory for the Stikine Iskut Area.</t>
  </si>
  <si>
    <t>B01-4821</t>
  </si>
  <si>
    <t>Terrain Features: Stikine-Iskut Area (Sumdum)</t>
  </si>
  <si>
    <t>B01-4822</t>
  </si>
  <si>
    <t>Stikine-Iskut Area (Telegraph Creek): Terrain Materials</t>
  </si>
  <si>
    <t>B01-4823</t>
  </si>
  <si>
    <t>Terrain Features: Stikine-Iskut Area (Telegraph Creek)</t>
  </si>
  <si>
    <t>B01-4824</t>
  </si>
  <si>
    <t>104H</t>
  </si>
  <si>
    <t>Stikine-Iskut Area (Spatsizi): Terrain Materials</t>
  </si>
  <si>
    <t>B01-4825</t>
  </si>
  <si>
    <t>Stikine-Iskut Area (Spatsizi): Geological Hazards</t>
  </si>
  <si>
    <t>B01-4826</t>
  </si>
  <si>
    <t>Terrain Features: Stikine-Iskut Area (Spatsizi)</t>
  </si>
  <si>
    <t>B01-4827</t>
  </si>
  <si>
    <t>093O08</t>
  </si>
  <si>
    <t>Surficial Geology - Goodrich Property: North Burnt River</t>
  </si>
  <si>
    <t>Quaternary and environmental geology of the Goodrich licence area and the Hasler Valley corridor, Foothills Belt, East Central British Columbia.</t>
  </si>
  <si>
    <t>B01-4828</t>
  </si>
  <si>
    <t>093O</t>
  </si>
  <si>
    <t>Surficial Geology - Goodrich Property: Middle Brazion Creek</t>
  </si>
  <si>
    <t>B01-4829</t>
  </si>
  <si>
    <t>Surficial Geology - Goodrich Property: Upper Brazion Creek</t>
  </si>
  <si>
    <t>B01-4830</t>
  </si>
  <si>
    <t>Surficial Geology - Goodrich Property: Upper Lemoray Creek</t>
  </si>
  <si>
    <t>B01-4831</t>
  </si>
  <si>
    <t>Surficial Geology - Goodrich Property: Upper Falling Creek</t>
  </si>
  <si>
    <t>B01-4832</t>
  </si>
  <si>
    <t>093O09</t>
  </si>
  <si>
    <t>Surficial Geology - Goodrich Property: Mt. Le Hudette</t>
  </si>
  <si>
    <t>B01-4833</t>
  </si>
  <si>
    <t>Surficial Geology - Goodrich Property: Beaudette Creek</t>
  </si>
  <si>
    <t>B01-4834</t>
  </si>
  <si>
    <t>Surficial Geology - Goodrich Property: Lower Falling Creek</t>
  </si>
  <si>
    <t>B01-4835</t>
  </si>
  <si>
    <t>Surficial Geology - Goodrich Property: Pine Valley</t>
  </si>
  <si>
    <t>B01-4836</t>
  </si>
  <si>
    <t>093O10</t>
  </si>
  <si>
    <t>Surficial Geology - Goodrich Property: Little Boulder Creek</t>
  </si>
  <si>
    <t>B01-4837</t>
  </si>
  <si>
    <t>Surficial Geology - Goodrich Property: Crassier Creek</t>
  </si>
  <si>
    <t>B01-4838</t>
  </si>
  <si>
    <t>Surficial Geology - Goodrich Property: Mt. Bickford</t>
  </si>
  <si>
    <t>B01-4839</t>
  </si>
  <si>
    <t>Surficial Geology - Goodrich Property: Big Boulder Creek</t>
  </si>
  <si>
    <t>B01-4840</t>
  </si>
  <si>
    <t>Surficial Geology - Goodrich Property: Doonan Creek</t>
  </si>
  <si>
    <t>B01-4841</t>
  </si>
  <si>
    <t>Surficial Geology - Goodrich Property: Dokie Ridge</t>
  </si>
  <si>
    <t>B01-4842</t>
  </si>
  <si>
    <t>093O16</t>
  </si>
  <si>
    <t>Surficial Geology - Goodrich Property: Lower Moberly Valley</t>
  </si>
  <si>
    <t>B01-4843</t>
  </si>
  <si>
    <t>Surficial Geology - Goodrich Property: Upper Moberly Valley</t>
  </si>
  <si>
    <t>B01-4844</t>
  </si>
  <si>
    <t>093O15</t>
  </si>
  <si>
    <t>Surficial Geology - Goodrich Property: Upper Carbon Creek East</t>
  </si>
  <si>
    <t>B01-4846</t>
  </si>
  <si>
    <t>Surficial Geology - Goodrich Property: Mt. Frank Roy</t>
  </si>
  <si>
    <t>B01-4848</t>
  </si>
  <si>
    <t>Surficial Geology - Goodrich Property: Peck Creek</t>
  </si>
  <si>
    <t>B01-4849</t>
  </si>
  <si>
    <t>Surficial Geology - Goodrich Property: Eleven Mile Creek</t>
  </si>
  <si>
    <t>B01-4850</t>
  </si>
  <si>
    <t>093P12</t>
  </si>
  <si>
    <t>Surficial Geology - Hasler Creek Series Cover Page</t>
  </si>
  <si>
    <t>B01-4851</t>
  </si>
  <si>
    <t>093P05</t>
  </si>
  <si>
    <t>Surficial Geology - Goodrich Property: Lower Brazion Valley</t>
  </si>
  <si>
    <t>B01-4852</t>
  </si>
  <si>
    <t>Surficial Geology - Goodrich Property: Upper Hasler Creek</t>
  </si>
  <si>
    <t>B01-4853</t>
  </si>
  <si>
    <t>Surficial Geology - Goodrich Property: Lower Hasler Creek</t>
  </si>
  <si>
    <t>B01-4854</t>
  </si>
  <si>
    <t>Surficial Geology - Goodrich Property: Johnsen Creek</t>
  </si>
  <si>
    <t>B01-4856</t>
  </si>
  <si>
    <t>092H/SW</t>
  </si>
  <si>
    <t>Project - Chilliwack - Ryder Lake</t>
  </si>
  <si>
    <t>Chilliwack - Ryder Lake Uplands: Terrain Analysis: Base Data</t>
  </si>
  <si>
    <t>B01-4857</t>
  </si>
  <si>
    <t>Chilliwack - Ryder Lake Uplands: Terrain Analysis: Interpretive</t>
  </si>
  <si>
    <t>B01-4858</t>
  </si>
  <si>
    <t>B01-4863</t>
  </si>
  <si>
    <t>Chilliwack - Ryder Lake Uplands: Slope</t>
  </si>
  <si>
    <t>B03-4981</t>
  </si>
  <si>
    <t>092J053</t>
  </si>
  <si>
    <t>Meager Creek</t>
  </si>
  <si>
    <t>B03-4982</t>
  </si>
  <si>
    <t>Mears Island: Slope</t>
  </si>
  <si>
    <t>B03-4983</t>
  </si>
  <si>
    <t>Mears Island: Potential Surface Erosion</t>
  </si>
  <si>
    <t>B03-4984</t>
  </si>
  <si>
    <t>082F053</t>
  </si>
  <si>
    <t>Smoky Creek-Falls Creek: Terrain</t>
  </si>
  <si>
    <t>C03-542</t>
  </si>
  <si>
    <t>082J13</t>
  </si>
  <si>
    <t>Capability - Agriculture</t>
  </si>
  <si>
    <t>Agriculture Capability  B.C. Only  No Legend</t>
  </si>
  <si>
    <t>C03-544</t>
  </si>
  <si>
    <t>082J14</t>
  </si>
  <si>
    <t>C03-556</t>
  </si>
  <si>
    <t>Agriculture Capability  No Legend</t>
  </si>
  <si>
    <t>C03-558</t>
  </si>
  <si>
    <t>C03-873</t>
  </si>
  <si>
    <t>082N03</t>
  </si>
  <si>
    <t>C03-874</t>
  </si>
  <si>
    <t>082N06</t>
  </si>
  <si>
    <t>Agriculture Capability</t>
  </si>
  <si>
    <t>C03-875</t>
  </si>
  <si>
    <t>082N07</t>
  </si>
  <si>
    <t>C03-880</t>
  </si>
  <si>
    <t>C06-17</t>
  </si>
  <si>
    <t>103G12</t>
  </si>
  <si>
    <t>Agriculture Capability  No Legend Tlell</t>
  </si>
  <si>
    <t>C06-18</t>
  </si>
  <si>
    <t>103G13</t>
  </si>
  <si>
    <t>Agriculture Capability  No Legend Eagle Hill</t>
  </si>
  <si>
    <t>C06-20</t>
  </si>
  <si>
    <t>103I02</t>
  </si>
  <si>
    <t>Agriculture Capability  No Legend Kitimat</t>
  </si>
  <si>
    <t>C06-2779</t>
  </si>
  <si>
    <t>094H05</t>
  </si>
  <si>
    <t>Agriculture Capability  No Legend La Prise Creek</t>
  </si>
  <si>
    <t>C06-2781</t>
  </si>
  <si>
    <t>094H06</t>
  </si>
  <si>
    <t>Agriculture Capability  No Legend Black Creek</t>
  </si>
  <si>
    <t>C06-2783</t>
  </si>
  <si>
    <t>094H07</t>
  </si>
  <si>
    <t>Agriculture Capability  No Legend Milligan Hills</t>
  </si>
  <si>
    <t>C06-2785</t>
  </si>
  <si>
    <t>094H08</t>
  </si>
  <si>
    <t>Agriculture Capability  No Legend Upper Chinchaga River</t>
  </si>
  <si>
    <t>B01-4867</t>
  </si>
  <si>
    <t>Chilliwack - Ryder Lake Uplands: Climatological Settlement Suitability (Overlay)</t>
  </si>
  <si>
    <t>B01-4899</t>
  </si>
  <si>
    <t>Kootenay Lake: Surficial Geology Legend</t>
  </si>
  <si>
    <t>B01-4900</t>
  </si>
  <si>
    <t>Legend For Quaternary of Canadian Cordillera</t>
  </si>
  <si>
    <t>B01-4966</t>
  </si>
  <si>
    <t>082J05</t>
  </si>
  <si>
    <t>Surficial Geology of The Upper Columbia River Valley: Map 2: Terrain</t>
  </si>
  <si>
    <t>B01-4967</t>
  </si>
  <si>
    <t>082J04</t>
  </si>
  <si>
    <t>Surficial Geology of The Upper Columbia River Valley: Map 1: Terrain</t>
  </si>
  <si>
    <t>B01-4968</t>
  </si>
  <si>
    <t>Surficial Geology of The Upper Columbia River Valley: Map 2: Base Map</t>
  </si>
  <si>
    <t>B01-4969</t>
  </si>
  <si>
    <t>Surficial Geology of The Upper Columbia River Valley: Map 1: Base Map</t>
  </si>
  <si>
    <t>B01-4970</t>
  </si>
  <si>
    <t>082K</t>
  </si>
  <si>
    <t>Surficial Geology of The Upper Columbia River Valley: Map 3: Base Map</t>
  </si>
  <si>
    <t>B01-4971</t>
  </si>
  <si>
    <t>092B093</t>
  </si>
  <si>
    <t>Saltspring Island (North): Terrain Plus Legend</t>
  </si>
  <si>
    <t>1979, 1980 field; 1983 drafting</t>
  </si>
  <si>
    <t>B01-4972</t>
  </si>
  <si>
    <t>Project - Norrish-Cascade</t>
  </si>
  <si>
    <t>Norrish-Cascade: Landslide Inventory (West Portion of Map)</t>
  </si>
  <si>
    <t>West half of map. See L05-1420 for complete scan.</t>
  </si>
  <si>
    <t>B01-4973</t>
  </si>
  <si>
    <t>Norrish-Cascade: Landslide Inventory (East Portion of Map)</t>
  </si>
  <si>
    <t>East half of map. See L05-1420 for complete scan.</t>
  </si>
  <si>
    <t>B01-4974</t>
  </si>
  <si>
    <t>Norrish-Cascade: Terrain (East Portion of Map)</t>
  </si>
  <si>
    <t>B01-4975</t>
  </si>
  <si>
    <t>Norrish-Cascade: Terrain (West Portion of Map)</t>
  </si>
  <si>
    <t>B01-4976</t>
  </si>
  <si>
    <t>Norrish-Cascade: Clearcut Landslide and Introduced Landslide Debris Rating (East Portion of Map)</t>
  </si>
  <si>
    <t>B01-4977</t>
  </si>
  <si>
    <t>Norrish-Cascade: Clearcut Landslide and Introduced Landslide Debris Rating (West Portion of Map)</t>
  </si>
  <si>
    <t>B01-4978</t>
  </si>
  <si>
    <t>Goat River/Milk River: Thalweg and Cross-Section Sketches</t>
  </si>
  <si>
    <t>B02-4903</t>
  </si>
  <si>
    <t>092E14</t>
  </si>
  <si>
    <t>Terrain: Port Eliza</t>
  </si>
  <si>
    <t>B02-4904</t>
  </si>
  <si>
    <t>092E16</t>
  </si>
  <si>
    <t>Terrain: Gold River</t>
  </si>
  <si>
    <t>B02-4905</t>
  </si>
  <si>
    <t>092F02</t>
  </si>
  <si>
    <t>Alberni Inlet: Landforms</t>
  </si>
  <si>
    <t>B02-4906</t>
  </si>
  <si>
    <t>Terrain: Effingham</t>
  </si>
  <si>
    <t>B02-4908</t>
  </si>
  <si>
    <t>Terrain: Haslam Lake</t>
  </si>
  <si>
    <t>B02-4909</t>
  </si>
  <si>
    <t>092I/SE</t>
  </si>
  <si>
    <t>Ashcroft: Soils and Landforms</t>
  </si>
  <si>
    <t>B02-4910</t>
  </si>
  <si>
    <t>B02-4911</t>
  </si>
  <si>
    <t>092K02</t>
  </si>
  <si>
    <t>Terrain: Redonda Island</t>
  </si>
  <si>
    <t>B02-4912</t>
  </si>
  <si>
    <t>092K03</t>
  </si>
  <si>
    <t>Terrain: Quadra Island</t>
  </si>
  <si>
    <t>B02-4914</t>
  </si>
  <si>
    <t>093D07</t>
  </si>
  <si>
    <t>Bella Coola: Surficial Geology &amp; Landforms</t>
  </si>
  <si>
    <t>B02-4915</t>
  </si>
  <si>
    <t>093D08</t>
  </si>
  <si>
    <t>Stuie: Surficial Geology &amp; Landforms</t>
  </si>
  <si>
    <t>B02-4916</t>
  </si>
  <si>
    <t>093I01</t>
  </si>
  <si>
    <t>Terrain: Jarvis Lakes</t>
  </si>
  <si>
    <t>B02-4917</t>
  </si>
  <si>
    <t>093I02</t>
  </si>
  <si>
    <t>Terrain: Herrick Creek</t>
  </si>
  <si>
    <t>B02-4919</t>
  </si>
  <si>
    <t>093I08</t>
  </si>
  <si>
    <t>Terrain: Narraway River</t>
  </si>
  <si>
    <t>B02-4920</t>
  </si>
  <si>
    <t>093I13</t>
  </si>
  <si>
    <t>Terrain: Sentinel Peak</t>
  </si>
  <si>
    <t>B02-4921</t>
  </si>
  <si>
    <t>Terrain: Kinuseo Falls</t>
  </si>
  <si>
    <t>B02-4922</t>
  </si>
  <si>
    <t>Terrain: Kinuseo Creek</t>
  </si>
  <si>
    <t>B02-4923</t>
  </si>
  <si>
    <t>093I16</t>
  </si>
  <si>
    <t>Terrain: South Redwillow River</t>
  </si>
  <si>
    <t>B02-4924</t>
  </si>
  <si>
    <t>104B</t>
  </si>
  <si>
    <t>Stikine-Iskut Area: Terrain Materials</t>
  </si>
  <si>
    <t>B02-4925</t>
  </si>
  <si>
    <t>Terrain Features: Stikine-Iskut Area</t>
  </si>
  <si>
    <t>B02-4926</t>
  </si>
  <si>
    <t>Stikine-Iskut Area: Geological Hazards</t>
  </si>
  <si>
    <t>B02-4927</t>
  </si>
  <si>
    <t>104N05</t>
  </si>
  <si>
    <t>Terrain: Teresa Island</t>
  </si>
  <si>
    <t>B03-4952</t>
  </si>
  <si>
    <t>092F099</t>
  </si>
  <si>
    <t>Haslam Lake: Terrain Hazards</t>
  </si>
  <si>
    <t>B03-4953</t>
  </si>
  <si>
    <t>092G06</t>
  </si>
  <si>
    <t>Grouse Mountain Area: Terrain</t>
  </si>
  <si>
    <t>Enlarged from 1:50000 scale base map.</t>
  </si>
  <si>
    <t>B03-4954</t>
  </si>
  <si>
    <t>092G06b</t>
  </si>
  <si>
    <t>Lower Cypress Bowl: Terrain</t>
  </si>
  <si>
    <t>B03-4955</t>
  </si>
  <si>
    <t>Potlatch Creek: Terrain (Interim)</t>
  </si>
  <si>
    <t>B03-4956</t>
  </si>
  <si>
    <t>092J12</t>
  </si>
  <si>
    <t>Terrain: Mount Dalgleish</t>
  </si>
  <si>
    <t>B03-4957</t>
  </si>
  <si>
    <t>092F15</t>
  </si>
  <si>
    <t>Terrain: Powell River (East Half of Map Only)</t>
  </si>
  <si>
    <t>B03-4958</t>
  </si>
  <si>
    <t>103P081</t>
  </si>
  <si>
    <t>Marmot River Delta Study: Terrain</t>
  </si>
  <si>
    <t>B03-4959</t>
  </si>
  <si>
    <t>092F10</t>
  </si>
  <si>
    <t>Terrain: Comox (Texeda Island Only)</t>
  </si>
  <si>
    <t>B03-4960</t>
  </si>
  <si>
    <t>092F09</t>
  </si>
  <si>
    <t>Terrain: Texada Island</t>
  </si>
  <si>
    <t>B03-4961</t>
  </si>
  <si>
    <t>092H025</t>
  </si>
  <si>
    <t>Skagit Valley Recreation Area: Terrain</t>
  </si>
  <si>
    <t>B03-4962</t>
  </si>
  <si>
    <t>092H015</t>
  </si>
  <si>
    <t>B03-4963</t>
  </si>
  <si>
    <t>B03-4964</t>
  </si>
  <si>
    <t>092H014</t>
  </si>
  <si>
    <t>B03-4965</t>
  </si>
  <si>
    <t>092H005</t>
  </si>
  <si>
    <t>B03-4979</t>
  </si>
  <si>
    <t>Meager Creek: Surficial Geology</t>
  </si>
  <si>
    <t>B03-4980</t>
  </si>
  <si>
    <t>Meager Creek: Hazards</t>
  </si>
  <si>
    <t>B03-4985</t>
  </si>
  <si>
    <t>Smoky Creek-Falls Creek: Potential Introduced Rapid Mass Movement Rating</t>
  </si>
  <si>
    <t>B03-4986</t>
  </si>
  <si>
    <t>Smoky Creek-Falls Creek: Terrain Unit Index</t>
  </si>
  <si>
    <t>B03-4989</t>
  </si>
  <si>
    <t>094B01</t>
  </si>
  <si>
    <t>Butler Ridge: Terrain (Sw Corner of Map Only)</t>
  </si>
  <si>
    <t>B03-4990</t>
  </si>
  <si>
    <t>Terrain: Mount Hulcross</t>
  </si>
  <si>
    <t>B03-4991</t>
  </si>
  <si>
    <t>Terrain: Portage Mountain</t>
  </si>
  <si>
    <t>B03-4992</t>
  </si>
  <si>
    <t>093P07</t>
  </si>
  <si>
    <t>Terrain: Sundown Creek</t>
  </si>
  <si>
    <t>B03-4994</t>
  </si>
  <si>
    <t>083D01</t>
  </si>
  <si>
    <t>Project - Cummins River</t>
  </si>
  <si>
    <t>Cummins River: Terrain Units</t>
  </si>
  <si>
    <t>B03-4995</t>
  </si>
  <si>
    <t>Cummins River: Study Area Bdy</t>
  </si>
  <si>
    <t>B03-4998</t>
  </si>
  <si>
    <t>Cummins River: Road Associated Problems</t>
  </si>
  <si>
    <t>B03-4999</t>
  </si>
  <si>
    <t>Cummins River: Mass Movement</t>
  </si>
  <si>
    <t>B03-5000</t>
  </si>
  <si>
    <t>Cummins River: Gravel Source and Subgrade</t>
  </si>
  <si>
    <t>B03-5001</t>
  </si>
  <si>
    <t>Cummins River: Surface Movement</t>
  </si>
  <si>
    <t>B04-4868</t>
  </si>
  <si>
    <t>PDF</t>
  </si>
  <si>
    <t>Broad Vegetation Cover Types For The Stikine-Iskut Study Area – Iskut River</t>
  </si>
  <si>
    <t>B04-4869</t>
  </si>
  <si>
    <t>Soil - Iskut</t>
  </si>
  <si>
    <t>Soil Landscape For The Iskut Map Area</t>
  </si>
  <si>
    <t>B04-4870</t>
  </si>
  <si>
    <t>Broad Vegetation Cover Types For The Stikine-Iskut Study Area - Sumdum</t>
  </si>
  <si>
    <t>B04-4871</t>
  </si>
  <si>
    <t>Broad Vegetation Cover Types For The Stikine-Iskut Study Area – Telegraph Creek</t>
  </si>
  <si>
    <t>B04-4872</t>
  </si>
  <si>
    <t>104J</t>
  </si>
  <si>
    <t>Terrain Features: Stikine-Iskut Area (Dease Lake)</t>
  </si>
  <si>
    <t>B04-4873</t>
  </si>
  <si>
    <t>Stikine-Iskut Area (Dease Lake): Terrain Materials</t>
  </si>
  <si>
    <t>B04-4874</t>
  </si>
  <si>
    <t>092I09</t>
  </si>
  <si>
    <t>Soil - Separation Lake</t>
  </si>
  <si>
    <t>Separation Lake: Soils (Mylar Overlay)-Partial Map</t>
  </si>
  <si>
    <t>B04-4875</t>
  </si>
  <si>
    <t>Broad Vegetation Cover Types For The Stikine-Iskut Study Area - Spatsizi</t>
  </si>
  <si>
    <t>B04-4876</t>
  </si>
  <si>
    <t>Spatsizi - Geological Hazards Legend For The Stikine-Iskut Area</t>
  </si>
  <si>
    <t>Army/ RCAF: 1949/54. Corrections: 1974</t>
  </si>
  <si>
    <t>B04-4877</t>
  </si>
  <si>
    <t>Telegraph Creek - Geological Hazards Legend For The Stikine-Iskut Area</t>
  </si>
  <si>
    <t>Army/ RCAF: 1949/54. Minor Rev: 1969. Printed 1974.</t>
  </si>
  <si>
    <t>B04-4878</t>
  </si>
  <si>
    <t>104I</t>
  </si>
  <si>
    <t>Cry Lake Biophysical Inventory</t>
  </si>
  <si>
    <t>B04-4881</t>
  </si>
  <si>
    <t>Vegetation Zones of The  Dease Lake Map Area</t>
  </si>
  <si>
    <t>Prod. 1969. Copyright 1977</t>
  </si>
  <si>
    <t>B04-4884</t>
  </si>
  <si>
    <t>Sumdum - Broad Vegetation Cover Types For The Stikine Iskut Study Area</t>
  </si>
  <si>
    <t>B04-4886</t>
  </si>
  <si>
    <t>093M031</t>
  </si>
  <si>
    <t>Ecosystem Mapping of The Date Creek Silvicultural Systems Research Area, Prince Rupert Forest Region</t>
  </si>
  <si>
    <t>B04-4887</t>
  </si>
  <si>
    <t>092H03</t>
  </si>
  <si>
    <t>Skagit Valley Recreational Area Biophysical Habitat Inventory</t>
  </si>
  <si>
    <t>MOF 81 &amp; 89. MOE 1986. H. Hamilton Ltd. 1991</t>
  </si>
  <si>
    <t>B04-4888</t>
  </si>
  <si>
    <t>Dewdrop-Tranquille River Vegetation Zonation &amp;  Veg Landscapes</t>
  </si>
  <si>
    <t>B04-4889</t>
  </si>
  <si>
    <t>Northwest – Klappan Area: Habitat Map, ++Vegetation &amp; Soils Landscape</t>
  </si>
  <si>
    <t>B04-4890</t>
  </si>
  <si>
    <t>Project - Separation Lake</t>
  </si>
  <si>
    <t>Separation Lake – Base Map</t>
  </si>
  <si>
    <t>B04-4891</t>
  </si>
  <si>
    <t>Separation Lake – Map 1 Soils</t>
  </si>
  <si>
    <t>B04-4892</t>
  </si>
  <si>
    <t>Separation Lake – Map 2 Slope Ranges</t>
  </si>
  <si>
    <t>B04-4893</t>
  </si>
  <si>
    <t>Separation Lake – Map 3 Consumptive Use Irrigation Requirements</t>
  </si>
  <si>
    <t>B04-4898</t>
  </si>
  <si>
    <t>Broughton Archipelago Marine Park – Knight Inlet: Bioterrain Map</t>
  </si>
  <si>
    <t>B04-5005</t>
  </si>
  <si>
    <t>104A</t>
  </si>
  <si>
    <t>Project - Mt. Klappan</t>
  </si>
  <si>
    <t>Generalized Terrain Analysis: Mt. Klappan Access Road - Environmental Assessment: Appendix 3 To Main Report Volume Iii (13 Aerial Maps) - Cover Sheet</t>
  </si>
  <si>
    <t>B04-5006</t>
  </si>
  <si>
    <t>Generalized Terrain Analysis: Mt. Klappan Access Road - Terrain Legend</t>
  </si>
  <si>
    <t>B04-5007</t>
  </si>
  <si>
    <t>Generalized Terrain: Mt. Klappan Access Road - Sheet 1 of 10</t>
  </si>
  <si>
    <t>B04-5008</t>
  </si>
  <si>
    <t>Generalized Terrain: Mt. Klappan Access Road - Sheet 2 of 10</t>
  </si>
  <si>
    <t>B04-5009</t>
  </si>
  <si>
    <t>Generalized Terrain: Mt. Klappan Access Road - Sheet 3 of 10</t>
  </si>
  <si>
    <t>B04-5010</t>
  </si>
  <si>
    <t>Generalized Terrain: Mt. Klappan Access Road - Sheet 4 of 10</t>
  </si>
  <si>
    <t>B04-5011</t>
  </si>
  <si>
    <t>Generalized Terrain: Mt. Klappan Access Road - Sheet 5 of 10</t>
  </si>
  <si>
    <t>B04-5012</t>
  </si>
  <si>
    <t>Generalized Terrain: Mt. Klappan Access Road - Sheet 6 of 10</t>
  </si>
  <si>
    <t>B04-5013</t>
  </si>
  <si>
    <t>Generalized Terrain: Mt. Klappan Access Road - Sheet 7 of 10</t>
  </si>
  <si>
    <t>B04-5014</t>
  </si>
  <si>
    <t>Generalized Terrain: Mt. Klappan Access Road - Sheet 8 of 10</t>
  </si>
  <si>
    <t>B04-5015</t>
  </si>
  <si>
    <t>Generalized Terrain: Mt. Klappan Access Road - Sheet 9 of 10</t>
  </si>
  <si>
    <t>B04-5016</t>
  </si>
  <si>
    <t>Generalized Terrain: Mt. Klappan Access Road - Sheet 10 of 10</t>
  </si>
  <si>
    <t>B04-5017</t>
  </si>
  <si>
    <t>Generalized Terrain: Mt. Klappan Access Road - Sheet 11 of 13</t>
  </si>
  <si>
    <t>B04-5018</t>
  </si>
  <si>
    <t>Generalized Terrain: Mt. Klappan Access Road - Sheet 12 of 13</t>
  </si>
  <si>
    <t>B04-5019</t>
  </si>
  <si>
    <t>Generalized Terrain: Mt. Klappan Access Road - Sheet 13 of 13</t>
  </si>
  <si>
    <t>B04-5125</t>
  </si>
  <si>
    <t>Preliminary Terrain Analysis: Mt. Klappan Access Road - Environmental Assessment: Appendix 1 To Main Report Volume Iii - Cover Sheet</t>
  </si>
  <si>
    <t>B04-5126</t>
  </si>
  <si>
    <t>104A/NE</t>
  </si>
  <si>
    <t>Mt. Klappan - Sheet Index</t>
  </si>
  <si>
    <t>B04-5127</t>
  </si>
  <si>
    <t>Preliminary Terrain Analysis: Mt. Klappan Access Road - Terrain Legend</t>
  </si>
  <si>
    <t>B04-5128</t>
  </si>
  <si>
    <t>104A086</t>
  </si>
  <si>
    <t>Terrain: Mt. Klappan Access Road (Bell Irving-Konigus-Nass Route) - Sheet 20E</t>
  </si>
  <si>
    <t>B04-5129</t>
  </si>
  <si>
    <t>Terrain: Mt. Klappan Access Road (Bell Irving-Konigus-Nass Route) - Sheet 20W</t>
  </si>
  <si>
    <t>B04-5130</t>
  </si>
  <si>
    <t>104A085</t>
  </si>
  <si>
    <t>Terrain: Mt. Klappan Access Road (Bell Irving-Konigus-Nass Route) - Sheet 21E</t>
  </si>
  <si>
    <t>B04-5131</t>
  </si>
  <si>
    <t>Terrain: Mt. Klappan Access Road (Bell Irving-Konigus-Nass Route) - Sheet 21W</t>
  </si>
  <si>
    <t>B04-5132</t>
  </si>
  <si>
    <t>Terrain: Mt. Klappan Access Road (Bell Irving-Konigus-Nass Route) - Sheet 22E</t>
  </si>
  <si>
    <t>B04-5133</t>
  </si>
  <si>
    <t>Terrain: Mt. Klappan Access Road (Bell Irving-Konigus-Nass Route) - Sheet 22W</t>
  </si>
  <si>
    <t>B04-5134</t>
  </si>
  <si>
    <t>104A094</t>
  </si>
  <si>
    <t>Terrain: Mt. Klappan Access Road (Bell Irving-Konigus-Nass Route) - Sheet 23E</t>
  </si>
  <si>
    <t>B04-5135</t>
  </si>
  <si>
    <t>Terrain: Mt. Klappan Access Road (Bell Irving-Konigus-Nass Route) - Sheet 23W</t>
  </si>
  <si>
    <t>B04-5136</t>
  </si>
  <si>
    <t>Terrain: Mt. Klappan Access Road (Bell Irving-Konigus-Nass Route) - Sheet 24E</t>
  </si>
  <si>
    <t>B04-5137</t>
  </si>
  <si>
    <t>Terrain: Mt. Klappan Access Road (Bell Irving-Konigus-Nass Route) - Sheet 24W</t>
  </si>
  <si>
    <t>B04-5138</t>
  </si>
  <si>
    <t>104A093</t>
  </si>
  <si>
    <t>Terrain: Mt. Klappan Access Road (Bell Irving-Konigus-Nass Route) - Sheet 25E</t>
  </si>
  <si>
    <t>B04-5139</t>
  </si>
  <si>
    <t>Terrain: Mt. Klappan Access Road (Bell Irving-Konigus-Nass Route) - Sheet 25W</t>
  </si>
  <si>
    <t>B04-5140</t>
  </si>
  <si>
    <t>Terrain: Mt. Klappan Access Road (Bell Irving-Konigus-Nass Route) - Sheet 26E</t>
  </si>
  <si>
    <t>B04-5141</t>
  </si>
  <si>
    <t>Terrain: Mt. Klappan Access Road (Bell Irving-Konigus-Nass Route) - Sheet 26W</t>
  </si>
  <si>
    <t>B04-5142</t>
  </si>
  <si>
    <t>104A083</t>
  </si>
  <si>
    <t>Terrain: Mt. Klappan Access Road (Bell Irving-Konigus-Nass Route) - Sheet 27E</t>
  </si>
  <si>
    <t>B04-5143</t>
  </si>
  <si>
    <t>104A082</t>
  </si>
  <si>
    <t>Terrain: Mt. Klappan Access Road (Bell Irving-Konigus-Nass Route) - Sheet 27W</t>
  </si>
  <si>
    <t>B04-5144</t>
  </si>
  <si>
    <t>Terrain: Mt. Klappan Access Road (Bell Irving-Konigus-Nass Route) - Sheet 28E</t>
  </si>
  <si>
    <t>B04-5145</t>
  </si>
  <si>
    <t>Terrain: Mt. Klappan Access Road (Bell Irving-Konigus-Nass Route) - Sheet 28W</t>
  </si>
  <si>
    <t>B04-5146</t>
  </si>
  <si>
    <t>104A072</t>
  </si>
  <si>
    <t>Terrain: Mt. Klappan Access Road (Bell Irving-Konigus-Nass Route) - Sheet 29E</t>
  </si>
  <si>
    <t>B04-5147</t>
  </si>
  <si>
    <t>Terrain: Mt. Klappan Access Road (Bell Irving-Konigus-Nass Route) - Sheet 29W</t>
  </si>
  <si>
    <t>B04-5148</t>
  </si>
  <si>
    <t>Terrain: Mt. Klappan Access Road (Bell Irving-Konigus-Nass Route) - Sheet 30E</t>
  </si>
  <si>
    <t>B04-5149</t>
  </si>
  <si>
    <t>Terrain: Mt. Klappan Access Road (Bell Irving-Konigus-Nass Route) - Sheet 30W</t>
  </si>
  <si>
    <t>B04-5150</t>
  </si>
  <si>
    <t>Terrain: Mt. Klappan Access Road (Bell Irving-Konigus-Nass Route) - Sheet 31N</t>
  </si>
  <si>
    <t>B04-5151</t>
  </si>
  <si>
    <t>Terrain: Mt. Klappan Access Road (Bell Irving-Konigus-Nass Route) - Sheet 31S</t>
  </si>
  <si>
    <t>B04-5152</t>
  </si>
  <si>
    <t>104A096</t>
  </si>
  <si>
    <t>Terrain: Mt. Klappan Access Road (Bell Irving-Konigus-Nass Route) - Sheet 32N</t>
  </si>
  <si>
    <t>B04-5153</t>
  </si>
  <si>
    <t>Terrain: Mt. Klappan Access Road (Bell Irving-Konigus-Nass Route) - Sheet 32S</t>
  </si>
  <si>
    <t>B04-5154</t>
  </si>
  <si>
    <t>104H006</t>
  </si>
  <si>
    <t>Terrain: Mt. Klappan Access Road (Bell Irving-Konigus-Nass Route) - Sheet 33N</t>
  </si>
  <si>
    <t>B04-5155</t>
  </si>
  <si>
    <t>Terrain: Mt. Klappan Access Road (Bell Irving-Konigus-Nass Route) - Sheet 33S</t>
  </si>
  <si>
    <t>B04-5156</t>
  </si>
  <si>
    <t>104H005</t>
  </si>
  <si>
    <t>Terrain: Mt. Klappan Access Road (Bell Irving-Konigus-Nass Route) - Sheet 34N</t>
  </si>
  <si>
    <t>B04-5157</t>
  </si>
  <si>
    <t>Terrain: Mt. Klappan Access Road (Bell Irving-Konigus-Nass Route) - Sheet 34S</t>
  </si>
  <si>
    <t>B04-5158</t>
  </si>
  <si>
    <t>104H015</t>
  </si>
  <si>
    <t>Terrain: Mt. Klappan Access Road (Bell Irving-Konigus-Nass Route) - Sheet 35N</t>
  </si>
  <si>
    <t>B04-5159</t>
  </si>
  <si>
    <t>Terrain: Mt. Klappan Access Road (Bell Irving-Konigus-Nass Route) - Sheet 35S</t>
  </si>
  <si>
    <t>B04-5160</t>
  </si>
  <si>
    <t>Terrain: Mt. Klappan Access Road (Bell Irving-Konigus-Nass Route) - Sheet 36N</t>
  </si>
  <si>
    <t>B04-5161</t>
  </si>
  <si>
    <t>Terrain: Mt. Klappan Access Road (Bell Irving-Konigus-Nass Route) - Sheet 36S</t>
  </si>
  <si>
    <t>B04-5162</t>
  </si>
  <si>
    <t>104H025</t>
  </si>
  <si>
    <t>Terrain: Mt. Klappan Access Road (Bell Irving-Konigus-Nass Route) - Sheet 37N</t>
  </si>
  <si>
    <t>B04-5163</t>
  </si>
  <si>
    <t>Terrain: Mt. Klappan Access Road (Bell Irving-Konigus-Nass Route) - Sheet 37S</t>
  </si>
  <si>
    <t>B04-5164</t>
  </si>
  <si>
    <t>104H026</t>
  </si>
  <si>
    <t>Terrain: Mt. Klappan Access Road (Bell Irving-Konigus-Nass Route) - Sheet 38E</t>
  </si>
  <si>
    <t>B04-5165</t>
  </si>
  <si>
    <t>Terrain: Mt. Klappan Access Road (Bell Irving-Konigus-Nass Route) - Sheet 38W</t>
  </si>
  <si>
    <t>B04-5166</t>
  </si>
  <si>
    <t>Terrain: Mt. Klappan Access Road (Bell Irving-Konigus-Nass Route) - Sheet 39E</t>
  </si>
  <si>
    <t>B04-5167</t>
  </si>
  <si>
    <t>Terrain: Mt. Klappan Access Road (Bell Irving-Konigus-Nass Route) - Sheet 39W</t>
  </si>
  <si>
    <t>B04-5168</t>
  </si>
  <si>
    <t>Mt. Klappan (Sweeney Creek Extension) - Sheet Index</t>
  </si>
  <si>
    <t>B04-5169</t>
  </si>
  <si>
    <t>Terrain: Mt. Klappan (Sweeney Creek Extension) - Sheet 1 of 10</t>
  </si>
  <si>
    <t>B04-5170</t>
  </si>
  <si>
    <t>104H004</t>
  </si>
  <si>
    <t>Terrain: Mt. Klappan (Sweeney Creek Extension) - Sheet 2 of 10</t>
  </si>
  <si>
    <t>B04-5171</t>
  </si>
  <si>
    <t>Terrain: Mt. Klappan (Sweeney Creek Extension) - Sheet 3 of 10</t>
  </si>
  <si>
    <t>B04-5172</t>
  </si>
  <si>
    <t>Terrain: Mt. Klappan (Sweeney Creek Extension) - Sheet 4 of 10</t>
  </si>
  <si>
    <t>B04-5173</t>
  </si>
  <si>
    <t>Terrain: Mt. Klappan (Sweeney Creek Extension) - Sheet 5 of 10</t>
  </si>
  <si>
    <t>B04-5174</t>
  </si>
  <si>
    <t>104H014</t>
  </si>
  <si>
    <t>Terrain: Mt. Klappan (Sweeney Creek Extension) - Sheet 6 of 10</t>
  </si>
  <si>
    <t>B04-5175</t>
  </si>
  <si>
    <t>Terrain: Mt. Klappan (Sweeney Creek Extension) - Sheet 7 of 10</t>
  </si>
  <si>
    <t>B04-5176</t>
  </si>
  <si>
    <t>Terrain: Mt. Klappan (Sweeney Creek Extension) - Sheet 8 of 10</t>
  </si>
  <si>
    <t>B04-5177</t>
  </si>
  <si>
    <t>Terrain: Mt. Klappan (Sweeney Creek Extension) - Sheet 9 of 10</t>
  </si>
  <si>
    <t>B04-5178</t>
  </si>
  <si>
    <t>Terrain: Mt. Klappan (Sweeney Creek Extension) - Sheet 10 of 10</t>
  </si>
  <si>
    <t>B05-4894</t>
  </si>
  <si>
    <t>092C049</t>
  </si>
  <si>
    <t>Western Forest Products-Jordan River Tfl 25 Blk.1-Ecosystems –Terrain Classification</t>
  </si>
  <si>
    <t>B05-4895</t>
  </si>
  <si>
    <t>092C050</t>
  </si>
  <si>
    <t>B05-4896</t>
  </si>
  <si>
    <t>092C059</t>
  </si>
  <si>
    <t>B05-4897</t>
  </si>
  <si>
    <t>092C060</t>
  </si>
  <si>
    <t>B06-5179</t>
  </si>
  <si>
    <t>082M01</t>
  </si>
  <si>
    <t>Mount Revelstoke: Surficial Geology and Topography</t>
  </si>
  <si>
    <t>1975-02</t>
  </si>
  <si>
    <t>B06-5180</t>
  </si>
  <si>
    <t>082M03</t>
  </si>
  <si>
    <t>Albas: Surficial Geology and Topography</t>
  </si>
  <si>
    <t>B06-5181</t>
  </si>
  <si>
    <t>082M05</t>
  </si>
  <si>
    <t>Barriere Lakes: Surficial Geology and Topography</t>
  </si>
  <si>
    <t>B06-5182</t>
  </si>
  <si>
    <t>082M06</t>
  </si>
  <si>
    <t>Cayenne Creek: Surficial Geology and Topography</t>
  </si>
  <si>
    <t>B06-5183</t>
  </si>
  <si>
    <t>082M07</t>
  </si>
  <si>
    <t>Ratchford Creek: Surficial Geology and Topography</t>
  </si>
  <si>
    <t>B06-5184</t>
  </si>
  <si>
    <t>082M08</t>
  </si>
  <si>
    <t>Downie Creek: Surficial Geology and Topography</t>
  </si>
  <si>
    <t>B06-5185</t>
  </si>
  <si>
    <t>093F12</t>
  </si>
  <si>
    <t>Murray-Cheslatta Biophysical Project: Terrain (Surficial Geology and Soil Drainage)--Partial Map</t>
  </si>
  <si>
    <t>B06-5186</t>
  </si>
  <si>
    <t>093H14</t>
  </si>
  <si>
    <t>Soils &amp; Landforms (Terrain) Pub In "Soils of The Barkerville Area, British Columbia" - Penny</t>
  </si>
  <si>
    <t>B06-5187</t>
  </si>
  <si>
    <t>093I09</t>
  </si>
  <si>
    <t>Belcourt Creek: Surficial Geology</t>
  </si>
  <si>
    <t>B06-5188</t>
  </si>
  <si>
    <t>093P09</t>
  </si>
  <si>
    <t>Quaternary Geology and Landforms of The Dawson Creek Region, British Columbia (Bcgs of 1993-29) Sheet 1 of 4</t>
  </si>
  <si>
    <t>B06-5189</t>
  </si>
  <si>
    <t>093P10</t>
  </si>
  <si>
    <t>Quaternary Geology and Landforms of The Dawson Creek Region, British Columbia (Bcgs of 1993-29) Sheet 2 of 4</t>
  </si>
  <si>
    <t>B06-5190</t>
  </si>
  <si>
    <t>093P15</t>
  </si>
  <si>
    <t>Quaternary Geology and Landforms of The Dawson Creek Region, British Columbia (Bcgs of 1993-29) Sheet 3 of 4</t>
  </si>
  <si>
    <t>B06-5191</t>
  </si>
  <si>
    <t>093P16</t>
  </si>
  <si>
    <t>Quaternary Geology and Landforms of The Dawson Creek Region, British Columbia (Bcgs of 1993-29) Sheet 4 of 4</t>
  </si>
  <si>
    <t>B06-5192</t>
  </si>
  <si>
    <t>103F07</t>
  </si>
  <si>
    <t>Rennell Sound Map Area (Qci): Figure 11A On Site Symbols--Parts of 103F/07, 08, 09, 10</t>
  </si>
  <si>
    <t>B06-5193</t>
  </si>
  <si>
    <t>103F14</t>
  </si>
  <si>
    <t>Eden Lake Map Area (Qci): Figure 11B On Site Symbols--Parts of 103F/14, 15 and 103K/02, 03</t>
  </si>
  <si>
    <t>B06-5194</t>
  </si>
  <si>
    <t>Rennell Sound Map Area (Qci): Figure 15 Surficial Materials and Modifying Processes--Parts of 103F/07, 08, 09, 10</t>
  </si>
  <si>
    <t>B06-5195</t>
  </si>
  <si>
    <t>Eden Lake Map Area (Qci): Figure 16 Surficial Materials and Modifying Processes--Parts of 103F/14, 15 and 103K/02, 03</t>
  </si>
  <si>
    <t>B06-5196</t>
  </si>
  <si>
    <t>Rennell Sound Map Area (Qci): Figure 28 Slope Failure, Gullying and Avalanching--Parts of 103F/07, 08, 09, 10</t>
  </si>
  <si>
    <t>B06-5197</t>
  </si>
  <si>
    <t>Eden Lake Map Area (Qci): Figure 29 Slope Failure, Gullying and Avalanching--Parts of 103F/14, 15 and 103K/02, 03</t>
  </si>
  <si>
    <t>C02-2530</t>
  </si>
  <si>
    <t>093L/SE</t>
  </si>
  <si>
    <t>Agriculture Capability  No Legend  Use Published Map</t>
  </si>
  <si>
    <t>The published map is available from PRSSS at the following URL:</t>
  </si>
  <si>
    <t>C02-2570</t>
  </si>
  <si>
    <t>093M/SW</t>
  </si>
  <si>
    <t>C02-2613</t>
  </si>
  <si>
    <t>093O/NE</t>
  </si>
  <si>
    <t>C02-2672</t>
  </si>
  <si>
    <t>093P/NE</t>
  </si>
  <si>
    <t>C02-2676</t>
  </si>
  <si>
    <t>093P/NW</t>
  </si>
  <si>
    <t>C02-2681</t>
  </si>
  <si>
    <t>093P/SE</t>
  </si>
  <si>
    <t>C02-2686</t>
  </si>
  <si>
    <t>093P/SW</t>
  </si>
  <si>
    <t>C02-2719</t>
  </si>
  <si>
    <t>094A/NE</t>
  </si>
  <si>
    <t>C02-2723</t>
  </si>
  <si>
    <t>094A/NW</t>
  </si>
  <si>
    <t>C02-2727</t>
  </si>
  <si>
    <t>094A/SE</t>
  </si>
  <si>
    <t>C02-2731</t>
  </si>
  <si>
    <t>094A/SW</t>
  </si>
  <si>
    <t>C02-2753</t>
  </si>
  <si>
    <t>094B/NE</t>
  </si>
  <si>
    <t>C02-2758</t>
  </si>
  <si>
    <t>094B/SE</t>
  </si>
  <si>
    <t>C02-2787</t>
  </si>
  <si>
    <t>094H/SE</t>
  </si>
  <si>
    <t>C02-2790</t>
  </si>
  <si>
    <t>094H/SW</t>
  </si>
  <si>
    <t>C02-2806</t>
  </si>
  <si>
    <t>094J/NE</t>
  </si>
  <si>
    <t>C02-315</t>
  </si>
  <si>
    <t>082E01</t>
  </si>
  <si>
    <t>C02-318</t>
  </si>
  <si>
    <t>082E02</t>
  </si>
  <si>
    <t>C02-321</t>
  </si>
  <si>
    <t>082E03</t>
  </si>
  <si>
    <t>C02-324</t>
  </si>
  <si>
    <t>082E04</t>
  </si>
  <si>
    <t>C02-327</t>
  </si>
  <si>
    <t>082E05</t>
  </si>
  <si>
    <t>C02-330</t>
  </si>
  <si>
    <t>082E06</t>
  </si>
  <si>
    <t>C02-333</t>
  </si>
  <si>
    <t>082E07</t>
  </si>
  <si>
    <t>C02-336</t>
  </si>
  <si>
    <t>082E08</t>
  </si>
  <si>
    <t>C02-339</t>
  </si>
  <si>
    <t>082E09</t>
  </si>
  <si>
    <t>C02-341</t>
  </si>
  <si>
    <t>082E10</t>
  </si>
  <si>
    <t>C02-343</t>
  </si>
  <si>
    <t>082E11</t>
  </si>
  <si>
    <t>C02-346</t>
  </si>
  <si>
    <t>082E12</t>
  </si>
  <si>
    <t>C02-349</t>
  </si>
  <si>
    <t>082E13</t>
  </si>
  <si>
    <t>C02-352</t>
  </si>
  <si>
    <t>082E14</t>
  </si>
  <si>
    <t>C02-355</t>
  </si>
  <si>
    <t>082E15</t>
  </si>
  <si>
    <t>C02-357</t>
  </si>
  <si>
    <t>082E16</t>
  </si>
  <si>
    <t>C02-397</t>
  </si>
  <si>
    <t>082F01</t>
  </si>
  <si>
    <t>Soil Capability For Agriculture - Yahk</t>
  </si>
  <si>
    <t>C02-400</t>
  </si>
  <si>
    <t>082F02</t>
  </si>
  <si>
    <t>C02-403</t>
  </si>
  <si>
    <t>082F03</t>
  </si>
  <si>
    <t>C02-406</t>
  </si>
  <si>
    <t>082F04</t>
  </si>
  <si>
    <t>C02-409</t>
  </si>
  <si>
    <t>082F05</t>
  </si>
  <si>
    <t>C02-412</t>
  </si>
  <si>
    <t>082F06</t>
  </si>
  <si>
    <t>C02-415</t>
  </si>
  <si>
    <t>082F07</t>
  </si>
  <si>
    <t>C02-418</t>
  </si>
  <si>
    <t>082F08</t>
  </si>
  <si>
    <t>C02-421</t>
  </si>
  <si>
    <t>082F09</t>
  </si>
  <si>
    <t>C02-424</t>
  </si>
  <si>
    <t>082F10</t>
  </si>
  <si>
    <t>C02-427</t>
  </si>
  <si>
    <t>082F11</t>
  </si>
  <si>
    <t>C02-430</t>
  </si>
  <si>
    <t>082F12</t>
  </si>
  <si>
    <t>C02-433</t>
  </si>
  <si>
    <t>082F13</t>
  </si>
  <si>
    <t>C02-436</t>
  </si>
  <si>
    <t>082F14</t>
  </si>
  <si>
    <t>C02-439</t>
  </si>
  <si>
    <t>C02-442</t>
  </si>
  <si>
    <t>C02-5059</t>
  </si>
  <si>
    <t>Agriculture Capability No Legend</t>
  </si>
  <si>
    <t>C03-478</t>
  </si>
  <si>
    <t>C03-480</t>
  </si>
  <si>
    <t>C03-482</t>
  </si>
  <si>
    <t>C03-484</t>
  </si>
  <si>
    <t>C03-486</t>
  </si>
  <si>
    <t>C03-488</t>
  </si>
  <si>
    <t>C03-490</t>
  </si>
  <si>
    <t>082G07</t>
  </si>
  <si>
    <t>C03-493</t>
  </si>
  <si>
    <t>082G08</t>
  </si>
  <si>
    <t>C03-494</t>
  </si>
  <si>
    <t>082G10</t>
  </si>
  <si>
    <t>C03-496</t>
  </si>
  <si>
    <t>082G11</t>
  </si>
  <si>
    <t>C03-498</t>
  </si>
  <si>
    <t>082G12</t>
  </si>
  <si>
    <t>C03-500</t>
  </si>
  <si>
    <t>C03-502</t>
  </si>
  <si>
    <t>082G14</t>
  </si>
  <si>
    <t>C03-504</t>
  </si>
  <si>
    <t>082G15</t>
  </si>
  <si>
    <t>Agriculture Capability  B.C. Only</t>
  </si>
  <si>
    <t>C03-524</t>
  </si>
  <si>
    <t>082J02</t>
  </si>
  <si>
    <t>C03-526</t>
  </si>
  <si>
    <t>082J03</t>
  </si>
  <si>
    <t>C03-528</t>
  </si>
  <si>
    <t>C03-530</t>
  </si>
  <si>
    <t>C03-532</t>
  </si>
  <si>
    <t>082J06</t>
  </si>
  <si>
    <t>C03-535</t>
  </si>
  <si>
    <t>082J07</t>
  </si>
  <si>
    <t>C03-536</t>
  </si>
  <si>
    <t>082J10</t>
  </si>
  <si>
    <t>C03-538</t>
  </si>
  <si>
    <t>082J11</t>
  </si>
  <si>
    <t>C03-540</t>
  </si>
  <si>
    <t>082J12</t>
  </si>
  <si>
    <t>C03-560</t>
  </si>
  <si>
    <t>082K03</t>
  </si>
  <si>
    <t>C03-562</t>
  </si>
  <si>
    <t>082K04</t>
  </si>
  <si>
    <t>C03-564</t>
  </si>
  <si>
    <t>082K05</t>
  </si>
  <si>
    <t>C03-566</t>
  </si>
  <si>
    <t>082K06</t>
  </si>
  <si>
    <t>C03-568</t>
  </si>
  <si>
    <t>C03-570</t>
  </si>
  <si>
    <t>Agriculture Capability - Toby Creek - No Legend</t>
  </si>
  <si>
    <t>C03-572</t>
  </si>
  <si>
    <t>082K09</t>
  </si>
  <si>
    <t>Soil Capability For Agriculture - Radium Hot Springs - Vellum Sheet, Not Mylar</t>
  </si>
  <si>
    <t>C03-574</t>
  </si>
  <si>
    <t>082K10</t>
  </si>
  <si>
    <t>C03-576</t>
  </si>
  <si>
    <t>082K11</t>
  </si>
  <si>
    <t>C03-578</t>
  </si>
  <si>
    <t>082K12</t>
  </si>
  <si>
    <t>C03-580</t>
  </si>
  <si>
    <t>082K13</t>
  </si>
  <si>
    <t>C03-582</t>
  </si>
  <si>
    <t>082K14</t>
  </si>
  <si>
    <t>C03-584</t>
  </si>
  <si>
    <t>082K15</t>
  </si>
  <si>
    <t>Agriculture Capability  No Legend - Vellum Sheet</t>
  </si>
  <si>
    <t>C03-586</t>
  </si>
  <si>
    <t>082K16</t>
  </si>
  <si>
    <t>C03-751</t>
  </si>
  <si>
    <t>082L01</t>
  </si>
  <si>
    <t>C03-753</t>
  </si>
  <si>
    <t>082L02</t>
  </si>
  <si>
    <t>C03-755</t>
  </si>
  <si>
    <t>082L03</t>
  </si>
  <si>
    <t>C03-757</t>
  </si>
  <si>
    <t>082L04</t>
  </si>
  <si>
    <t>C03-759</t>
  </si>
  <si>
    <t>082L05</t>
  </si>
  <si>
    <t>C03-761</t>
  </si>
  <si>
    <t>082L06</t>
  </si>
  <si>
    <t>C03-763</t>
  </si>
  <si>
    <t>082L07</t>
  </si>
  <si>
    <t>C03-765</t>
  </si>
  <si>
    <t>082L08</t>
  </si>
  <si>
    <t>C03-767</t>
  </si>
  <si>
    <t>082L09</t>
  </si>
  <si>
    <t>C03-769</t>
  </si>
  <si>
    <t>082L10</t>
  </si>
  <si>
    <t>C03-771</t>
  </si>
  <si>
    <t>082L11</t>
  </si>
  <si>
    <t>C03-774</t>
  </si>
  <si>
    <t>082L12</t>
  </si>
  <si>
    <t>C03-777</t>
  </si>
  <si>
    <t>082L13</t>
  </si>
  <si>
    <t>C03-780</t>
  </si>
  <si>
    <t>082L14</t>
  </si>
  <si>
    <t>C03-783</t>
  </si>
  <si>
    <t>082L15</t>
  </si>
  <si>
    <t>C03-785</t>
  </si>
  <si>
    <t>082L16</t>
  </si>
  <si>
    <t>C03-806</t>
  </si>
  <si>
    <t>C03-808</t>
  </si>
  <si>
    <t>082M02</t>
  </si>
  <si>
    <t>C03-810</t>
  </si>
  <si>
    <t>C03-812</t>
  </si>
  <si>
    <t>082M04</t>
  </si>
  <si>
    <t>C03-814</t>
  </si>
  <si>
    <t>C03-816</t>
  </si>
  <si>
    <t>C03-818</t>
  </si>
  <si>
    <t>C03-820</t>
  </si>
  <si>
    <t>C03-822</t>
  </si>
  <si>
    <t>082M09</t>
  </si>
  <si>
    <t>C03-824</t>
  </si>
  <si>
    <t>082M10</t>
  </si>
  <si>
    <t>C03-826</t>
  </si>
  <si>
    <t>082M11</t>
  </si>
  <si>
    <t>C03-828</t>
  </si>
  <si>
    <t>082M12</t>
  </si>
  <si>
    <t>C03-830</t>
  </si>
  <si>
    <t>082M13</t>
  </si>
  <si>
    <t>C03-832</t>
  </si>
  <si>
    <t>082M14</t>
  </si>
  <si>
    <t>C03-834</t>
  </si>
  <si>
    <t>082M15</t>
  </si>
  <si>
    <t>C03-836</t>
  </si>
  <si>
    <t>082M16</t>
  </si>
  <si>
    <t>C03-870</t>
  </si>
  <si>
    <t>082N01</t>
  </si>
  <si>
    <t>C03-872</t>
  </si>
  <si>
    <t>082N02</t>
  </si>
  <si>
    <t>C03-890</t>
  </si>
  <si>
    <t>083D11</t>
  </si>
  <si>
    <t>C03-892</t>
  </si>
  <si>
    <t>083D14</t>
  </si>
  <si>
    <t>C03-902</t>
  </si>
  <si>
    <t>083E04</t>
  </si>
  <si>
    <t>C04-1056</t>
  </si>
  <si>
    <t>092B05</t>
  </si>
  <si>
    <t>C04-1060</t>
  </si>
  <si>
    <t>092B11</t>
  </si>
  <si>
    <t>C04-1062</t>
  </si>
  <si>
    <t>092B12</t>
  </si>
  <si>
    <t>Agriculture Capability  Part Sheet - E/2 Only  No Legend</t>
  </si>
  <si>
    <t>C04-1065</t>
  </si>
  <si>
    <t>092B13</t>
  </si>
  <si>
    <t>C04-1068</t>
  </si>
  <si>
    <t>092B14</t>
  </si>
  <si>
    <t>C04-1078</t>
  </si>
  <si>
    <t>092C08</t>
  </si>
  <si>
    <t>C04-1080</t>
  </si>
  <si>
    <t>092C09</t>
  </si>
  <si>
    <t>C04-1087</t>
  </si>
  <si>
    <t>092C16</t>
  </si>
  <si>
    <t>Agriculture Capability  Part Sheet - Se Only  No Legend</t>
  </si>
  <si>
    <t>C04-1302</t>
  </si>
  <si>
    <t>Agriculture Capability  Part Sheet - Ne Only</t>
  </si>
  <si>
    <t>C04-1304</t>
  </si>
  <si>
    <t>Agriculture Capability  Part Sheet - N/2 Only  No Legend</t>
  </si>
  <si>
    <t>C04-1310</t>
  </si>
  <si>
    <t>092F07</t>
  </si>
  <si>
    <t>C04-1312</t>
  </si>
  <si>
    <t>C04-1314</t>
  </si>
  <si>
    <t>C04-1315</t>
  </si>
  <si>
    <t>C04-1318</t>
  </si>
  <si>
    <t>092F11</t>
  </si>
  <si>
    <t>Agriculture Capability  Part Sheet - Ne Only  No Legend</t>
  </si>
  <si>
    <t>C04-1324</t>
  </si>
  <si>
    <t>092F14</t>
  </si>
  <si>
    <t>C04-1327</t>
  </si>
  <si>
    <t>C04-1330</t>
  </si>
  <si>
    <t>Agriculture Capability  Part Sheet - Sw Only  No Legend</t>
  </si>
  <si>
    <t>C04-1479</t>
  </si>
  <si>
    <t>092G01</t>
  </si>
  <si>
    <t>C04-1480</t>
  </si>
  <si>
    <t>092G02</t>
  </si>
  <si>
    <t>C04-1481</t>
  </si>
  <si>
    <t>092G03</t>
  </si>
  <si>
    <t>C04-1482</t>
  </si>
  <si>
    <t>092G04</t>
  </si>
  <si>
    <t>C04-1485</t>
  </si>
  <si>
    <t>C04-1488</t>
  </si>
  <si>
    <t>C04-1489</t>
  </si>
  <si>
    <t>C04-1491</t>
  </si>
  <si>
    <t>C04-1493</t>
  </si>
  <si>
    <t>Agriculture Capability  Part Sheet - S/2 Only  No Legend</t>
  </si>
  <si>
    <t>C04-1495</t>
  </si>
  <si>
    <t>C04-1498</t>
  </si>
  <si>
    <t>092G16</t>
  </si>
  <si>
    <t>C04-1657</t>
  </si>
  <si>
    <t>092H01</t>
  </si>
  <si>
    <t>Agriculture Capability - Ashnola - No Legend</t>
  </si>
  <si>
    <t>C04-1658</t>
  </si>
  <si>
    <t>092H02</t>
  </si>
  <si>
    <t>C04-1659</t>
  </si>
  <si>
    <t>C04-1660</t>
  </si>
  <si>
    <t>092H04</t>
  </si>
  <si>
    <t>C04-1661</t>
  </si>
  <si>
    <t>092H05</t>
  </si>
  <si>
    <t>C04-1662</t>
  </si>
  <si>
    <t>092H06</t>
  </si>
  <si>
    <t>C04-1663</t>
  </si>
  <si>
    <t>092H07</t>
  </si>
  <si>
    <t>C04-1664</t>
  </si>
  <si>
    <t>092H08</t>
  </si>
  <si>
    <t>C04-1665</t>
  </si>
  <si>
    <t>092H09</t>
  </si>
  <si>
    <t>C04-1666</t>
  </si>
  <si>
    <t>092H10</t>
  </si>
  <si>
    <t>C04-1667</t>
  </si>
  <si>
    <t>092H15</t>
  </si>
  <si>
    <t>C04-1668</t>
  </si>
  <si>
    <t>092H16</t>
  </si>
  <si>
    <t>C04-1745</t>
  </si>
  <si>
    <t>092I01</t>
  </si>
  <si>
    <t>C04-1748</t>
  </si>
  <si>
    <t>092I02</t>
  </si>
  <si>
    <t>C04-1751</t>
  </si>
  <si>
    <t>092I03</t>
  </si>
  <si>
    <t>C04-1753</t>
  </si>
  <si>
    <t>092I04</t>
  </si>
  <si>
    <t>C04-1755</t>
  </si>
  <si>
    <t>092I05</t>
  </si>
  <si>
    <t>C04-1758</t>
  </si>
  <si>
    <t>092I06</t>
  </si>
  <si>
    <t>C04-1761</t>
  </si>
  <si>
    <t>092I07</t>
  </si>
  <si>
    <t>C04-1764</t>
  </si>
  <si>
    <t>092I08</t>
  </si>
  <si>
    <t>C04-1767</t>
  </si>
  <si>
    <t>C04-1770</t>
  </si>
  <si>
    <t>092I10</t>
  </si>
  <si>
    <t>C04-1773</t>
  </si>
  <si>
    <t>092I11</t>
  </si>
  <si>
    <t>C04-1776</t>
  </si>
  <si>
    <t>092I12</t>
  </si>
  <si>
    <t>C04-1779</t>
  </si>
  <si>
    <t>092I13</t>
  </si>
  <si>
    <t>C04-1782</t>
  </si>
  <si>
    <t>092I14</t>
  </si>
  <si>
    <t>C04-1785</t>
  </si>
  <si>
    <t>092I15</t>
  </si>
  <si>
    <t>C04-1788</t>
  </si>
  <si>
    <t>092I16</t>
  </si>
  <si>
    <t>C04-1829</t>
  </si>
  <si>
    <t>092J02</t>
  </si>
  <si>
    <t>C04-1830</t>
  </si>
  <si>
    <t>C04-1831</t>
  </si>
  <si>
    <t>092J07</t>
  </si>
  <si>
    <t>C04-1832</t>
  </si>
  <si>
    <t>092J09</t>
  </si>
  <si>
    <t>C04-1833</t>
  </si>
  <si>
    <t>092J10</t>
  </si>
  <si>
    <t>C04-1834</t>
  </si>
  <si>
    <t>092J11</t>
  </si>
  <si>
    <t>C04-1835</t>
  </si>
  <si>
    <t>C04-1836</t>
  </si>
  <si>
    <t>092J16</t>
  </si>
  <si>
    <t>C04-1854</t>
  </si>
  <si>
    <t>Agriculture Capability  Part Sheet - W Only  No Legend</t>
  </si>
  <si>
    <t>C04-1855</t>
  </si>
  <si>
    <t>Agriculture Capability - Quadra Island - Part Sheet - S/2 Only  No Legend</t>
  </si>
  <si>
    <t>C04-1857</t>
  </si>
  <si>
    <t>Agriculture Capability - Salmon River - Part Sheet - N/2 Only  No Legend</t>
  </si>
  <si>
    <t>C04-1859</t>
  </si>
  <si>
    <t>Agriculture Capability - Sayward - Part Sheet - Sw Only  No Legend</t>
  </si>
  <si>
    <t>C04-1885</t>
  </si>
  <si>
    <t>C04-1886</t>
  </si>
  <si>
    <t>092L02</t>
  </si>
  <si>
    <t>Agriculture Capability  Part Sheet - Ne Only  No Legend - Vellum Sheet</t>
  </si>
  <si>
    <t>C04-1892</t>
  </si>
  <si>
    <t>092L07</t>
  </si>
  <si>
    <t>Agriculture Capability  Part Sheet - Sw Only  No Legend - Vellum Sheet</t>
  </si>
  <si>
    <t>C04-1927</t>
  </si>
  <si>
    <t>092O01</t>
  </si>
  <si>
    <t>C04-1929</t>
  </si>
  <si>
    <t>092O02</t>
  </si>
  <si>
    <t>C04-1931</t>
  </si>
  <si>
    <t>092O03</t>
  </si>
  <si>
    <t>C04-1933</t>
  </si>
  <si>
    <t>092O04</t>
  </si>
  <si>
    <t>C04-1935</t>
  </si>
  <si>
    <t>092O05</t>
  </si>
  <si>
    <t>C04-1937</t>
  </si>
  <si>
    <t>092O06</t>
  </si>
  <si>
    <t>C04-1939</t>
  </si>
  <si>
    <t>092O07</t>
  </si>
  <si>
    <t>C04-1941</t>
  </si>
  <si>
    <t>092O08</t>
  </si>
  <si>
    <t>C04-1943</t>
  </si>
  <si>
    <t>092O09</t>
  </si>
  <si>
    <t>C04-1945</t>
  </si>
  <si>
    <t>092O10</t>
  </si>
  <si>
    <t>C04-1947</t>
  </si>
  <si>
    <t>092O11</t>
  </si>
  <si>
    <t>C04-1949</t>
  </si>
  <si>
    <t>092O12</t>
  </si>
  <si>
    <t>C04-1951</t>
  </si>
  <si>
    <t>092O13</t>
  </si>
  <si>
    <t>C04-1953</t>
  </si>
  <si>
    <t>092O14</t>
  </si>
  <si>
    <t>C04-1955</t>
  </si>
  <si>
    <t>092O15</t>
  </si>
  <si>
    <t>C04-1957</t>
  </si>
  <si>
    <t>092O16</t>
  </si>
  <si>
    <t>C04-1995</t>
  </si>
  <si>
    <t>092P01</t>
  </si>
  <si>
    <t>C04-2008</t>
  </si>
  <si>
    <t>092P02</t>
  </si>
  <si>
    <t>C04-2010</t>
  </si>
  <si>
    <t>092P03</t>
  </si>
  <si>
    <t>C04-2012</t>
  </si>
  <si>
    <t>092P04</t>
  </si>
  <si>
    <t>C04-2014</t>
  </si>
  <si>
    <t>092P05</t>
  </si>
  <si>
    <t>C04-2016</t>
  </si>
  <si>
    <t>092P06</t>
  </si>
  <si>
    <t>C04-2018</t>
  </si>
  <si>
    <t>092P07</t>
  </si>
  <si>
    <t>C04-2020</t>
  </si>
  <si>
    <t>092P08</t>
  </si>
  <si>
    <t>C04-2022</t>
  </si>
  <si>
    <t>092P09</t>
  </si>
  <si>
    <t>C04-2024</t>
  </si>
  <si>
    <t>092P10</t>
  </si>
  <si>
    <t>C04-2026</t>
  </si>
  <si>
    <t>092P11</t>
  </si>
  <si>
    <t>C04-2028</t>
  </si>
  <si>
    <t>092P12</t>
  </si>
  <si>
    <t>C04-2030</t>
  </si>
  <si>
    <t>092P13</t>
  </si>
  <si>
    <t>C04-2032</t>
  </si>
  <si>
    <t>092P14</t>
  </si>
  <si>
    <t>C04-2034</t>
  </si>
  <si>
    <t>092P15</t>
  </si>
  <si>
    <t>C04-2036</t>
  </si>
  <si>
    <t>092P16</t>
  </si>
  <si>
    <t>C04-5060</t>
  </si>
  <si>
    <t>093K01</t>
  </si>
  <si>
    <t>C04-5061</t>
  </si>
  <si>
    <t>093K02</t>
  </si>
  <si>
    <t>C04-5062</t>
  </si>
  <si>
    <t>093K03</t>
  </si>
  <si>
    <t>C04-5063</t>
  </si>
  <si>
    <t>093K04</t>
  </si>
  <si>
    <t>C04-5064</t>
  </si>
  <si>
    <t>093K05</t>
  </si>
  <si>
    <t>C04-5065</t>
  </si>
  <si>
    <t>093K06</t>
  </si>
  <si>
    <t>C04-5066</t>
  </si>
  <si>
    <t>093K07</t>
  </si>
  <si>
    <t>C04-5067</t>
  </si>
  <si>
    <t>093K08</t>
  </si>
  <si>
    <t>C05-2093</t>
  </si>
  <si>
    <t>093A01</t>
  </si>
  <si>
    <t>Agriculture Capability  Part Sheet - W/2 Only  No Legend</t>
  </si>
  <si>
    <t>C05-2094</t>
  </si>
  <si>
    <t>093A02</t>
  </si>
  <si>
    <t>C05-2096</t>
  </si>
  <si>
    <t>093A03</t>
  </si>
  <si>
    <t>C05-2098</t>
  </si>
  <si>
    <t>093A04</t>
  </si>
  <si>
    <t>C05-2100</t>
  </si>
  <si>
    <t>093A05</t>
  </si>
  <si>
    <t>C05-2102</t>
  </si>
  <si>
    <t>093A06</t>
  </si>
  <si>
    <t>C05-2104</t>
  </si>
  <si>
    <t>093A07</t>
  </si>
  <si>
    <t>C05-2107</t>
  </si>
  <si>
    <t>093A08</t>
  </si>
  <si>
    <t>C05-2139</t>
  </si>
  <si>
    <t>093B02</t>
  </si>
  <si>
    <t>C05-2141</t>
  </si>
  <si>
    <t>093B03</t>
  </si>
  <si>
    <t>C05-2143</t>
  </si>
  <si>
    <t>093B04</t>
  </si>
  <si>
    <t>C05-2145</t>
  </si>
  <si>
    <t>093B05</t>
  </si>
  <si>
    <t>C05-2147</t>
  </si>
  <si>
    <t>093B06</t>
  </si>
  <si>
    <t>C05-2149</t>
  </si>
  <si>
    <t>093B07</t>
  </si>
  <si>
    <t>C05-2151</t>
  </si>
  <si>
    <t>093B08</t>
  </si>
  <si>
    <t>C05-2153</t>
  </si>
  <si>
    <t>093B09</t>
  </si>
  <si>
    <t>Agriculture Capability  Older Edition  No Legend</t>
  </si>
  <si>
    <t>C05-2154</t>
  </si>
  <si>
    <t>Agriculture Capability  Provisional Part Sheet  No Legend</t>
  </si>
  <si>
    <t>C05-2156</t>
  </si>
  <si>
    <t>093B10</t>
  </si>
  <si>
    <t>C05-2157</t>
  </si>
  <si>
    <t>C05-2159</t>
  </si>
  <si>
    <t>093B11</t>
  </si>
  <si>
    <t>C05-2161</t>
  </si>
  <si>
    <t>093B12</t>
  </si>
  <si>
    <t>C05-2163</t>
  </si>
  <si>
    <t>093B13</t>
  </si>
  <si>
    <t>C05-2165</t>
  </si>
  <si>
    <t>093B14</t>
  </si>
  <si>
    <t>C05-2167</t>
  </si>
  <si>
    <t>093B15</t>
  </si>
  <si>
    <t>C05-2168</t>
  </si>
  <si>
    <t>C05-2170</t>
  </si>
  <si>
    <t>093B16</t>
  </si>
  <si>
    <t>C05-2171</t>
  </si>
  <si>
    <t>C05-2203</t>
  </si>
  <si>
    <t>C05-2204</t>
  </si>
  <si>
    <t>C05-2209</t>
  </si>
  <si>
    <t>093E09</t>
  </si>
  <si>
    <t>C05-2210</t>
  </si>
  <si>
    <t>093E10</t>
  </si>
  <si>
    <t>C05-2211</t>
  </si>
  <si>
    <t>093E15</t>
  </si>
  <si>
    <t>C05-2213</t>
  </si>
  <si>
    <t>093E16</t>
  </si>
  <si>
    <t>C05-2227</t>
  </si>
  <si>
    <t>093F09</t>
  </si>
  <si>
    <t>C05-2229</t>
  </si>
  <si>
    <t>093F10</t>
  </si>
  <si>
    <t>C05-2231</t>
  </si>
  <si>
    <t>093F11</t>
  </si>
  <si>
    <t>C05-2233</t>
  </si>
  <si>
    <t>C05-2235</t>
  </si>
  <si>
    <t>093F13</t>
  </si>
  <si>
    <t>C05-2237</t>
  </si>
  <si>
    <t>093F14</t>
  </si>
  <si>
    <t>C05-2239</t>
  </si>
  <si>
    <t>093F15</t>
  </si>
  <si>
    <t>C05-2241</t>
  </si>
  <si>
    <t>093F16</t>
  </si>
  <si>
    <t>C05-2265</t>
  </si>
  <si>
    <t>093G01</t>
  </si>
  <si>
    <t>C05-2267</t>
  </si>
  <si>
    <t>C05-2268</t>
  </si>
  <si>
    <t>093G02</t>
  </si>
  <si>
    <t>C05-2269</t>
  </si>
  <si>
    <t>C05-2271</t>
  </si>
  <si>
    <t>093G03</t>
  </si>
  <si>
    <t>C05-2273</t>
  </si>
  <si>
    <t>093G04</t>
  </si>
  <si>
    <t>C05-2275</t>
  </si>
  <si>
    <t>093G05</t>
  </si>
  <si>
    <t>C05-2277</t>
  </si>
  <si>
    <t>093G06</t>
  </si>
  <si>
    <t>C05-2279</t>
  </si>
  <si>
    <t>093G07</t>
  </si>
  <si>
    <t>C05-2280</t>
  </si>
  <si>
    <t>C05-2282</t>
  </si>
  <si>
    <t>093G08</t>
  </si>
  <si>
    <t>Agriculture Capability  Provisional  No Legend</t>
  </si>
  <si>
    <t>C05-2284</t>
  </si>
  <si>
    <t>C05-2285</t>
  </si>
  <si>
    <t>093G09</t>
  </si>
  <si>
    <t>C05-2287</t>
  </si>
  <si>
    <t>093G10</t>
  </si>
  <si>
    <t>C05-2289</t>
  </si>
  <si>
    <t>093G11</t>
  </si>
  <si>
    <t>C05-2291</t>
  </si>
  <si>
    <t>093G12</t>
  </si>
  <si>
    <t>C05-2293</t>
  </si>
  <si>
    <t>093G13</t>
  </si>
  <si>
    <t>C05-2295</t>
  </si>
  <si>
    <t>093G14</t>
  </si>
  <si>
    <t>C05-2297</t>
  </si>
  <si>
    <t>093G15</t>
  </si>
  <si>
    <t>C05-2299</t>
  </si>
  <si>
    <t>093G16</t>
  </si>
  <si>
    <t>C05-2319</t>
  </si>
  <si>
    <t>093H01</t>
  </si>
  <si>
    <t>C05-2324</t>
  </si>
  <si>
    <t>Agriculture Capability  No Legendnever At Repro 85.05 - Vellum Sheet</t>
  </si>
  <si>
    <t>C05-2325</t>
  </si>
  <si>
    <t>093H08</t>
  </si>
  <si>
    <t>C05-2327</t>
  </si>
  <si>
    <t>093H10</t>
  </si>
  <si>
    <t>C05-2329</t>
  </si>
  <si>
    <t>093H11</t>
  </si>
  <si>
    <t>C05-2332</t>
  </si>
  <si>
    <t>093H13</t>
  </si>
  <si>
    <t>C05-2334</t>
  </si>
  <si>
    <t>C05-2337</t>
  </si>
  <si>
    <t>093H15</t>
  </si>
  <si>
    <t>C05-2363</t>
  </si>
  <si>
    <t>093I03</t>
  </si>
  <si>
    <t>C05-2365</t>
  </si>
  <si>
    <t>093I04</t>
  </si>
  <si>
    <t>C05-2367</t>
  </si>
  <si>
    <t>093I05</t>
  </si>
  <si>
    <t>C05-2369</t>
  </si>
  <si>
    <t>093I06</t>
  </si>
  <si>
    <t>C05-2385</t>
  </si>
  <si>
    <t>093J01</t>
  </si>
  <si>
    <t>C05-2387</t>
  </si>
  <si>
    <t>093J02</t>
  </si>
  <si>
    <t>C05-2389</t>
  </si>
  <si>
    <t>093J03</t>
  </si>
  <si>
    <t>C05-2391</t>
  </si>
  <si>
    <t>093J04</t>
  </si>
  <si>
    <t>C05-2393</t>
  </si>
  <si>
    <t>093J05</t>
  </si>
  <si>
    <t>C05-2395</t>
  </si>
  <si>
    <t>093J06</t>
  </si>
  <si>
    <t>C05-2397</t>
  </si>
  <si>
    <t>093J07</t>
  </si>
  <si>
    <t>C05-2399</t>
  </si>
  <si>
    <t>093J08</t>
  </si>
  <si>
    <t>C05-2414</t>
  </si>
  <si>
    <t>Agriculture Capability - Vanderhoof - No Legend - Vellum Sheet</t>
  </si>
  <si>
    <t>C05-2416</t>
  </si>
  <si>
    <t>Agriculture Capability - Fraser Lake - No Legend - Vellum Sheet</t>
  </si>
  <si>
    <t>C05-2418</t>
  </si>
  <si>
    <t>Agriculture Capability - Endako - No Legend - Vellum Sheet</t>
  </si>
  <si>
    <t>C05-2420</t>
  </si>
  <si>
    <t>Agriculture Capability - Burns Lake - No Legend - Vellum Sheet</t>
  </si>
  <si>
    <t>C05-2422</t>
  </si>
  <si>
    <t>Agriculture Capability - Decker Lake - No Legend - Vellum Sheet</t>
  </si>
  <si>
    <t>C05-2424</t>
  </si>
  <si>
    <t>Agriculture Capability - Taltapin Lake - No Legend - Vellum Sheet</t>
  </si>
  <si>
    <t>C05-2426</t>
  </si>
  <si>
    <t>Agriculture Capability - No Legend - Vellum Sheet</t>
  </si>
  <si>
    <t>C05-2428</t>
  </si>
  <si>
    <t>C05-2430</t>
  </si>
  <si>
    <t>093K09</t>
  </si>
  <si>
    <t>C05-2432</t>
  </si>
  <si>
    <t>C05-2434</t>
  </si>
  <si>
    <t>C05-2436</t>
  </si>
  <si>
    <t>093K12</t>
  </si>
  <si>
    <t>C05-4901</t>
  </si>
  <si>
    <t>093B01</t>
  </si>
  <si>
    <t>C06-10</t>
  </si>
  <si>
    <t>103F09</t>
  </si>
  <si>
    <t>Agriculture Capability  No Legend Port Clements</t>
  </si>
  <si>
    <t>C06-11</t>
  </si>
  <si>
    <t>103F16</t>
  </si>
  <si>
    <t>Agriculture Capability  No Legend Masset Sound</t>
  </si>
  <si>
    <t>C06-14</t>
  </si>
  <si>
    <t>103G04</t>
  </si>
  <si>
    <t>Agriculture Capability  No Legend Cumshewa</t>
  </si>
  <si>
    <t>C06-15</t>
  </si>
  <si>
    <t>103G05</t>
  </si>
  <si>
    <t>Agriculture Capability  No Legend Lawnhill</t>
  </si>
  <si>
    <t>C06-21</t>
  </si>
  <si>
    <t>103I03</t>
  </si>
  <si>
    <t>Agriculture Capability  Part Sheet - Nw Only  No Legend Alastair Lake</t>
  </si>
  <si>
    <t>C06-22</t>
  </si>
  <si>
    <t>103I04</t>
  </si>
  <si>
    <t>Agriculture Capability  Part Sheet - Ne Only  No Legend Port Essington</t>
  </si>
  <si>
    <t>C06-23</t>
  </si>
  <si>
    <t>103I06</t>
  </si>
  <si>
    <t>Agriculture Capability  Part Sheet - S/2 Only  No Legend Salvus</t>
  </si>
  <si>
    <t>C06-24</t>
  </si>
  <si>
    <t>103I07</t>
  </si>
  <si>
    <t>C06-2485</t>
  </si>
  <si>
    <t>093L01</t>
  </si>
  <si>
    <t>Agriculture Capability  No Legend - Vellum Sheet Colleymount</t>
  </si>
  <si>
    <t>C06-2487</t>
  </si>
  <si>
    <t>093L02</t>
  </si>
  <si>
    <t>Agriculture Capability  No Legend - Vellum Sheet Owen Lake</t>
  </si>
  <si>
    <t>C06-2490</t>
  </si>
  <si>
    <t>093L07</t>
  </si>
  <si>
    <t>Agriculture Capability  No Legend Houston</t>
  </si>
  <si>
    <t>C06-2492</t>
  </si>
  <si>
    <t>093L08</t>
  </si>
  <si>
    <t>Agriculture Capability  No Legend - Vellum Sheet Forestdale</t>
  </si>
  <si>
    <t>C06-2494</t>
  </si>
  <si>
    <t>093L09</t>
  </si>
  <si>
    <t>Agriculture Capability  No Legend - Vellum Sheet Topley</t>
  </si>
  <si>
    <t>C06-2496</t>
  </si>
  <si>
    <t>093L10</t>
  </si>
  <si>
    <t>Agriculture Capability  No Legend - Vellum Sheet Quick</t>
  </si>
  <si>
    <t>C06-2498</t>
  </si>
  <si>
    <t>093L11</t>
  </si>
  <si>
    <t>Agriculture Capability  No Legend - Vellum Sheet Telkwa</t>
  </si>
  <si>
    <t>C06-25</t>
  </si>
  <si>
    <t>103I08</t>
  </si>
  <si>
    <t>Agriculture Capability  Part Sheet - Nw Only  No Legend Chist Creek</t>
  </si>
  <si>
    <t>C06-2500</t>
  </si>
  <si>
    <t>093L12</t>
  </si>
  <si>
    <t>C06-2502</t>
  </si>
  <si>
    <t>093L13</t>
  </si>
  <si>
    <t>C06-2504</t>
  </si>
  <si>
    <t>093L14</t>
  </si>
  <si>
    <t>Agriculture Capability  No Legend - Vellum Sheet Smithers</t>
  </si>
  <si>
    <t>C06-2506</t>
  </si>
  <si>
    <t>093L15</t>
  </si>
  <si>
    <t>Agriculture Capability  No Legend - Vellum Sheet Driftwood Creek</t>
  </si>
  <si>
    <t>C06-2508</t>
  </si>
  <si>
    <t>093L16</t>
  </si>
  <si>
    <t>Agriculture Capability  No Legend Fulton Lake</t>
  </si>
  <si>
    <t>C06-2548</t>
  </si>
  <si>
    <t>093M03</t>
  </si>
  <si>
    <t>Agriculture Capability  No Legend - Vellum Sheet Moricetown</t>
  </si>
  <si>
    <t>C06-2550</t>
  </si>
  <si>
    <t>093M04</t>
  </si>
  <si>
    <t>Agriculture Capability  No Legend - Vellum Sheet Skeena Crossing</t>
  </si>
  <si>
    <t>C06-2552</t>
  </si>
  <si>
    <t>093M05</t>
  </si>
  <si>
    <t>Agriculture Capability  No Legend - Vellum Sheet Hazelton</t>
  </si>
  <si>
    <t>C06-2554</t>
  </si>
  <si>
    <t>093M06</t>
  </si>
  <si>
    <t>Agriculture Capability  No Legend - Vellum Sheet Suskwa River</t>
  </si>
  <si>
    <t>C06-26</t>
  </si>
  <si>
    <t>103I09</t>
  </si>
  <si>
    <t>Agriculture Capability  Part Sheet - W/2 Only  No Legend Usk</t>
  </si>
  <si>
    <t>C06-2605</t>
  </si>
  <si>
    <t>Agriculture Capability  No Legend Mount Hulcross</t>
  </si>
  <si>
    <t>C06-2607</t>
  </si>
  <si>
    <t>Agriculture Capability  No Legend Callazon Creek</t>
  </si>
  <si>
    <t>C06-2609</t>
  </si>
  <si>
    <t>Agriculture Capability  No Legend Carbon Creek</t>
  </si>
  <si>
    <t>C06-2611</t>
  </si>
  <si>
    <t>Agriculture Capability  No Legend - Vellum Sheet Portage Mountain</t>
  </si>
  <si>
    <t>C06-2632</t>
  </si>
  <si>
    <t>093P01</t>
  </si>
  <si>
    <t>Agriculture Capability  No Legend Kiskatinaw River</t>
  </si>
  <si>
    <t>C06-2634</t>
  </si>
  <si>
    <t>Agriculture Capability  No Legend - Vellum Sheet Flatbed Creek</t>
  </si>
  <si>
    <t>C06-2637</t>
  </si>
  <si>
    <t>Agriculture Capability - Vellum Sheet Bullmoose Creek</t>
  </si>
  <si>
    <t>C06-2640</t>
  </si>
  <si>
    <t>093P04</t>
  </si>
  <si>
    <t>Agriculture Capability  No Legend Sukunka River</t>
  </si>
  <si>
    <t>C06-2643</t>
  </si>
  <si>
    <t>Agriculture Capability  No Legend Burnt River</t>
  </si>
  <si>
    <t>C06-2646</t>
  </si>
  <si>
    <t>093P06</t>
  </si>
  <si>
    <t>Agriculture Capability  No Legend Gwillim Lake</t>
  </si>
  <si>
    <t>C06-2649</t>
  </si>
  <si>
    <t>Agriculture Capability  No Legend - Vellum Sheet Sundown Creek</t>
  </si>
  <si>
    <t>C06-2652</t>
  </si>
  <si>
    <t>093P08</t>
  </si>
  <si>
    <t>Agriculture Capability  No Legend - Vellum Sheet Tupper Creek</t>
  </si>
  <si>
    <t>C06-2654</t>
  </si>
  <si>
    <t>Agriculture Capability  No Legend Pouce Coupé</t>
  </si>
  <si>
    <t>C06-2656</t>
  </si>
  <si>
    <t>Agriculture Capability  No Legend Arras</t>
  </si>
  <si>
    <t>C06-2659</t>
  </si>
  <si>
    <t>093P11</t>
  </si>
  <si>
    <t>Agriculture Capability  No Legend East Pine</t>
  </si>
  <si>
    <t>C06-2661</t>
  </si>
  <si>
    <t>Agriculture Capability  No Legend Commotion Creek</t>
  </si>
  <si>
    <t>C06-2664</t>
  </si>
  <si>
    <t>093P13</t>
  </si>
  <si>
    <t>Agriculture Capability  No Legend Moberly Lake</t>
  </si>
  <si>
    <t>C06-2666</t>
  </si>
  <si>
    <t>093P14</t>
  </si>
  <si>
    <t>Agriculture Capability  No Legend Favels Creek</t>
  </si>
  <si>
    <t>C06-2668</t>
  </si>
  <si>
    <t>Agriculture Capability  No Legend Sunset Prairie</t>
  </si>
  <si>
    <t>C06-2670</t>
  </si>
  <si>
    <t>Agriculture Capability  No Legend Dawson Creek</t>
  </si>
  <si>
    <t>C06-2693</t>
  </si>
  <si>
    <t>094A01</t>
  </si>
  <si>
    <t>Agriculture Capability  No Legend Shearer Dale</t>
  </si>
  <si>
    <t>C06-2695</t>
  </si>
  <si>
    <t>094A02</t>
  </si>
  <si>
    <t>Agriculture Capability  No Legend Fort St. John</t>
  </si>
  <si>
    <t>C06-2697</t>
  </si>
  <si>
    <t>094A03</t>
  </si>
  <si>
    <t>Agriculture Capability  No Legend Moberley River</t>
  </si>
  <si>
    <t>C06-2699</t>
  </si>
  <si>
    <t>094A04</t>
  </si>
  <si>
    <t>Agriculture Capability  No Legend Hudson Hope</t>
  </si>
  <si>
    <t>C06-27</t>
  </si>
  <si>
    <t>103I10</t>
  </si>
  <si>
    <t>Agriculture Capability  No Legend Terrace</t>
  </si>
  <si>
    <t>C06-2701</t>
  </si>
  <si>
    <t>094A05</t>
  </si>
  <si>
    <t>Agriculture Capability  No Legend Ground Birch Creek</t>
  </si>
  <si>
    <t>C06-2703</t>
  </si>
  <si>
    <t>094A06</t>
  </si>
  <si>
    <t>Agriculture Capability  No Legend Bear Flat</t>
  </si>
  <si>
    <t>C06-2705</t>
  </si>
  <si>
    <t>094A07</t>
  </si>
  <si>
    <t>Agriculture Capability  No Legend North Pine</t>
  </si>
  <si>
    <t>C06-2707</t>
  </si>
  <si>
    <t>094A08</t>
  </si>
  <si>
    <t>Agriculture Capability  No Legend Alces River</t>
  </si>
  <si>
    <t>C06-2709</t>
  </si>
  <si>
    <t>094A09</t>
  </si>
  <si>
    <t>Agriculture Capability  No Legend Osborn River</t>
  </si>
  <si>
    <t>C06-2710</t>
  </si>
  <si>
    <t>094A10</t>
  </si>
  <si>
    <t>Agriculture Capability  No Legend Rose Prairie</t>
  </si>
  <si>
    <t>C06-2711</t>
  </si>
  <si>
    <t>094A11</t>
  </si>
  <si>
    <t>Agriculture Capability  No Legend Murdale</t>
  </si>
  <si>
    <t>C06-2712</t>
  </si>
  <si>
    <t>094A12</t>
  </si>
  <si>
    <t>Agriculture Capability  No Legend Deadhorse Creek</t>
  </si>
  <si>
    <t>C06-2713</t>
  </si>
  <si>
    <t>094A13</t>
  </si>
  <si>
    <t>Agriculture Capability  No Legend Aitken Creek</t>
  </si>
  <si>
    <t>C06-2714</t>
  </si>
  <si>
    <t>094A14</t>
  </si>
  <si>
    <t>Agriculture Capability  No Legend Snyder Creek</t>
  </si>
  <si>
    <t>C06-2715</t>
  </si>
  <si>
    <t>094A15</t>
  </si>
  <si>
    <t>Agriculture Capability  No Legend Milligan Creek</t>
  </si>
  <si>
    <t>C06-2716</t>
  </si>
  <si>
    <t>094A16</t>
  </si>
  <si>
    <t>Agriculture Capability  No Legend Doig River</t>
  </si>
  <si>
    <t>C06-2737</t>
  </si>
  <si>
    <t>Agriculture Capability  No Legend Chinaman Lake</t>
  </si>
  <si>
    <t>C06-2739</t>
  </si>
  <si>
    <t>094B02</t>
  </si>
  <si>
    <t>Agriculture Capability  No Legend Gold Bar</t>
  </si>
  <si>
    <t>C06-2741</t>
  </si>
  <si>
    <t>094B07</t>
  </si>
  <si>
    <t>Agriculture Capability  No Legend Hackney Hills</t>
  </si>
  <si>
    <t>C06-2743</t>
  </si>
  <si>
    <t>094B08</t>
  </si>
  <si>
    <t>Agriculture Capability  No Legend Kobes Creek</t>
  </si>
  <si>
    <t>C06-2745</t>
  </si>
  <si>
    <t>094B09</t>
  </si>
  <si>
    <t>Agriculture Capability  No Legend Aikman Creek</t>
  </si>
  <si>
    <t>C06-2747</t>
  </si>
  <si>
    <t>094B10</t>
  </si>
  <si>
    <t>Agriculture Capability  No Legend Chowade River</t>
  </si>
  <si>
    <t>C06-2749</t>
  </si>
  <si>
    <t>094B15</t>
  </si>
  <si>
    <t>Agriculture Capability  No Legend Cypress Creek</t>
  </si>
  <si>
    <t>C06-2751</t>
  </si>
  <si>
    <t>094B16</t>
  </si>
  <si>
    <t>Agriculture Capability  No Legend Blair Creek</t>
  </si>
  <si>
    <t>C06-2771</t>
  </si>
  <si>
    <t>094H01</t>
  </si>
  <si>
    <t>Agriculture Capability  No Legend Adskwatim Creek</t>
  </si>
  <si>
    <t>C06-2773</t>
  </si>
  <si>
    <t>094H02</t>
  </si>
  <si>
    <t>Agriculture Capability  No Legend Big Arrow Creek</t>
  </si>
  <si>
    <t>C06-2775</t>
  </si>
  <si>
    <t>094H03</t>
  </si>
  <si>
    <t>Agriculture Capability  No Legend Umbach Creek</t>
  </si>
  <si>
    <t>C06-2777</t>
  </si>
  <si>
    <t>094H04</t>
  </si>
  <si>
    <t>Agriculture Capability  No Legend Nig Creek</t>
  </si>
  <si>
    <t>C06-2794</t>
  </si>
  <si>
    <t>094J09</t>
  </si>
  <si>
    <t>Agriculture Capability  No Legend Clarke Lake</t>
  </si>
  <si>
    <t>C06-2795</t>
  </si>
  <si>
    <t>094J10</t>
  </si>
  <si>
    <t>Agriculture Capability  No Legend Jackfish Creek</t>
  </si>
  <si>
    <t>C06-2796</t>
  </si>
  <si>
    <t>094J11</t>
  </si>
  <si>
    <t>Agriculture Capability  Part Sheet - N Only  No Legend Akue Creek</t>
  </si>
  <si>
    <t>C06-2798</t>
  </si>
  <si>
    <t>094J12</t>
  </si>
  <si>
    <t>Agriculture Capability  Part Sheet - Ne Only  No Legend Chischa River</t>
  </si>
  <si>
    <t>C06-28</t>
  </si>
  <si>
    <t>103I13</t>
  </si>
  <si>
    <t>Agriculture Capability  Part Sheet - Ne Only  No Legend Kincolith</t>
  </si>
  <si>
    <t>C06-2800</t>
  </si>
  <si>
    <t>094J13</t>
  </si>
  <si>
    <t>Agriculture Capability  No Legend Kledo Creek</t>
  </si>
  <si>
    <t>C06-2802</t>
  </si>
  <si>
    <t>094J14</t>
  </si>
  <si>
    <t>Agriculture Capability  No Legend Raspberry Creek</t>
  </si>
  <si>
    <t>C06-2804</t>
  </si>
  <si>
    <t>094J15</t>
  </si>
  <si>
    <t>Agriculture Capability  No Legend Fort Nelson</t>
  </si>
  <si>
    <t>C06-2805</t>
  </si>
  <si>
    <t>094J16</t>
  </si>
  <si>
    <t>Agriculture Capability  No Legend Chuatse Creek</t>
  </si>
  <si>
    <t>C06-2810</t>
  </si>
  <si>
    <t>094O01</t>
  </si>
  <si>
    <t>Agriculture Capability  No Legend Sahtaneh River</t>
  </si>
  <si>
    <t>C06-2812</t>
  </si>
  <si>
    <t>094O02</t>
  </si>
  <si>
    <t>Agriculture Capability  No Legend Tsimeh Creek</t>
  </si>
  <si>
    <t>C06-2814</t>
  </si>
  <si>
    <t>094O03</t>
  </si>
  <si>
    <t>Agriculture Capability  No Legend Stanolind Creek</t>
  </si>
  <si>
    <t>C06-2816</t>
  </si>
  <si>
    <t>094O04</t>
  </si>
  <si>
    <t>Agriculture Capability  No Legend Etane Creek</t>
  </si>
  <si>
    <t>C06-2818</t>
  </si>
  <si>
    <t>094O05</t>
  </si>
  <si>
    <t>Agriculture Capability  No Legend Capot-Blanc Creek</t>
  </si>
  <si>
    <t>C06-2820</t>
  </si>
  <si>
    <t>094O06</t>
  </si>
  <si>
    <t>Agriculture Capability  No Legend Patry Lake</t>
  </si>
  <si>
    <t>C06-2822</t>
  </si>
  <si>
    <t>094O07</t>
  </si>
  <si>
    <t>Agriculture Capability  No Legend Kiwigana River</t>
  </si>
  <si>
    <t>C06-2824</t>
  </si>
  <si>
    <t>094O08</t>
  </si>
  <si>
    <t>Agriculture Capability  No Legend Two Island Lake</t>
  </si>
  <si>
    <t>C06-29</t>
  </si>
  <si>
    <t>103I15</t>
  </si>
  <si>
    <t>Agriculture Capability  Part Sheet - W Only  No Legend Kitsumkalum Lake</t>
  </si>
  <si>
    <t>C06-30</t>
  </si>
  <si>
    <t>103I16</t>
  </si>
  <si>
    <t>Agriculture Capability  Part Sheet - W/2 Only  No Legend Dorreen</t>
  </si>
  <si>
    <t>C06-8</t>
  </si>
  <si>
    <t>103F01</t>
  </si>
  <si>
    <t>Agriculture Capability  No Legend Skidegate Channel</t>
  </si>
  <si>
    <t>C06-9</t>
  </si>
  <si>
    <t>103F08</t>
  </si>
  <si>
    <t>Agriculture Capability  No Legend Yakoun Lake</t>
  </si>
  <si>
    <t>C07-1099</t>
  </si>
  <si>
    <t>092C/SE</t>
  </si>
  <si>
    <t>Agriculture Capabiltiy No Legend - Nitnat Lake</t>
  </si>
  <si>
    <t>C07-1335</t>
  </si>
  <si>
    <t>092F/NE</t>
  </si>
  <si>
    <t>Agriculture Capability No Legend - Powell River</t>
  </si>
  <si>
    <t>C07-1343</t>
  </si>
  <si>
    <t>092F/NW</t>
  </si>
  <si>
    <t>Agriculture Capability No Legend - Buttle Lake</t>
  </si>
  <si>
    <t>C07-1350</t>
  </si>
  <si>
    <t>092F/SE</t>
  </si>
  <si>
    <t>Agriculture Capability No Legend - Port Alberni</t>
  </si>
  <si>
    <t>C07-1626</t>
  </si>
  <si>
    <t>092G/NE</t>
  </si>
  <si>
    <t>Agriculture Capability No Legend - Pitt River</t>
  </si>
  <si>
    <t>C07-1628</t>
  </si>
  <si>
    <t>092G/NW</t>
  </si>
  <si>
    <t>Agriculture Capability No Legend - Squamish</t>
  </si>
  <si>
    <t>C07-1642</t>
  </si>
  <si>
    <t>092G/SW</t>
  </si>
  <si>
    <t>Agriculture Capability No Legend - Vancouver</t>
  </si>
  <si>
    <t>C07-1720</t>
  </si>
  <si>
    <t>092H/NE</t>
  </si>
  <si>
    <t>Agriculture Capability No Legend - Tullameen</t>
  </si>
  <si>
    <t>C07-1728</t>
  </si>
  <si>
    <t>092H/SE</t>
  </si>
  <si>
    <t>Agriculture Capability No Legend - Princeton</t>
  </si>
  <si>
    <t>C07-1731</t>
  </si>
  <si>
    <t>Agriculture Capability No Legend - Chilliwack Lake</t>
  </si>
  <si>
    <t>C07-1916</t>
  </si>
  <si>
    <t>092L/SE</t>
  </si>
  <si>
    <t>Agriculture Capability No Legend - Nimpkish River  Map Covers Parts of 92L/Se &amp; 92L/Ne</t>
  </si>
  <si>
    <t>C07-1919</t>
  </si>
  <si>
    <t>092K/SW</t>
  </si>
  <si>
    <t>Agriculture Capability No Legend - Campbell River  Map Covers Parts of 92K/Sw &amp; 92K/Se</t>
  </si>
  <si>
    <t>C07-1959</t>
  </si>
  <si>
    <t>092O/NE</t>
  </si>
  <si>
    <t>Agriculture Capability No Legend - Cholcotin River</t>
  </si>
  <si>
    <t>C07-1963</t>
  </si>
  <si>
    <t>092O/NW</t>
  </si>
  <si>
    <t>Agriculture Capability No Legend - Hanceville</t>
  </si>
  <si>
    <t>C07-1967</t>
  </si>
  <si>
    <t>092O/SE</t>
  </si>
  <si>
    <t>Agriculture Capability No Legend - Churn Creek</t>
  </si>
  <si>
    <t>C07-1968</t>
  </si>
  <si>
    <t>092O/SW</t>
  </si>
  <si>
    <t>Agriculture Capability No Legend - Taseko Lakes</t>
  </si>
  <si>
    <t>C07-2039</t>
  </si>
  <si>
    <t>092P/NE</t>
  </si>
  <si>
    <t>Agriculture Capability No Legend - Canim Lake</t>
  </si>
  <si>
    <t>C07-2047</t>
  </si>
  <si>
    <t>092P/NW</t>
  </si>
  <si>
    <t>Agriculture Capability No Legend - Lac La Hache</t>
  </si>
  <si>
    <t>C07-2053</t>
  </si>
  <si>
    <t>092P/SE</t>
  </si>
  <si>
    <t>Agriculture Capability No Legend - Bonaparte Lake</t>
  </si>
  <si>
    <t>C07-2061</t>
  </si>
  <si>
    <t>092P/SW</t>
  </si>
  <si>
    <t>Agriculture Capability No Legend - Clinton</t>
  </si>
  <si>
    <t>C07-2121</t>
  </si>
  <si>
    <t>093A/SE</t>
  </si>
  <si>
    <t>Agriculture Capability No Legend - Clearwater Lake</t>
  </si>
  <si>
    <t>C07-2125</t>
  </si>
  <si>
    <t>093A/SW</t>
  </si>
  <si>
    <t>Agriculture Capability No Legend - Horsefly River</t>
  </si>
  <si>
    <t>C07-2173</t>
  </si>
  <si>
    <t>093B/NE</t>
  </si>
  <si>
    <t>Agriculture Capability No Legend - Narcosli Creek</t>
  </si>
  <si>
    <t>C07-2176</t>
  </si>
  <si>
    <t>093B/NW</t>
  </si>
  <si>
    <t>Agriculture Capability No Legend - Nazko River</t>
  </si>
  <si>
    <t>C07-2180</t>
  </si>
  <si>
    <t>093B/SE</t>
  </si>
  <si>
    <t>Agriculture Capability No Legend - Williams Lake</t>
  </si>
  <si>
    <t>C07-2184</t>
  </si>
  <si>
    <t>093B/SW</t>
  </si>
  <si>
    <t>Agriculture Capability No Legend - Alexis Creek</t>
  </si>
  <si>
    <t>C07-2215</t>
  </si>
  <si>
    <t>093E/NE</t>
  </si>
  <si>
    <t>Agriculture Capability No Legend - Ootsa Lake</t>
  </si>
  <si>
    <t>C07-2243</t>
  </si>
  <si>
    <t>093F/NE</t>
  </si>
  <si>
    <t>Agriculture Capability No Legend - Tachick Lake</t>
  </si>
  <si>
    <t>C07-2252</t>
  </si>
  <si>
    <t>093F/NW</t>
  </si>
  <si>
    <t>Agriculture Capability No Legend - Uncha Lake</t>
  </si>
  <si>
    <t>C07-2301</t>
  </si>
  <si>
    <t>093G/NE</t>
  </si>
  <si>
    <t>Agriculture Capability No Legend - Prince George</t>
  </si>
  <si>
    <t>C07-2305</t>
  </si>
  <si>
    <t>093G/NW</t>
  </si>
  <si>
    <t>Agriculture Capability  Old Edition  No Legend</t>
  </si>
  <si>
    <t>C07-2306</t>
  </si>
  <si>
    <t>Agriculture Capability No Legend - Cluculz Lake</t>
  </si>
  <si>
    <t>C07-2314</t>
  </si>
  <si>
    <t>093G/SW</t>
  </si>
  <si>
    <t>C07-2402</t>
  </si>
  <si>
    <t>093J/SE</t>
  </si>
  <si>
    <t>C07-2403</t>
  </si>
  <si>
    <t>Agriculture Capability No Legend - Salmon River</t>
  </si>
  <si>
    <t>C07-2407</t>
  </si>
  <si>
    <t>093J/SW</t>
  </si>
  <si>
    <t>C07-2408</t>
  </si>
  <si>
    <t>Agriculture Capability No Legend - Great Beaver Lake</t>
  </si>
  <si>
    <t>C07-2442</t>
  </si>
  <si>
    <t>093K/NE</t>
  </si>
  <si>
    <t>Agriculture Capability No Legend (Small Paper)  Map Covers Parts of 93K/09 &amp; 93K/10</t>
  </si>
  <si>
    <t>C07-2444</t>
  </si>
  <si>
    <t>093K/NW</t>
  </si>
  <si>
    <t>Agriculture Capability No Legend - Cunningham Lake  Map Covers Parts of 93K/11 7 93K/12</t>
  </si>
  <si>
    <t>C07-2446</t>
  </si>
  <si>
    <t>093K/SE</t>
  </si>
  <si>
    <t>Agriculture Capability No Legend - Fort St. James</t>
  </si>
  <si>
    <t>C07-2455</t>
  </si>
  <si>
    <t>093K/SW</t>
  </si>
  <si>
    <t>Agriculture Capability No Legend - Burns Lake</t>
  </si>
  <si>
    <t>C07-2510</t>
  </si>
  <si>
    <t>093L/NE</t>
  </si>
  <si>
    <t>Agriculture Capability No Legend - Fulton River</t>
  </si>
  <si>
    <t>C07-2520</t>
  </si>
  <si>
    <t>093L/NW</t>
  </si>
  <si>
    <t>Agriculture Capability No Legend - Telkwa River</t>
  </si>
  <si>
    <t>C07-31</t>
  </si>
  <si>
    <t>103I/NE</t>
  </si>
  <si>
    <t>Agriculture Capability No Legend - Terrace</t>
  </si>
  <si>
    <t>C07-32</t>
  </si>
  <si>
    <t>103I/SE</t>
  </si>
  <si>
    <t>Agriculture Capability No Legend - Kitimat</t>
  </si>
  <si>
    <t>C07-34</t>
  </si>
  <si>
    <t>103I/SW</t>
  </si>
  <si>
    <t>Agriculture Capability No Legend - Khtada Lake</t>
  </si>
  <si>
    <t>C07-36</t>
  </si>
  <si>
    <t>103J04</t>
  </si>
  <si>
    <t>Agriculture Capability  No Legend Tow Hill</t>
  </si>
  <si>
    <t>C07-362</t>
  </si>
  <si>
    <t>082E/NW</t>
  </si>
  <si>
    <t>Agriculture Capability - Kelowna</t>
  </si>
  <si>
    <t>C07-366</t>
  </si>
  <si>
    <t>082E/SE</t>
  </si>
  <si>
    <t>Agriculture Capability No Legend - Grand Forks</t>
  </si>
  <si>
    <t>C07-369</t>
  </si>
  <si>
    <t>082E/SW</t>
  </si>
  <si>
    <t>Agriculture Capability - Penticton</t>
  </si>
  <si>
    <t>C07-37</t>
  </si>
  <si>
    <t>103K01</t>
  </si>
  <si>
    <t>Agriculture Capability  No Legend Masset</t>
  </si>
  <si>
    <t>C07-399</t>
  </si>
  <si>
    <t>Agriculture Capability  Old Edition  No Legend Yahk</t>
  </si>
  <si>
    <t>C07-40</t>
  </si>
  <si>
    <t>103P01</t>
  </si>
  <si>
    <t>Agriculture Capability  Part Sheet - Se Only  No Legend Kitwanga</t>
  </si>
  <si>
    <t>C07-401</t>
  </si>
  <si>
    <t>Agriculture Capability  Old Edition  No Legend Creston</t>
  </si>
  <si>
    <t>C07-404</t>
  </si>
  <si>
    <t>Agriculture Capability  Old Edition  No Legend Salmo</t>
  </si>
  <si>
    <t>C07-407</t>
  </si>
  <si>
    <t>Agriculture Capability  Old Edition  No Legend Rossland-Trail</t>
  </si>
  <si>
    <t>C07-41</t>
  </si>
  <si>
    <t>103P03</t>
  </si>
  <si>
    <t>C07-410</t>
  </si>
  <si>
    <t>Agriculture Capability  Old Edition  No Legend Castlegar</t>
  </si>
  <si>
    <t>C07-413</t>
  </si>
  <si>
    <t>Agriculture Capability  Old Edition  No Legend Nelson</t>
  </si>
  <si>
    <t>C07-416</t>
  </si>
  <si>
    <t>Agriculture Capability  Old Edition  No Legend Boswell</t>
  </si>
  <si>
    <t>C07-419</t>
  </si>
  <si>
    <t>Agriculture Capability  Old Edition  No Legend Grassy Mountain</t>
  </si>
  <si>
    <t>C07-42</t>
  </si>
  <si>
    <t>103P04</t>
  </si>
  <si>
    <t>Agriculture Capability  Part Sheet - Se Only  No Legend Greenville</t>
  </si>
  <si>
    <t>C07-422</t>
  </si>
  <si>
    <t>Agriculture Capability  Old Edition  No Legend St. Mary Lake</t>
  </si>
  <si>
    <t>C07-425</t>
  </si>
  <si>
    <t>Agriculture Capability  Old Edition  No Legend Crawford Bay</t>
  </si>
  <si>
    <t>C07-428</t>
  </si>
  <si>
    <t>Agriculture Capability  Old Edition  No Legend Kokanee Peak</t>
  </si>
  <si>
    <t>C07-43</t>
  </si>
  <si>
    <t>103P06</t>
  </si>
  <si>
    <t>Agriculture Capability  Part Sheet - E/2 Only  No Legend Aiyansh</t>
  </si>
  <si>
    <t>C07-44</t>
  </si>
  <si>
    <t>103P07</t>
  </si>
  <si>
    <t>Agriculture Capability  Part Sheet - W/2 Only  No Legend Kiteen River</t>
  </si>
  <si>
    <t>C07-445</t>
  </si>
  <si>
    <t>082F/NE</t>
  </si>
  <si>
    <t>Agriculture Capability No Legend - Kaslo</t>
  </si>
  <si>
    <t>C07-45</t>
  </si>
  <si>
    <t>103P09</t>
  </si>
  <si>
    <t>Agriculture Capability  Provisional Part Sheet  No Legend Kispiox River</t>
  </si>
  <si>
    <t>C07-46</t>
  </si>
  <si>
    <t>103P10</t>
  </si>
  <si>
    <t>Agriculture Capability  Part Sheet  No Legend Cranberry River</t>
  </si>
  <si>
    <t>C07-4655</t>
  </si>
  <si>
    <t>093G/SE</t>
  </si>
  <si>
    <t>C07-4656</t>
  </si>
  <si>
    <t>103P/NW</t>
  </si>
  <si>
    <t>Agriculture Capability  Part Sheet - Ne and Part Nw No Legend: Swan Lake</t>
  </si>
  <si>
    <t>C07-4657</t>
  </si>
  <si>
    <t>103P/SE</t>
  </si>
  <si>
    <t>Agriculture Capability  Part Sheet - Se  No Legend: Kitwanga</t>
  </si>
  <si>
    <t>C07-47</t>
  </si>
  <si>
    <t>103P11</t>
  </si>
  <si>
    <t>Agriculture Capability  Part Sheet - Se Only  No Legend Kinskuch River</t>
  </si>
  <si>
    <t>C07-5050</t>
  </si>
  <si>
    <t>092B/NW</t>
  </si>
  <si>
    <t>Agriculture Capabiltiy No Legend - Victoria - Parts of 92B/Nw &amp; 92B/Sw</t>
  </si>
  <si>
    <t>C07-5051</t>
  </si>
  <si>
    <t>Soil Capability For Agriculture - Cottonwood</t>
  </si>
  <si>
    <t>C07-508</t>
  </si>
  <si>
    <t>082G/NW</t>
  </si>
  <si>
    <t>Agriculture Capability No Legend - Cranbrook</t>
  </si>
  <si>
    <t>C07-509</t>
  </si>
  <si>
    <t>082G/SE</t>
  </si>
  <si>
    <t>Agriculture Capability No Legend - Flathead</t>
  </si>
  <si>
    <t>C07-512</t>
  </si>
  <si>
    <t>082G/SW</t>
  </si>
  <si>
    <t>Agriculture Capability No Legend - Elko</t>
  </si>
  <si>
    <t>C07-549</t>
  </si>
  <si>
    <t>082J/NW</t>
  </si>
  <si>
    <t>Agriculture Capability No Legend - Mount Assiniboine</t>
  </si>
  <si>
    <t>C07-55</t>
  </si>
  <si>
    <t>104B10</t>
  </si>
  <si>
    <t>Agriculture Capability  Part Sheet - N/2 Only  No Legend Snippaker Creek</t>
  </si>
  <si>
    <t>C07-554</t>
  </si>
  <si>
    <t>082J/SW</t>
  </si>
  <si>
    <t>Agriculture Capability No Legend - Canal Flats</t>
  </si>
  <si>
    <t>C07-56</t>
  </si>
  <si>
    <t>104B11</t>
  </si>
  <si>
    <t>Agriculture Capability  B.C. Only  No Legend Craig River</t>
  </si>
  <si>
    <t>C07-57</t>
  </si>
  <si>
    <t>104B12</t>
  </si>
  <si>
    <t>Agriculture Capability  B.C. Only  No Legend Katete River</t>
  </si>
  <si>
    <t>C07-58</t>
  </si>
  <si>
    <t>104B13</t>
  </si>
  <si>
    <t>Agriculture Capability  B.C. Onlyt - Centre Only  No Legend Great Glacier</t>
  </si>
  <si>
    <t>C07-588</t>
  </si>
  <si>
    <t>082K/NE</t>
  </si>
  <si>
    <t>Agriculture Capability No Legend - Invermere</t>
  </si>
  <si>
    <t>C07-589</t>
  </si>
  <si>
    <t>082K/SE</t>
  </si>
  <si>
    <t>Agriculture Capability No Legend - Lardeau</t>
  </si>
  <si>
    <t>C07-593</t>
  </si>
  <si>
    <t>082K/NW</t>
  </si>
  <si>
    <t>Agriculture Capability No Legend - Beaton</t>
  </si>
  <si>
    <t>C07-600</t>
  </si>
  <si>
    <t>082K/SW</t>
  </si>
  <si>
    <t>Agriculture Capability No Legend - Nakusp</t>
  </si>
  <si>
    <t>C07-64</t>
  </si>
  <si>
    <t>104G04</t>
  </si>
  <si>
    <t>Agriculture Capability  Part Sheet - Centre Only  No Legend Flood Glacier</t>
  </si>
  <si>
    <t>C07-65</t>
  </si>
  <si>
    <t>104G05</t>
  </si>
  <si>
    <t>Agriculture Capability  Part Sheet - Centre Only  No Legend Scud River</t>
  </si>
  <si>
    <t>C07-66</t>
  </si>
  <si>
    <t>104G11</t>
  </si>
  <si>
    <t>Agriculture Capability  Part Sheet - Nw Only  No Legend Yehiniko Lake</t>
  </si>
  <si>
    <t>C07-67</t>
  </si>
  <si>
    <t>104G12</t>
  </si>
  <si>
    <t>Agriculture Capability  Part Sheet - E/2 Only  No Legend Chutine River</t>
  </si>
  <si>
    <t>C07-68</t>
  </si>
  <si>
    <t>104G13</t>
  </si>
  <si>
    <t>Agriculture Capability  Part Sheet - Se Only  No Legend Tahltan Lake</t>
  </si>
  <si>
    <t>C07-69</t>
  </si>
  <si>
    <t>104G14</t>
  </si>
  <si>
    <t>Agriculture Capability  No Legend Telegraph Creek</t>
  </si>
  <si>
    <t>C07-70</t>
  </si>
  <si>
    <t>104G15</t>
  </si>
  <si>
    <t>Agriculture Capability  Part Sheet - Nw Only  No Legend Buckley Lake</t>
  </si>
  <si>
    <t>C07-74</t>
  </si>
  <si>
    <t>104J02</t>
  </si>
  <si>
    <t>Agriculture Capability  No Legend Classy Creek</t>
  </si>
  <si>
    <t>C07-787</t>
  </si>
  <si>
    <t>082L/NE</t>
  </si>
  <si>
    <t>Agriculture Capability No Legend - Revelstoke</t>
  </si>
  <si>
    <t>C07-790</t>
  </si>
  <si>
    <t>082L/NW</t>
  </si>
  <si>
    <t>Agriculture Capability  Old Edition</t>
  </si>
  <si>
    <t>C07-796</t>
  </si>
  <si>
    <t>082L/SE</t>
  </si>
  <si>
    <t>Agriculture Capability No Legend - Sugar Lake</t>
  </si>
  <si>
    <t>C07-799</t>
  </si>
  <si>
    <t>082L/SW</t>
  </si>
  <si>
    <t>Agriculture Capability No Legend - Vernon</t>
  </si>
  <si>
    <t>C07-839</t>
  </si>
  <si>
    <t>082M/NE</t>
  </si>
  <si>
    <t>C07-840</t>
  </si>
  <si>
    <t>Agriculture Capability No Legend - Goldstream River</t>
  </si>
  <si>
    <t>C07-844</t>
  </si>
  <si>
    <t>082M/NW</t>
  </si>
  <si>
    <t>Agriculture Capability  Old Edition  No Legend Avola</t>
  </si>
  <si>
    <t>C07-845</t>
  </si>
  <si>
    <t>Agriculture Capability No Legend - Avola</t>
  </si>
  <si>
    <t>C07-854</t>
  </si>
  <si>
    <t>082M/SE</t>
  </si>
  <si>
    <t>Agriculture Capability  Old Edition  No Legend Jordan Range</t>
  </si>
  <si>
    <t>C07-855</t>
  </si>
  <si>
    <t>Agriculture Capability No Legend - Jordan Range</t>
  </si>
  <si>
    <t>C07-858</t>
  </si>
  <si>
    <t>082M/SW</t>
  </si>
  <si>
    <t>Agriculture Capability  Duplicate  No Legend Adams Lake</t>
  </si>
  <si>
    <t>C07-859</t>
  </si>
  <si>
    <t>Agriculture Capability  Old Edition  No Legend Adams Lake</t>
  </si>
  <si>
    <t>C07-860</t>
  </si>
  <si>
    <t>Agriculture Capability No Legend - Adams Lake</t>
  </si>
  <si>
    <t>C07-879</t>
  </si>
  <si>
    <t>082O/SW</t>
  </si>
  <si>
    <t>Agriculture Capabiltiy No Legend - Yoho</t>
  </si>
  <si>
    <t>F01-4928</t>
  </si>
  <si>
    <t>093H09</t>
  </si>
  <si>
    <t>Mount Rider: Terrain  (From Micro In 'Biophysical Soil Resources &amp; Land. Northeast Coal 77-78)</t>
  </si>
  <si>
    <t>F01-4929</t>
  </si>
  <si>
    <t>Loos: Terrain  (From Micro In 'Biophysical Soil Resources &amp; Land. Northeast Coal 77-78)</t>
  </si>
  <si>
    <t>F01-4930</t>
  </si>
  <si>
    <t>Penny: Terrain  (From Micro In 'Biophysical Soil Resources &amp; Land. Northeast Coal 77-78)</t>
  </si>
  <si>
    <t>F01-4931</t>
  </si>
  <si>
    <t>Walker Creek: Terrain  (From Micro In 'Biophysical Soil Resources &amp; Land. Northeast Coal 77-78)</t>
  </si>
  <si>
    <t>F01-4932</t>
  </si>
  <si>
    <t>093H16</t>
  </si>
  <si>
    <t>Mount Sir Alexander: Terrain  (From Micro In 'Biophysical Soil Resources &amp; Land. Northeast Coal 77-78)</t>
  </si>
  <si>
    <t>F01-4933</t>
  </si>
  <si>
    <t>Jarvis Lakes: Terrain  (From Micro In 'Biophysical Soil Resources &amp; Land. Northeast Coal 77-78)</t>
  </si>
  <si>
    <t>F01-4934</t>
  </si>
  <si>
    <t>Herrick Creek: Terrain  (From Micro In 'Biophysical Soil Resources &amp; Land. Northeast Coal 77-78)</t>
  </si>
  <si>
    <t>F01-4935</t>
  </si>
  <si>
    <t>093I07</t>
  </si>
  <si>
    <t>Terrain: Wapiti Pass</t>
  </si>
  <si>
    <t>F01-4936</t>
  </si>
  <si>
    <t>Narraway River: Terrain  (From Micro In 'Biophysical Soil Resources &amp; Land. Northeast Coal 77-78)</t>
  </si>
  <si>
    <t>I11-3000</t>
  </si>
  <si>
    <t>Talisman (Agriculture Capability Within Alr'S) - Vancouver Island: Sooke</t>
  </si>
  <si>
    <t>I11-3001</t>
  </si>
  <si>
    <t>092B06</t>
  </si>
  <si>
    <t>Talisman (Agriculture Capability Within Alr'S) - Vancouver Island: Victoria</t>
  </si>
  <si>
    <t>I11-3002</t>
  </si>
  <si>
    <t>Talisman (Agriculture Capability Within Alr'S) - Vancouver Island: Sidney</t>
  </si>
  <si>
    <t>I11-3003</t>
  </si>
  <si>
    <t>Talisman (Agriculture Capability Within Alr'S) - Vancouver Island: Shawnigan</t>
  </si>
  <si>
    <t>I11-3004</t>
  </si>
  <si>
    <t>Talisman (Agriculture Capability Within Alr'S) - Vancouver Island: Duncan</t>
  </si>
  <si>
    <t>I11-3005</t>
  </si>
  <si>
    <t>Talisman (Agriculture Capability Within Alr'S) - Vancouver Island: Galiano Island</t>
  </si>
  <si>
    <t>I11-3006</t>
  </si>
  <si>
    <t>Talisman (Agriculture Capability Within Alr'S) - Vancouver Island: San Juan</t>
  </si>
  <si>
    <t>I11-3007</t>
  </si>
  <si>
    <t>Talisman (Agriculture Capability Within Alr'S) - Vancouver Island: Cowichan Lake</t>
  </si>
  <si>
    <t>I11-3008</t>
  </si>
  <si>
    <t>Talisman (Agriculture Capability Within Alr'S) - Vancouver Island: Nanaimo Lakes</t>
  </si>
  <si>
    <t>I11-3009</t>
  </si>
  <si>
    <t>Talisman (Agriculture Capability Within Alr'S) - Vancouver Island: Alberni Inlet</t>
  </si>
  <si>
    <t>I11-3010</t>
  </si>
  <si>
    <t>Talisman (Agriculture Capability Within Alr'S) - Vancouver Island: Horne Lake</t>
  </si>
  <si>
    <t>I11-3011</t>
  </si>
  <si>
    <t>Talisman (Agriculture Capability Within Alr'S) - Vancouver Island: Parksville</t>
  </si>
  <si>
    <t>I11-3012</t>
  </si>
  <si>
    <t>Talisman (Agriculture Capability Within Alr'S) - Vancouver Island: Comox</t>
  </si>
  <si>
    <t>I11-3013</t>
  </si>
  <si>
    <t>Talisman (Agriculture Capability Within Alr'S) - Vancouver Island: Forbidden Plateau</t>
  </si>
  <si>
    <t>I11-3014</t>
  </si>
  <si>
    <t>Talisman (Agriculture Capability Within Alr'S) - Vancouver Island: Oyster River</t>
  </si>
  <si>
    <t>I11-3015</t>
  </si>
  <si>
    <t>Talisman (Agriculture Capability Within Alr'S) - Vancouver Island: Powell River</t>
  </si>
  <si>
    <t>I11-3016</t>
  </si>
  <si>
    <t>Talisman (Agriculture Capability Within Alr'S) - Vancouver Island: Nanaimo</t>
  </si>
  <si>
    <t>I11-3017</t>
  </si>
  <si>
    <t>Talisman (Agriculture Capability Within Alr'S) - Vancouver Island: Quadra Island</t>
  </si>
  <si>
    <t>I11-3018</t>
  </si>
  <si>
    <t>Talisman (Agriculture Capability Within Alr'S) - Vancouver Island: Salmon River</t>
  </si>
  <si>
    <t>I11-3019</t>
  </si>
  <si>
    <t>Talisman (Agriculture Capability Within Alr'S) - Vancouver Island: Sayward</t>
  </si>
  <si>
    <t>I11-3020</t>
  </si>
  <si>
    <t>Talisman (Agriculture Capability Within Alr'S) - Vancouver Island: Schoen Lake</t>
  </si>
  <si>
    <t>I11-3021</t>
  </si>
  <si>
    <t>Talisman (Agriculture Capability Within Alr'S) - Vancouver Island: Woss Lake</t>
  </si>
  <si>
    <t>I11-3022</t>
  </si>
  <si>
    <t>Talisman (Agriculture Capability Within Alr'S) - Vancouver Island: Nimpkish</t>
  </si>
  <si>
    <t>I11-3023</t>
  </si>
  <si>
    <t>Talisman (Agriculture Capability Within Alr'S) - Vancouver Island: Mount Waddington Regional District</t>
  </si>
  <si>
    <t>I12-3024</t>
  </si>
  <si>
    <t>Talisman (Agriculture Capability Within Alr'S) - Mainland</t>
  </si>
  <si>
    <t>I12-3025</t>
  </si>
  <si>
    <t>Talisman (Agriculture Capability Within Alr'S) - Mainland: Texada Island</t>
  </si>
  <si>
    <t>I12-3026</t>
  </si>
  <si>
    <t>Talisman (Agriculture Capability Within Alr'S) - Mainland: Comox</t>
  </si>
  <si>
    <t>I12-3027</t>
  </si>
  <si>
    <t>Talisman (Agriculture Capability Within Alr'S) - Mainland: Powell River</t>
  </si>
  <si>
    <t>I12-3028</t>
  </si>
  <si>
    <t>Talisman (Agriculture Capability Within Alr'S) - Mainland: Haslam Lake</t>
  </si>
  <si>
    <t>I12-3029</t>
  </si>
  <si>
    <t>Talisman (Agriculture Capability Within Alr'S) - Mainland: Sumas</t>
  </si>
  <si>
    <t>I12-3030</t>
  </si>
  <si>
    <t>Talisman (Agriculture Capability Within Alr'S) - Mainland: New Westminster</t>
  </si>
  <si>
    <t>I12-3031</t>
  </si>
  <si>
    <t>Talisman (Agriculture Capability Within Alr'S) - Mainland: Vancouver South</t>
  </si>
  <si>
    <t>I12-3032</t>
  </si>
  <si>
    <t>Talisman (Agriculture Capability Within Alr'S) - Mainland: Sechelt</t>
  </si>
  <si>
    <t>I12-3033</t>
  </si>
  <si>
    <t>Talisman (Agriculture Capability Within Alr'S) - Mainland: Vancouver North</t>
  </si>
  <si>
    <t>I12-3034</t>
  </si>
  <si>
    <t>Talisman (Agriculture Capability Within Alr'S) - Mainland: Coquitlam</t>
  </si>
  <si>
    <t>I12-3035</t>
  </si>
  <si>
    <t>Talisman (Agriculture Capability Within Alr'S) - Mainland: Stave Lake</t>
  </si>
  <si>
    <t>I12-3036</t>
  </si>
  <si>
    <t>Talisman (Agriculture Capability Within Alr'S) - Mainland: Squamish</t>
  </si>
  <si>
    <t>I12-3037</t>
  </si>
  <si>
    <t>Talisman (Agriculture Capability Within Alr'S) - Mainland: Sechelt Inlet</t>
  </si>
  <si>
    <t>I12-3038</t>
  </si>
  <si>
    <t>Talisman (Agriculture Capability Within Alr'S) - Mainland: Cheakamus River</t>
  </si>
  <si>
    <t>I12-3039</t>
  </si>
  <si>
    <t>Talisman (Agriculture Capability Within Alr'S) - Mainland: Glaciar Lake</t>
  </si>
  <si>
    <t>I12-3040</t>
  </si>
  <si>
    <t>Talisman (Agriculture Capability Within Alr'S) - Mainland: Skagit</t>
  </si>
  <si>
    <t>I12-3041</t>
  </si>
  <si>
    <t>Talisman (Agriculture Capability Within Alr'S) - Mainland: Chilliwack</t>
  </si>
  <si>
    <t>I12-3042</t>
  </si>
  <si>
    <t>Talisman (Agriculture Capability Within Alr'S) - Mainland: Harrison Lake</t>
  </si>
  <si>
    <t>I12-3043</t>
  </si>
  <si>
    <t>Talisman (Agriculture Capability Within Alr'S) - Mainland: Hope</t>
  </si>
  <si>
    <t>I12-3044</t>
  </si>
  <si>
    <t>092H11</t>
  </si>
  <si>
    <t>Talisman (Agriculture Capability Within Alr'S) - Mainland: Spuzzum</t>
  </si>
  <si>
    <t>I12-3045</t>
  </si>
  <si>
    <t>092H13</t>
  </si>
  <si>
    <t>Talisman (Agriculture Capability Within Alr'S) - Mainland: Scuzzy Mountain</t>
  </si>
  <si>
    <t>I12-3046</t>
  </si>
  <si>
    <t>092H14</t>
  </si>
  <si>
    <t>Talisman (Agriculture Capability Within Alr'S) - Mainland: Boston Bar</t>
  </si>
  <si>
    <t>I12-3047</t>
  </si>
  <si>
    <t>Talisman (Agriculture Capability Within Alr'S) - Mainland: Brandywine</t>
  </si>
  <si>
    <t>I12-3048</t>
  </si>
  <si>
    <t>Talisman (Agriculture Capability Within Alr'S) - Mainland: Pemberton</t>
  </si>
  <si>
    <t>I12-3049</t>
  </si>
  <si>
    <t>Talisman (Agriculture Capability Within Alr'S) - Mainland: Shalalth</t>
  </si>
  <si>
    <t>I12-3050</t>
  </si>
  <si>
    <t>Talisman (Agriculture Capability Within Alr'S) - Mainland: Birkenhead Lake</t>
  </si>
  <si>
    <t>I12-3051</t>
  </si>
  <si>
    <t>Talisman (Agriculture Capability Within Alr'S) - Mainland: Meager Creek</t>
  </si>
  <si>
    <t>I12-3052</t>
  </si>
  <si>
    <t>Talisman (Agriculture Capability Within Alr'S) - Mainland: Refuge Cove</t>
  </si>
  <si>
    <t>I12-3053</t>
  </si>
  <si>
    <t>Talisman (Agriculture Capability Within Alr'S) - Mainland: Quadra Island</t>
  </si>
  <si>
    <t>I13-3054</t>
  </si>
  <si>
    <t>Talisman (Agriculture Capability Within Alr'S) - Thompson: Shorts Creek</t>
  </si>
  <si>
    <t>I13-3055</t>
  </si>
  <si>
    <t>Talisman (Agriculture Capability Within Alr'S) - Thompson: Westwold</t>
  </si>
  <si>
    <t>I13-3056</t>
  </si>
  <si>
    <t>Talisman (Agriculture Capability Within Alr'S) - Thompson: Monte Creek</t>
  </si>
  <si>
    <t>I13-3057</t>
  </si>
  <si>
    <t>Talisman (Agriculture Capability Within Alr'S) - Thompson: Chase</t>
  </si>
  <si>
    <t>I13-3058</t>
  </si>
  <si>
    <t>Talisman (Agriculture Capability Within Alr'S) - Thompson: Sorrento</t>
  </si>
  <si>
    <t>I13-3059</t>
  </si>
  <si>
    <t>Talisman (Agriculture Capability Within Alr'S) - Thompson: Albas</t>
  </si>
  <si>
    <t>I13-3060</t>
  </si>
  <si>
    <t>Talisman (Agriculture Capability Within Alr'S) - Thompson: Adams Plateau</t>
  </si>
  <si>
    <t>I13-3061</t>
  </si>
  <si>
    <t>Talisman (Agriculture Capability Within Alr'S) - Thompson: Cayenne Creek</t>
  </si>
  <si>
    <t>I13-3062</t>
  </si>
  <si>
    <t>Talisman (Agriculture Capability Within Alr'S) - Thompson: Adams River</t>
  </si>
  <si>
    <t>I13-3063</t>
  </si>
  <si>
    <t>Talisman (Agriculture Capability Within Alr'S) - Thompson: Vavenby</t>
  </si>
  <si>
    <t>I13-3064</t>
  </si>
  <si>
    <t>Talisman (Agriculture Capability Within Alr'S) - Thompson: Messiter</t>
  </si>
  <si>
    <t>I13-3065</t>
  </si>
  <si>
    <t>Talisman (Agriculture Capability Within Alr'S) - Thompson: Boston Bar</t>
  </si>
  <si>
    <t>I13-3066</t>
  </si>
  <si>
    <t>Talisman (Agriculture Capability Within Alr'S) - Thompson: Aspen Grove</t>
  </si>
  <si>
    <t>I13-3067</t>
  </si>
  <si>
    <t>Talisman (Agriculture Capability Within Alr'S) - Thompson: Paradise Lake</t>
  </si>
  <si>
    <t>I13-3068</t>
  </si>
  <si>
    <t>Talisman (Agriculture Capability Within Alr'S) - Thompson: Douglas Lake</t>
  </si>
  <si>
    <t>I13-3069</t>
  </si>
  <si>
    <t>Talisman (Agriculture Capability Within Alr'S) - Thompson: Merritt</t>
  </si>
  <si>
    <t>I13-3070</t>
  </si>
  <si>
    <t>Talisman (Agriculture Capability Within Alr'S) - Thompson: Prospect Creek</t>
  </si>
  <si>
    <t>I13-3071</t>
  </si>
  <si>
    <t>Talisman (Agriculture Capability Within Alr'S) - Thompson: Lytton</t>
  </si>
  <si>
    <t>I13-3072</t>
  </si>
  <si>
    <t>Talisman (Agriculture Capability Within Alr'S) - Thompson: Stein River</t>
  </si>
  <si>
    <t>I13-3073</t>
  </si>
  <si>
    <t>Talisman (Agriculture Capability Within Alr'S) - Thompson: Spences Bridge</t>
  </si>
  <si>
    <t>I13-3074</t>
  </si>
  <si>
    <t>Talisman (Agriculture Capability Within Alr'S) - Thompson: Mamit Lake</t>
  </si>
  <si>
    <t>I13-3075</t>
  </si>
  <si>
    <t>Talisman (Agriculture Capability Within Alr'S) - Thompson: Stump Lake</t>
  </si>
  <si>
    <t>I13-3076</t>
  </si>
  <si>
    <t>Talisman (Agriculture Capability Within Alr'S) - Thompson: Kamloops</t>
  </si>
  <si>
    <t>I13-3077</t>
  </si>
  <si>
    <t>Talisman (Agriculture Capability Within Alr'S) - Thompson: Cherry Creek</t>
  </si>
  <si>
    <t>I13-3078</t>
  </si>
  <si>
    <t>Talisman (Agriculture Capability Within Alr'S) - Thompson: Ashcroft</t>
  </si>
  <si>
    <t>I13-3079</t>
  </si>
  <si>
    <t>Talisman (Agriculture Capability Within Alr'S) - Thompson: Lillooet</t>
  </si>
  <si>
    <t>I13-3080</t>
  </si>
  <si>
    <t>Talisman (Agriculture Capability Within Alr'S) - Thompson: Pavillion</t>
  </si>
  <si>
    <t>I13-3081</t>
  </si>
  <si>
    <t>Talisman (Agriculture Capability Within Alr'S) - Thompson: Cashe Creek</t>
  </si>
  <si>
    <t>I13-3082</t>
  </si>
  <si>
    <t>Talisman (Agriculture Capability Within Alr'S) - Thompson: Tranquille River</t>
  </si>
  <si>
    <t>I13-3083</t>
  </si>
  <si>
    <t>Talisman (Agriculture Capability Within Alr'S) - Thompson: Heffley</t>
  </si>
  <si>
    <t>I13-3084</t>
  </si>
  <si>
    <t>Talisman (Agriculture Capability Within Alr'S) - Thompson: Shalalth</t>
  </si>
  <si>
    <t>I13-3085</t>
  </si>
  <si>
    <t>Talisman (Agriculture Capability Within Alr'S) - Thompson: Birkenhead Lake</t>
  </si>
  <si>
    <t>I13-3086</t>
  </si>
  <si>
    <t>Talisman (Agriculture Capability Within Alr'S) - Thompson: Bralorne</t>
  </si>
  <si>
    <t>I13-3087</t>
  </si>
  <si>
    <t>Talisman (Agriculture Capability Within Alr'S) - Thompson: Yalakom River</t>
  </si>
  <si>
    <t>I13-3088</t>
  </si>
  <si>
    <t>Talisman (Agriculture Capability Within Alr'S) - Thompson: Churn Creek</t>
  </si>
  <si>
    <t>I13-3089</t>
  </si>
  <si>
    <t>Talisman (Agriculture Capability Within Alr'S) - Thompson: Empire Valley</t>
  </si>
  <si>
    <t>I13-3090</t>
  </si>
  <si>
    <t>Talisman (Agriculture Capability Within Alr'S) - Thompson: Dog Creek</t>
  </si>
  <si>
    <t>I13-3091</t>
  </si>
  <si>
    <t>Talisman (Agriculture Capability Within Alr'S) - Thompson: Louis Creek</t>
  </si>
  <si>
    <t>I13-3092</t>
  </si>
  <si>
    <t>Talisman (Agriculture Capability Within Alr'S) - Thompson: Criss Creek</t>
  </si>
  <si>
    <t>I13-3093</t>
  </si>
  <si>
    <t>Talisman (Agriculture Capability Within Alr'S) - Thompson: Loon Lake</t>
  </si>
  <si>
    <t>I13-3094</t>
  </si>
  <si>
    <t>Talisman (Agriculture Capability Within Alr'S) - Thompson: Clinton</t>
  </si>
  <si>
    <t>I13-3095</t>
  </si>
  <si>
    <t>Talisman (Agriculture Capability Within Alr'S) - Thompson: Jesmond</t>
  </si>
  <si>
    <t>I13-3096</t>
  </si>
  <si>
    <t>Talisman (Agriculture Capability Within Alr'S) - Thompson: Green Lake</t>
  </si>
  <si>
    <t>I13-3097</t>
  </si>
  <si>
    <t>Talisman (Agriculture Capability Within Alr'S) - Thompson: Bridge Lake</t>
  </si>
  <si>
    <t>I13-3098</t>
  </si>
  <si>
    <t>Talisman (Agriculture Capability Within Alr'S) - Thompson: Chu Chua Creek</t>
  </si>
  <si>
    <t>I13-3099</t>
  </si>
  <si>
    <t>Talisman (Agriculture Capability Within Alr'S) - Thompson: Clearwater</t>
  </si>
  <si>
    <t>I13-3100</t>
  </si>
  <si>
    <t>Talisman (Agriculture Capability Within Alr'S) - Thompson: Gustafsen Lake</t>
  </si>
  <si>
    <t>I14-3101</t>
  </si>
  <si>
    <t>Talisman (Agriculture Capability Within Alr'S) - Kootenay: Grand Forks</t>
  </si>
  <si>
    <t>I14-3102</t>
  </si>
  <si>
    <t>Talisman (Agriculture Capability Within Alr'S) - Kootenay: Greenwood</t>
  </si>
  <si>
    <t>I14-3103</t>
  </si>
  <si>
    <t>Talisman (Agriculture Capability Within Alr'S) - Kootenay: Osoyoos</t>
  </si>
  <si>
    <t>I14-3104</t>
  </si>
  <si>
    <t>Talisman (Agriculture Capability Within Alr'S) - Kootenay: Beaverdell</t>
  </si>
  <si>
    <t>I14-3105</t>
  </si>
  <si>
    <t>Talisman (Agriculture Capability Within Alr'S) - Kootenay: Almond Mountain</t>
  </si>
  <si>
    <t>I14-3106</t>
  </si>
  <si>
    <t>Talisman (Agriculture Capability Within Alr'S) - Kootenay: Renata</t>
  </si>
  <si>
    <t>I14-3107</t>
  </si>
  <si>
    <t>Talisman (Agriculture Capability Within Alr'S) - Kootenay: Golden Valley</t>
  </si>
  <si>
    <t>I14-3108</t>
  </si>
  <si>
    <t>Talisman (Agriculture Capability Within Alr'S) - Kootenay: Wilkinson Creek</t>
  </si>
  <si>
    <t>I14-3109</t>
  </si>
  <si>
    <t>Talisman (Agriculture Capability Within Alr'S) - Kootenay: Kelowna</t>
  </si>
  <si>
    <t>I14-3110</t>
  </si>
  <si>
    <t>Talisman (Agriculture Capability Within Alr'S) - Kootenay: Edgewood</t>
  </si>
  <si>
    <t>I14-3111</t>
  </si>
  <si>
    <t>Talisman (Agriculture Capability Within Alr'S) - Kootenay: Yahk</t>
  </si>
  <si>
    <t>I14-3112</t>
  </si>
  <si>
    <t>Talisman (Agriculture Capability Within Alr'S) - Kootenay: Creston</t>
  </si>
  <si>
    <t>I14-3113</t>
  </si>
  <si>
    <t>Talisman (Agriculture Capability Within Alr'S) - Kootenay: Salmo</t>
  </si>
  <si>
    <t>I14-3114</t>
  </si>
  <si>
    <t>Talisman (Agriculture Capability Within Alr'S) - Kootenay: Rossland-Trail</t>
  </si>
  <si>
    <t>I14-3115</t>
  </si>
  <si>
    <t>Talisman (Agriculture Capability Within Alr'S) - Kootenay: Castlegar</t>
  </si>
  <si>
    <t>I14-3116</t>
  </si>
  <si>
    <t>Talisman (Agriculture Capability Within Alr'S) - Kootenay: Nelson</t>
  </si>
  <si>
    <t>I14-3117</t>
  </si>
  <si>
    <t>Talisman (Agriculture Capability Within Alr'S) - Kootenay: Boswell</t>
  </si>
  <si>
    <t>I14-3118</t>
  </si>
  <si>
    <t>Talisman (Agriculture Capability Within Alr'S) - Kootenay: St. Mary'S Lake</t>
  </si>
  <si>
    <t>I14-3119</t>
  </si>
  <si>
    <t>Talisman (Agriculture Capability Within Alr'S) - Kootenay: Crawford Bay</t>
  </si>
  <si>
    <t>I14-3120</t>
  </si>
  <si>
    <t>Talisman (Agriculture Capability Within Alr'S) - Kootenay: Kokanee Peak</t>
  </si>
  <si>
    <t>I14-3121</t>
  </si>
  <si>
    <t>Talisman (Agriculture Capability Within Alr'S) - Kootenay: Passmore</t>
  </si>
  <si>
    <t>I14-3122</t>
  </si>
  <si>
    <t>Talisman (Agriculture Capability Within Alr'S) - Kootenay: Burton</t>
  </si>
  <si>
    <t>I14-3123</t>
  </si>
  <si>
    <t>Talisman (Agriculture Capability Within Alr'S) - Kootenay: Slocan</t>
  </si>
  <si>
    <t>I14-3124</t>
  </si>
  <si>
    <t>Talisman (Agriculture Capability Within Alr'S) - Kootenay: Kaslo</t>
  </si>
  <si>
    <t>I14-3125</t>
  </si>
  <si>
    <t>Talisman (Agriculture Capability Within Alr'S) - Kootenay: Lake Koocanusa</t>
  </si>
  <si>
    <t>I14-3126</t>
  </si>
  <si>
    <t>Talisman (Agriculture Capability Within Alr'S) - Kootenay: Movie Lake</t>
  </si>
  <si>
    <t>I14-3127</t>
  </si>
  <si>
    <t>Talisman (Agriculture Capability Within Alr'S) - Kootenay: Elko</t>
  </si>
  <si>
    <t>I14-3128</t>
  </si>
  <si>
    <t>Talisman (Agriculture Capability Within Alr'S) - Kootenay: Flathead</t>
  </si>
  <si>
    <t>I14-3129</t>
  </si>
  <si>
    <t>Talisman (Agriculture Capability Within Alr'S) - Kootenay: Crowsnest</t>
  </si>
  <si>
    <t>I14-3130</t>
  </si>
  <si>
    <t>Talisman (Agriculture Capability Within Alr'S) - Kootenay: Fernie</t>
  </si>
  <si>
    <t>I14-3131</t>
  </si>
  <si>
    <t>Talisman (Agriculture Capability Within Alr'S) - Kootenay: Cranbrook</t>
  </si>
  <si>
    <t>I14-3147</t>
  </si>
  <si>
    <t>Talisman (Agriculture Capability Within Alr'S) - Kootenay: Beaton</t>
  </si>
  <si>
    <t>I14-3148</t>
  </si>
  <si>
    <t>Talisman (Agriculture Capability Within Alr'S) - Kootenay: Cambonne</t>
  </si>
  <si>
    <t>I14-3149</t>
  </si>
  <si>
    <t>Talisman (Agriculture Capability Within Alr'S) - Kootenay: Spillimacheen</t>
  </si>
  <si>
    <t>I16-3241</t>
  </si>
  <si>
    <t>Talisman (Agriculture Capability Within Alr'S) - Skeena: Kitwanga</t>
  </si>
  <si>
    <t>I17-3242</t>
  </si>
  <si>
    <t>Talisman (Agriculture Capability Within Alr'S) - Omineca: Valemount</t>
  </si>
  <si>
    <t>I17-3243</t>
  </si>
  <si>
    <t>083E03</t>
  </si>
  <si>
    <t>Talisman (Agriculture Capability Within Alr'S) - Omineca: Mount Robson</t>
  </si>
  <si>
    <t>K03-452</t>
  </si>
  <si>
    <t>082F/NW</t>
  </si>
  <si>
    <t>Soil/Terrain - Nelson</t>
  </si>
  <si>
    <t>Soils &amp; Landforms (Terrain), Pub In "Soil Resources of The Nelson Map Area" (2 Sets)  Slocan</t>
  </si>
  <si>
    <t>Soil Resources of the Nelson Map Area. British Columbia Soil Survey Report No. 28</t>
  </si>
  <si>
    <t>GIS (.e00) is available from CANSIS at the following URL:</t>
  </si>
  <si>
    <t>Digital JPEG map files are available (with the reports) from CANSIS at the following URL:</t>
  </si>
  <si>
    <t>A .Tiff file is also available from the MapPlace at the following URL</t>
  </si>
  <si>
    <t>The report (,pdf)  is available from CANSIS at the following URL:</t>
  </si>
  <si>
    <t>K04-1966</t>
  </si>
  <si>
    <t>Soil - Taseko Lakes</t>
  </si>
  <si>
    <t>Soils  Pub In "Soils of The Taseko Lakes Area, Bc" - Hanceville</t>
  </si>
  <si>
    <t>Soils of the Taseko Lakes Area, British Columbia. British Columbia Soil Survey Report No. 36</t>
  </si>
  <si>
    <t>GIS (.e00/.shp) data is available from the MapPlace at the following URL:</t>
  </si>
  <si>
    <t>K05-2529</t>
  </si>
  <si>
    <t>Soil/Terrain - Smithers - Hazelton</t>
  </si>
  <si>
    <t>Soils &amp; Landforms (Terrain), Included In "Soil Resources of The Smithers-H.." - Telkwa River-Legend Attached.</t>
  </si>
  <si>
    <t>Soil Resources of the Smithers - Hazelton. British Columbia Soil Survey Report No. 21</t>
  </si>
  <si>
    <t>The report is available from the Crown Publications at the following URL:</t>
  </si>
  <si>
    <t>K07-358</t>
  </si>
  <si>
    <t>Soil - Penticton</t>
  </si>
  <si>
    <t>Soils - Edgewood</t>
  </si>
  <si>
    <t>Soils of the Penticton Map Area 82E</t>
  </si>
  <si>
    <t>I14-3132</t>
  </si>
  <si>
    <t>Talisman (Agriculture Capability Within Alr'S) - Kootenay: Skookumchuck</t>
  </si>
  <si>
    <t>I14-3133</t>
  </si>
  <si>
    <t>Talisman (Agriculture Capability Within Alr'S) - Kootenay: Tornado Mountain</t>
  </si>
  <si>
    <t>I14-3134</t>
  </si>
  <si>
    <t>Talisman (Agriculture Capability Within Alr'S) - Kootenay: Canal Flats</t>
  </si>
  <si>
    <t>I14-3135</t>
  </si>
  <si>
    <t>Talisman (Agriculture Capability Within Alr'S) - Kootenay: Fairmont Hot Springs</t>
  </si>
  <si>
    <t>I14-3136</t>
  </si>
  <si>
    <t>Talisman (Agriculture Capability Within Alr'S) - Kootenay: Tangle Peak</t>
  </si>
  <si>
    <t>I14-3137</t>
  </si>
  <si>
    <t>Talisman (Agriculture Capability Within Alr'S) - Kootenay: Findlay Creek</t>
  </si>
  <si>
    <t>I14-3138</t>
  </si>
  <si>
    <t>Talisman (Agriculture Capability Within Alr'S) - Kootenay: Lardeau</t>
  </si>
  <si>
    <t>I14-3139</t>
  </si>
  <si>
    <t>Talisman (Agriculture Capability Within Alr'S) - Kootenay: Roseberry</t>
  </si>
  <si>
    <t>I14-3140</t>
  </si>
  <si>
    <t>Talisman (Agriculture Capability Within Alr'S) - Kootenay: Nakusp</t>
  </si>
  <si>
    <t>I14-3141</t>
  </si>
  <si>
    <t>Talisman (Agriculture Capability Within Alr'S) - Kootenay: St. Leon</t>
  </si>
  <si>
    <t>I14-3142</t>
  </si>
  <si>
    <t>Talisman (Agriculture Capability Within Alr'S) - Kootenay: Poplar Creek</t>
  </si>
  <si>
    <t>I14-3143</t>
  </si>
  <si>
    <t>Talisman (Agriculture Capability Within Alr'S) - Kootenay: Duncan Lake</t>
  </si>
  <si>
    <t>I14-3144</t>
  </si>
  <si>
    <t>Talisman (Agriculture Capability Within Alr'S) - Kootenay: Toby Creek</t>
  </si>
  <si>
    <t>I14-3145</t>
  </si>
  <si>
    <t>Talisman (Agriculture Capability Within Alr'S) - Kootenay: Radium Hot Springs</t>
  </si>
  <si>
    <t>I14-3146</t>
  </si>
  <si>
    <t>Talisman (Agriculture Capability Within Alr'S) - Kootenay: Trout Lake</t>
  </si>
  <si>
    <t>I14-3150</t>
  </si>
  <si>
    <t>Talisman (Agriculture Capability Within Alr'S) - Kootenay: Eureka Mountain</t>
  </si>
  <si>
    <t>I14-3151</t>
  </si>
  <si>
    <t>Talisman (Agriculture Capability Within Alr'S) - Kootenay: Mount Fosthall</t>
  </si>
  <si>
    <t>I14-3152</t>
  </si>
  <si>
    <t>Talisman (Agriculture Capability Within Alr'S) - Kootenay: Gates Creek</t>
  </si>
  <si>
    <t>I14-3153</t>
  </si>
  <si>
    <t>Talisman (Agriculture Capability Within Alr'S) - Kootenay: Mabel Lake</t>
  </si>
  <si>
    <t>I14-3154</t>
  </si>
  <si>
    <t>Talisman (Agriculture Capability Within Alr'S) - Kootenay: Revelstoke</t>
  </si>
  <si>
    <t>I14-3155</t>
  </si>
  <si>
    <t>Talisman (Agriculture Capability Within Alr'S) - Kootenay: Mount Goodsir</t>
  </si>
  <si>
    <t>I14-3156</t>
  </si>
  <si>
    <t>Talisman (Agriculture Capability Within Alr'S) - Kootenay: Mcmurdo</t>
  </si>
  <si>
    <t>I14-3157</t>
  </si>
  <si>
    <t>Talisman (Agriculture Capability Within Alr'S) - Kootenay: Blaeberry</t>
  </si>
  <si>
    <t>I14-4907</t>
  </si>
  <si>
    <t>Talisman (Agriculture Capability Within Alr'S) - Kootenay: Golden</t>
  </si>
  <si>
    <t>I14-877</t>
  </si>
  <si>
    <t>082N11</t>
  </si>
  <si>
    <t>Talisman (Agriculture Capability Within Alr'S) - Kootenay: Beavermouth</t>
  </si>
  <si>
    <t>I15-3158</t>
  </si>
  <si>
    <t>Talisman (Agriculture Capability Within Alr'S) - Cariboo: Churn Creek</t>
  </si>
  <si>
    <t>I15-3159</t>
  </si>
  <si>
    <t>Talisman (Agriculture Capability Within Alr'S) - Cariboo: Dog Creek</t>
  </si>
  <si>
    <t>I15-3160</t>
  </si>
  <si>
    <t>Talisman (Agriculture Capability Within Alr'S) - Cariboo: Gaspard Creek</t>
  </si>
  <si>
    <t>I15-3161</t>
  </si>
  <si>
    <t>Talisman (Agriculture Capability Within Alr'S) - Cariboo: Bambrick Creek</t>
  </si>
  <si>
    <t>I15-3162</t>
  </si>
  <si>
    <t>Talisman (Agriculture Capability Within Alr'S) - Cariboo: Elkin Creek</t>
  </si>
  <si>
    <t>I15-3163</t>
  </si>
  <si>
    <t>Talisman (Agriculture Capability Within Alr'S) - Cariboo: Scum Lake</t>
  </si>
  <si>
    <t>I15-3164</t>
  </si>
  <si>
    <t>Talisman (Agriculture Capability Within Alr'S) - Cariboo: Hanceville</t>
  </si>
  <si>
    <t>I15-3165</t>
  </si>
  <si>
    <t>Talisman (Agriculture Capability Within Alr'S) - Cariboo: Riske Creek</t>
  </si>
  <si>
    <t>I15-3166</t>
  </si>
  <si>
    <t>Talisman (Agriculture Capability Within Alr'S) - Cariboo: Springhouse</t>
  </si>
  <si>
    <t>I15-3167</t>
  </si>
  <si>
    <t>Talisman (Agriculture Capability Within Alr'S) - Cariboo: Green Lake</t>
  </si>
  <si>
    <t>I15-3168</t>
  </si>
  <si>
    <t>Talisman (Agriculture Capability Within Alr'S) - Cariboo: Bridge Lake</t>
  </si>
  <si>
    <t>I15-3169</t>
  </si>
  <si>
    <t>Talisman (Agriculture Capability Within Alr'S) - Cariboo: Deka Lake</t>
  </si>
  <si>
    <t>I15-3170</t>
  </si>
  <si>
    <t>Talisman (Agriculture Capability Within Alr'S) - Cariboo: 100 Mile House</t>
  </si>
  <si>
    <t>I15-3171</t>
  </si>
  <si>
    <t>Talisman (Agriculture Capability Within Alr'S) - Cariboo: Gustafsen Lake</t>
  </si>
  <si>
    <t>I15-3172</t>
  </si>
  <si>
    <t>Talisman (Agriculture Capability Within Alr'S) - Cariboo: Chimney Lake</t>
  </si>
  <si>
    <t>I15-3173</t>
  </si>
  <si>
    <t>Talisman (Agriculture Capability Within Alr'S) - Cariboo: Lac La Hache</t>
  </si>
  <si>
    <t>I15-3174</t>
  </si>
  <si>
    <t>Talisman (Agriculture Capability Within Alr'S) - Cariboo: Canim Lake</t>
  </si>
  <si>
    <t>I15-3175</t>
  </si>
  <si>
    <t>Talisman (Agriculture Capability Within Alr'S) - Cariboo: Mahood Lake</t>
  </si>
  <si>
    <t>I15-3176</t>
  </si>
  <si>
    <t>Talisman (Agriculture Capability Within Alr'S) - Cariboo: Mckinley Creek</t>
  </si>
  <si>
    <t>I15-3177</t>
  </si>
  <si>
    <t>Talisman (Agriculture Capability Within Alr'S) - Cariboo: Murphy Lake</t>
  </si>
  <si>
    <t>I15-3178</t>
  </si>
  <si>
    <t>Talisman (Agriculture Capability Within Alr'S) - Cariboo: 150 Mile House</t>
  </si>
  <si>
    <t>I15-3179</t>
  </si>
  <si>
    <t>Talisman (Agriculture Capability Within Alr'S) - Cariboo: Beaver Creek</t>
  </si>
  <si>
    <t>I15-3180</t>
  </si>
  <si>
    <t>Talisman (Agriculture Capability Within Alr'S) - Cariboo: Horsefly</t>
  </si>
  <si>
    <t>I15-3181</t>
  </si>
  <si>
    <t>Talisman (Agriculture Capability Within Alr'S) - Cariboo: Mackay River</t>
  </si>
  <si>
    <t>I15-3182</t>
  </si>
  <si>
    <t>Talisman (Agriculture Capability Within Alr'S) - Cariboo: Williams Lake</t>
  </si>
  <si>
    <t>I15-3183</t>
  </si>
  <si>
    <t>Talisman (Agriculture Capability Within Alr'S) - Cariboo: Drummond Lake</t>
  </si>
  <si>
    <t>I15-3184</t>
  </si>
  <si>
    <t>Talisman (Agriculture Capability Within Alr'S) - Cariboo: Alexis Creek</t>
  </si>
  <si>
    <t>I15-3185</t>
  </si>
  <si>
    <t>Talisman (Agriculture Capability Within Alr'S) - Cariboo: Redstone</t>
  </si>
  <si>
    <t>I15-3186</t>
  </si>
  <si>
    <t>Talisman (Agriculture Capability Within Alr'S) - Cariboo: Loomis Lake</t>
  </si>
  <si>
    <t>I15-3187</t>
  </si>
  <si>
    <t>Talisman (Agriculture Capability Within Alr'S) - Cariboo: Stum Lake</t>
  </si>
  <si>
    <t>I15-3188</t>
  </si>
  <si>
    <t>Talisman (Agriculture Capability Within Alr'S) - Cariboo: Twan Creek</t>
  </si>
  <si>
    <t>I15-3189</t>
  </si>
  <si>
    <t>Talisman (Agriculture Capability Within Alr'S) - Cariboo: Soda Creek</t>
  </si>
  <si>
    <t>I15-3190</t>
  </si>
  <si>
    <t>Talisman (Agriculture Capability Within Alr'S) - Cariboo: Alexandria</t>
  </si>
  <si>
    <t>I15-3191</t>
  </si>
  <si>
    <t>Talisman (Agriculture Capability Within Alr'S) - Cariboo: Narcosli Creek</t>
  </si>
  <si>
    <t>I15-3192</t>
  </si>
  <si>
    <t>Talisman (Agriculture Capability Within Alr'S) - Cariboo: Baker Creek</t>
  </si>
  <si>
    <t>I15-3193</t>
  </si>
  <si>
    <t>Talisman (Agriculture Capability Within Alr'S) - Cariboo: Quesnel River</t>
  </si>
  <si>
    <t>I15-3194</t>
  </si>
  <si>
    <t>Talisman (Agriculture Capability Within Alr'S) - Cariboo: Bella Coola</t>
  </si>
  <si>
    <t>I15-3195</t>
  </si>
  <si>
    <t>Talisman (Agriculture Capability Within Alr'S) - Cariboo: Stuie</t>
  </si>
  <si>
    <t>I15-3196</t>
  </si>
  <si>
    <t>Talisman (Agriculture Capability Within Alr'S) - Cariboo: Cottonwood Lake</t>
  </si>
  <si>
    <t>I15-3197</t>
  </si>
  <si>
    <t>Talisman (Agriculture Capability Within Alr'S) - Cariboo: Cottonwood Canyon</t>
  </si>
  <si>
    <t>I15-3198</t>
  </si>
  <si>
    <t>Talisman (Agriculture Capability Within Alr'S) - Cariboo: Hixon</t>
  </si>
  <si>
    <t>I15-3199</t>
  </si>
  <si>
    <t>Talisman (Agriculture Capability Within Alr'S) - Cariboo: Ahbau Lake</t>
  </si>
  <si>
    <t>I16-3200</t>
  </si>
  <si>
    <t>Talisman (Agriculture Capability Within Alr'S) - Skeena: Nadina River</t>
  </si>
  <si>
    <t>I16-3201</t>
  </si>
  <si>
    <t>Talisman (Agriculture Capability Within Alr'S) - Skeena: Wistaria</t>
  </si>
  <si>
    <t>I16-3202</t>
  </si>
  <si>
    <t>Talisman (Agriculture Capability Within Alr'S) - Skeena: Marilla</t>
  </si>
  <si>
    <t>I16-3203</t>
  </si>
  <si>
    <t>Talisman (Agriculture Capability Within Alr'S) - Skeena: Takysie Lake</t>
  </si>
  <si>
    <t>I16-3204</t>
  </si>
  <si>
    <t>Talisman (Agriculture Capability Within Alr'S) - Skeena: Endako</t>
  </si>
  <si>
    <t>I16-3205</t>
  </si>
  <si>
    <t>Talisman (Agriculture Capability Within Alr'S) - Skeena: Burnas Lake</t>
  </si>
  <si>
    <t>I16-3206</t>
  </si>
  <si>
    <t>Talisman (Agriculture Capability Within Alr'S) - Skeena: Decker Lake</t>
  </si>
  <si>
    <t>I16-3207</t>
  </si>
  <si>
    <t>Talisman (Agriculture Capability Within Alr'S) - Skeena: Colleymount</t>
  </si>
  <si>
    <t>I16-3208</t>
  </si>
  <si>
    <t>Talisman (Agriculture Capability Within Alr'S) - Skeena: Owen Lake</t>
  </si>
  <si>
    <t>I16-3209</t>
  </si>
  <si>
    <t>Talisman (Agriculture Capability Within Alr'S) - Skeena: Houston</t>
  </si>
  <si>
    <t>I16-3210</t>
  </si>
  <si>
    <t>Talisman (Agriculture Capability Within Alr'S) - Skeena: Forestdale</t>
  </si>
  <si>
    <t>I16-3211</t>
  </si>
  <si>
    <t>Talisman (Agriculture Capability Within Alr'S) - Skeena: Topley</t>
  </si>
  <si>
    <t>I16-3212</t>
  </si>
  <si>
    <t>Talisman (Agriculture Capability Within Alr'S) - Skeena: Quick</t>
  </si>
  <si>
    <t>I16-3213</t>
  </si>
  <si>
    <t>Talisman (Agriculture Capability Within Alr'S) - Skeena15/09/2006 Telkwa</t>
  </si>
  <si>
    <t>I16-3214</t>
  </si>
  <si>
    <t>Talisman (Agriculture Capability Within Alr'S) - Skeena: Mcdonell Lake</t>
  </si>
  <si>
    <t>I16-3215</t>
  </si>
  <si>
    <t>Talisman (Agriculture Capability Within Alr'S) - Skeena: Smithers</t>
  </si>
  <si>
    <t>I16-3216</t>
  </si>
  <si>
    <t>Talisman (Agriculture Capability Within Alr'S) - Skeena: Driftwood Creek</t>
  </si>
  <si>
    <t>I16-3217</t>
  </si>
  <si>
    <t>Talisman (Agriculture Capability Within Alr'S) - Skeena: Fulton Lake</t>
  </si>
  <si>
    <t>I16-3218</t>
  </si>
  <si>
    <t>Talisman (Agriculture Capability Within Alr'S) - Skeena: Moricetown</t>
  </si>
  <si>
    <t>I16-3219</t>
  </si>
  <si>
    <t>Talisman (Agriculture Capability Within Alr'S) - Skeena: Skeena Crossing</t>
  </si>
  <si>
    <t>I16-3220</t>
  </si>
  <si>
    <t>Talisman (Agriculture Capability Within Alr'S) - Skeena: Hazelton</t>
  </si>
  <si>
    <t>I16-3221</t>
  </si>
  <si>
    <t>Talisman (Agriculture Capability Within Alr'S) - Skeena: Suskwa River</t>
  </si>
  <si>
    <t>I16-3222</t>
  </si>
  <si>
    <t>Talisman (Agriculture Capability Within Alr'S) - Skeena: Skidegate Channel</t>
  </si>
  <si>
    <t>I16-3223</t>
  </si>
  <si>
    <t>Talisman (Agriculture Capability Within Alr'S) - Skeena: Yakoun Lake</t>
  </si>
  <si>
    <t>I16-3224</t>
  </si>
  <si>
    <t>Talisman (Agriculture Capability Within Alr'S) - Skeena: Port Clementis</t>
  </si>
  <si>
    <t>I16-3225</t>
  </si>
  <si>
    <t>Talisman (Agriculture Capability Within Alr'S) - Skeena: Masset Sound</t>
  </si>
  <si>
    <t>I16-3226</t>
  </si>
  <si>
    <t>Talisman (Agriculture Capability Within Alr'S) - Skeena: Cumshewa</t>
  </si>
  <si>
    <t>I16-3227</t>
  </si>
  <si>
    <t>Talisman (Agriculture Capability Within Alr'S) - Skeena: Lawnhill</t>
  </si>
  <si>
    <t>I16-3228</t>
  </si>
  <si>
    <t>Talisman (Agriculture Capability Within Alr'S) - Skeena: Tlell</t>
  </si>
  <si>
    <t>I16-3229</t>
  </si>
  <si>
    <t>Talisman (Agriculture Capability Within Alr'S) - Skeena: Eagle Hill</t>
  </si>
  <si>
    <t>I16-3230</t>
  </si>
  <si>
    <t>Talisman (Agriculture Capability Within Alr'S) - Skeena: Kitimat</t>
  </si>
  <si>
    <t>I16-3231</t>
  </si>
  <si>
    <t>Talisman (Agriculture Capability Within Alr'S) - Skeena: Alastair Lake</t>
  </si>
  <si>
    <t>I16-3232</t>
  </si>
  <si>
    <t>Talisman (Agriculture Capability Within Alr'S) - Skeena: Salvus</t>
  </si>
  <si>
    <t>I16-3233</t>
  </si>
  <si>
    <t>Talisman (Agriculture Capability Within Alr'S) - Skeena: Lakelse</t>
  </si>
  <si>
    <t>I16-3234</t>
  </si>
  <si>
    <t>Talisman (Agriculture Capability Within Alr'S) - Skeena: Chist Creek</t>
  </si>
  <si>
    <t>I16-3235</t>
  </si>
  <si>
    <t>Talisman (Agriculture Capability Within Alr'S) - Skeena: Usk</t>
  </si>
  <si>
    <t>I16-3236</t>
  </si>
  <si>
    <t>Talisman (Agriculture Capability Within Alr'S) - Skeena: Terrace</t>
  </si>
  <si>
    <t>I16-3237</t>
  </si>
  <si>
    <t>Talisman (Agriculture Capability Within Alr'S) - Skeena: Port Essington</t>
  </si>
  <si>
    <t>I16-3238</t>
  </si>
  <si>
    <t>Talisman (Agriculture Capability Within Alr'S) - Skeena: Kitsumkalum</t>
  </si>
  <si>
    <t>I16-3239</t>
  </si>
  <si>
    <t>Talisman (Agriculture Capability Within Alr'S) - Skeena: Dorreen</t>
  </si>
  <si>
    <t>I16-3240</t>
  </si>
  <si>
    <t>Talisman (Agriculture Capability Within Alr'S) - Skeena: Masset</t>
  </si>
  <si>
    <t>I17-3244</t>
  </si>
  <si>
    <t>Talisman (Agriculture Capability Within Alr'S) - Omineca: Croydon</t>
  </si>
  <si>
    <t>I17-3245</t>
  </si>
  <si>
    <t>Talisman (Agriculture Capability Within Alr'S) - Omineca: Hallet Lake</t>
  </si>
  <si>
    <t>I17-3246</t>
  </si>
  <si>
    <t>Talisman (Agriculture Capability Within Alr'S) - Omineca: Nulki Lake</t>
  </si>
  <si>
    <t>I17-3247</t>
  </si>
  <si>
    <t>Talisman (Agriculture Capability Within Alr'S) - Omineca: Hixon</t>
  </si>
  <si>
    <t>I17-3248</t>
  </si>
  <si>
    <t>Talisman (Agriculture Capability Within Alr'S) - Omineca: Pitoney Lake</t>
  </si>
  <si>
    <t>I17-3249</t>
  </si>
  <si>
    <t>Talisman (Agriculture Capability Within Alr'S) - Omineca: Red Rock</t>
  </si>
  <si>
    <t>I17-3250</t>
  </si>
  <si>
    <t>Talisman (Agriculture Capability Within Alr'S) - Omineca: Bobtail Mountain</t>
  </si>
  <si>
    <t>I17-3251</t>
  </si>
  <si>
    <t>Talisman (Agriculture Capability Within Alr'S) - Omineca: Hulatt</t>
  </si>
  <si>
    <t>I17-3252</t>
  </si>
  <si>
    <t>Talisman (Agriculture Capability Within Alr'S) - Omineca: Isle Pierre</t>
  </si>
  <si>
    <t>I17-3253</t>
  </si>
  <si>
    <t>Talisman (Agriculture Capability Within Alr'S) - Omineca: Prince George</t>
  </si>
  <si>
    <t>I17-3254</t>
  </si>
  <si>
    <t>Talisman (Agriculture Capability Within Alr'S) - Omineca: Wansa Creek</t>
  </si>
  <si>
    <t>I17-3255</t>
  </si>
  <si>
    <t>Talisman (Agriculture Capability Within Alr'S) - Omineca: Eddy</t>
  </si>
  <si>
    <t>I17-3256</t>
  </si>
  <si>
    <t>Talisman (Agriculture Capability Within Alr'S) - Omineca: Goat River</t>
  </si>
  <si>
    <t>I17-3257</t>
  </si>
  <si>
    <t>Talisman (Agriculture Capability Within Alr'S) - Omineca: Mcbride</t>
  </si>
  <si>
    <t>I17-3258</t>
  </si>
  <si>
    <t>Talisman (Agriculture Capability Within Alr'S) - Omineca: Loos</t>
  </si>
  <si>
    <t>I17-3259</t>
  </si>
  <si>
    <t>Talisman (Agriculture Capability Within Alr'S) - Omineca: Dome Creek</t>
  </si>
  <si>
    <t>I17-3260</t>
  </si>
  <si>
    <t>Talisman (Agriculture Capability Within Alr'S) - Omineca: Hutton</t>
  </si>
  <si>
    <t>I17-3261</t>
  </si>
  <si>
    <t>Talisman (Agriculture Capability Within Alr'S) - Omineca: Penny</t>
  </si>
  <si>
    <t>I17-3262</t>
  </si>
  <si>
    <t>Talisman (Agriculture Capability Within Alr'S) - Omineca: Walker Creek</t>
  </si>
  <si>
    <t>I17-3263</t>
  </si>
  <si>
    <t>Talisman (Agriculture Capability Within Alr'S) - Omineca: Sinclair Mills</t>
  </si>
  <si>
    <t>I17-3264</t>
  </si>
  <si>
    <t>Talisman (Agriculture Capability Within Alr'S) - Omineca: Giscome</t>
  </si>
  <si>
    <t>I17-3265</t>
  </si>
  <si>
    <t>Talisman (Agriculture Capability Within Alr'S) - Omineca: Salmon Valley</t>
  </si>
  <si>
    <t>I17-3266</t>
  </si>
  <si>
    <t>Talisman (Agriculture Capability Within Alr'S) - Omineca: Chilco</t>
  </si>
  <si>
    <t>I17-3267</t>
  </si>
  <si>
    <t>Talisman (Agriculture Capability Within Alr'S) - Omineca: Summit Lake</t>
  </si>
  <si>
    <t>I17-3268</t>
  </si>
  <si>
    <t>Talisman (Agriculture Capability Within Alr'S) - Omineca: Averil Creek</t>
  </si>
  <si>
    <t>I17-3269</t>
  </si>
  <si>
    <t>Talisman (Agriculture Capability Within Alr'S) - Omineca: Vanderhoof</t>
  </si>
  <si>
    <t>I17-3270</t>
  </si>
  <si>
    <t>Talisman (Agriculture Capability Within Alr'S) - Omineca: Fraser Lake</t>
  </si>
  <si>
    <t>I17-891</t>
  </si>
  <si>
    <t>083D13</t>
  </si>
  <si>
    <t>Talisman (Agriculture Capability Within Alr'S) - Omineca: Kiwa Creek</t>
  </si>
  <si>
    <t>I18-3271</t>
  </si>
  <si>
    <t>Talisman (Agriculture Capability Within Alr'S) - Okanagan: Osoyoos</t>
  </si>
  <si>
    <t>I18-3272</t>
  </si>
  <si>
    <t>Talisman (Agriculture Capability Within Alr'S) - Okanagan: Keremeos</t>
  </si>
  <si>
    <t>I18-3273</t>
  </si>
  <si>
    <t>Talisman (Agriculture Capability Within Alr'S) - Okanagan: Penticton</t>
  </si>
  <si>
    <t>I18-3274</t>
  </si>
  <si>
    <t>Talisman (Agriculture Capability Within Alr'S) - Okanagan: Beaverdell</t>
  </si>
  <si>
    <t>I18-3275</t>
  </si>
  <si>
    <t>Talisman (Agriculture Capability Within Alr'S) - Okanagan: Summerland</t>
  </si>
  <si>
    <t>I18-3276</t>
  </si>
  <si>
    <t>Talisman (Agriculture Capability Within Alr'S) - Okanagan: Peachland</t>
  </si>
  <si>
    <t>I18-3277</t>
  </si>
  <si>
    <t>Talisman (Agriculture Capability Within Alr'S) - Okanagan: Eureka Mountain</t>
  </si>
  <si>
    <t>I18-3278</t>
  </si>
  <si>
    <t>Talisman (Agriculture Capability Within Alr'S) - Okanagan: Creighton Creek</t>
  </si>
  <si>
    <t>I18-3279</t>
  </si>
  <si>
    <t>Talisman (Agriculture Capability Within Alr'S) - Okanagan: Oyama</t>
  </si>
  <si>
    <t>I18-3280</t>
  </si>
  <si>
    <t>Talisman (Agriculture Capability Within Alr'S) - Okanagan: Shorts Creek</t>
  </si>
  <si>
    <t>I18-3281</t>
  </si>
  <si>
    <t>Talisman (Agriculture Capability Within Alr'S) - Okanagan: Westwold</t>
  </si>
  <si>
    <t>I18-3282</t>
  </si>
  <si>
    <t>Talisman (Agriculture Capability Within Alr'S) - Okanagan: Vernon</t>
  </si>
  <si>
    <t>I18-3283</t>
  </si>
  <si>
    <t>Talisman (Agriculture Capability Within Alr'S) - Okanagan: Shuswap Fall</t>
  </si>
  <si>
    <t>I18-3284</t>
  </si>
  <si>
    <t>Talisman (Agriculture Capability Within Alr'S) - Okanagan: Mount Fosthall</t>
  </si>
  <si>
    <t>I18-3285</t>
  </si>
  <si>
    <t>Talisman (Agriculture Capability Within Alr'S) - Okanagan: Gates Creek</t>
  </si>
  <si>
    <t>I18-3286</t>
  </si>
  <si>
    <t>Talisman (Agriculture Capability Within Alr'S) - Okanagan: Salmon Arm</t>
  </si>
  <si>
    <t>I18-3287</t>
  </si>
  <si>
    <t>Talisman (Agriculture Capability Within Alr'S) - Okanagan: Monte Creek</t>
  </si>
  <si>
    <t>I18-3288</t>
  </si>
  <si>
    <t>Talisman (Agriculture Capability Within Alr'S) - Okanagan: Sorrento</t>
  </si>
  <si>
    <t>I18-3289</t>
  </si>
  <si>
    <t>Talisman (Agriculture Capability Within Alr'S) - Okanagan: Malakwa</t>
  </si>
  <si>
    <t>I18-3290</t>
  </si>
  <si>
    <t>Talisman (Agriculture Capability Within Alr'S) - Okanagan: Mount Revelstoke</t>
  </si>
  <si>
    <t>I18-3291</t>
  </si>
  <si>
    <t>Talisman (Agriculture Capability Within Alr'S) - Okanagan: Perry River</t>
  </si>
  <si>
    <t>I18-3292</t>
  </si>
  <si>
    <t>Talisman (Agriculture Capability Within Alr'S) - Okanagan: Ratchford Creek</t>
  </si>
  <si>
    <t>I18-3293</t>
  </si>
  <si>
    <t>Talisman (Agriculture Capability Within Alr'S) - Okanagan: Princeton</t>
  </si>
  <si>
    <t>I18-3294</t>
  </si>
  <si>
    <t>Talisman (Agriculture Capability Within Alr'S) - Okanagan: Hedley</t>
  </si>
  <si>
    <t>I18-3295</t>
  </si>
  <si>
    <t>Talisman (Agriculture Capability Within Alr'S) - Okanagan: Bankeir</t>
  </si>
  <si>
    <t>I18-3296</t>
  </si>
  <si>
    <t>Talisman (Agriculture Capability Within Alr'S) - Okanagan: Tulameen</t>
  </si>
  <si>
    <t>I19-3301</t>
  </si>
  <si>
    <t>Talisman (Agriculture Capability Within Alr'S) - Peace: Redwillow River</t>
  </si>
  <si>
    <t>I19-3302</t>
  </si>
  <si>
    <t>Talisman (Agriculture Capability Within Alr'S) - Peace: Mount Hulcross</t>
  </si>
  <si>
    <t>I19-3303</t>
  </si>
  <si>
    <t>Talisman (Agriculture Capability Within Alr'S) - Peace: Portage Mountain</t>
  </si>
  <si>
    <t>I19-3304</t>
  </si>
  <si>
    <t>Talisman (Agriculture Capability Within Alr'S) - Peace: Kiskatinaw River</t>
  </si>
  <si>
    <t>I19-3305</t>
  </si>
  <si>
    <t>Talisman (Agriculture Capability Within Alr'S) - Peace: Sukunka River</t>
  </si>
  <si>
    <t>I19-3306</t>
  </si>
  <si>
    <t>Talisman (Agriculture Capability Within Alr'S) - Peace: Burnt River</t>
  </si>
  <si>
    <t>I19-3307</t>
  </si>
  <si>
    <t>Talisman (Agriculture Capability Within Alr'S) - Peace: Gwillim Lake</t>
  </si>
  <si>
    <t>I19-3308</t>
  </si>
  <si>
    <t>Talisman (Agriculture Capability Within Alr'S) - Peace: Tupper Creek</t>
  </si>
  <si>
    <t>I19-3309</t>
  </si>
  <si>
    <t>Talisman (Agriculture Capability Within Alr'S) - Peace: Pouce Coupe</t>
  </si>
  <si>
    <t>I19-3310</t>
  </si>
  <si>
    <t>Talisman (Agriculture Capability Within Alr'S) - Peace: Arras</t>
  </si>
  <si>
    <t>I19-3311</t>
  </si>
  <si>
    <t>Talisman (Agriculture Capability Within Alr'S) - Peace: East Pine</t>
  </si>
  <si>
    <t>I19-3312</t>
  </si>
  <si>
    <t>Talisman (Agriculture Capability Within Alr'S) - Peace: Commotion Creek</t>
  </si>
  <si>
    <t>I19-3313</t>
  </si>
  <si>
    <t>Talisman (Agriculture Capability Within Alr'S) - Peace: Moberly Lake</t>
  </si>
  <si>
    <t>I19-3314</t>
  </si>
  <si>
    <t>Talisman (Agriculture Capability Within Alr'S) - Peace: Favels Creek</t>
  </si>
  <si>
    <t>I19-3315</t>
  </si>
  <si>
    <t>Talisman (Agriculture Capability Within Alr'S) - Peace: Sunset Prairie</t>
  </si>
  <si>
    <t>I19-3316</t>
  </si>
  <si>
    <t>Talisman (Agriculture Capability Within Alr'S) - Peace: Dawson Creek</t>
  </si>
  <si>
    <t>I19-3317</t>
  </si>
  <si>
    <t>Talisman (Agriculture Capability Within Alr'S) - Peace: Shearer Dale</t>
  </si>
  <si>
    <t>I19-3318</t>
  </si>
  <si>
    <t>Talisman (Agriculture Capability Within Alr'S) - Peace: Fort St. John</t>
  </si>
  <si>
    <t>I19-3319</t>
  </si>
  <si>
    <t>Talisman (Agriculture Capability Within Alr'S) - Peace: Moberly River</t>
  </si>
  <si>
    <t>I19-3320</t>
  </si>
  <si>
    <t>Talisman (Agriculture Capability Within Alr'S) - Peace: Hudson Hope</t>
  </si>
  <si>
    <t>I19-3321</t>
  </si>
  <si>
    <t>Talisman (Agriculture Capability Within Alr'S) - Peace: Ground Birch Creek</t>
  </si>
  <si>
    <t>I19-3322</t>
  </si>
  <si>
    <t>Talisman (Agriculture Capability Within Alr'S) - Peace: Bear Flat</t>
  </si>
  <si>
    <t>I19-3323</t>
  </si>
  <si>
    <t>Talisman (Agriculture Capability Within Alr'S) - Peace: North Pine</t>
  </si>
  <si>
    <t>I19-3324</t>
  </si>
  <si>
    <t>Talisman (Agriculture Capability Within Alr'S) - Peace: Alces River</t>
  </si>
  <si>
    <t>I19-3325</t>
  </si>
  <si>
    <t>Talisman (Agriculture Capability Within Alr'S) - Peace: Osborn River</t>
  </si>
  <si>
    <t>I19-3326</t>
  </si>
  <si>
    <t>Talisman (Agriculture Capability Within Alr'S) - Peace: Rose Prairie</t>
  </si>
  <si>
    <t>I19-3327</t>
  </si>
  <si>
    <t>Talisman (Agriculture Capability Within Alr'S) - Peace: Murdale</t>
  </si>
  <si>
    <t>I19-3328</t>
  </si>
  <si>
    <t>Talisman (Agriculture Capability Within Alr'S) - Peace: Deadhorse Creek</t>
  </si>
  <si>
    <t>I19-3329</t>
  </si>
  <si>
    <t>Talisman (Agriculture Capability Within Alr'S) - Peace: Aitken Creek</t>
  </si>
  <si>
    <t>I19-3330</t>
  </si>
  <si>
    <t>Talisman (Agriculture Capability Within Alr'S) - Peace: Snyder Creek</t>
  </si>
  <si>
    <t>I19-3331</t>
  </si>
  <si>
    <t>Talisman (Agriculture Capability Within Alr'S) - Peace: Milligan Creek</t>
  </si>
  <si>
    <t>I19-3332</t>
  </si>
  <si>
    <t>Talisman (Agriculture Capability Within Alr'S) - Peace: Doig River</t>
  </si>
  <si>
    <t>I19-3333</t>
  </si>
  <si>
    <t>Talisman (Agriculture Capability Within Alr'S) - Peace: Chinaman Lake</t>
  </si>
  <si>
    <t>I19-3334</t>
  </si>
  <si>
    <t>Talisman (Agriculture Capability Within Alr'S) - Peace: Gold Bar</t>
  </si>
  <si>
    <t>I19-3335</t>
  </si>
  <si>
    <t>Talisman (Agriculture Capability Within Alr'S) - Peace: Mackney Hills</t>
  </si>
  <si>
    <t>I19-3336</t>
  </si>
  <si>
    <t>Talisman (Agriculture Capability Within Alr'S) - Peace: Kobes Creek</t>
  </si>
  <si>
    <t>I19-3337</t>
  </si>
  <si>
    <t>Talisman (Agriculture Capability Within Alr'S) - Peace: Aikman Creek</t>
  </si>
  <si>
    <t>I19-3338</t>
  </si>
  <si>
    <t>Talisman (Agriculture Capability Within Alr'S) - Peace: Chowade River</t>
  </si>
  <si>
    <t>I19-3339</t>
  </si>
  <si>
    <t>Talisman (Agriculture Capability Within Alr'S) - Peace: Cypress Creek</t>
  </si>
  <si>
    <t>I19-3340</t>
  </si>
  <si>
    <t>Talisman (Agriculture Capability Within Alr'S) - Peace: Blair Creek</t>
  </si>
  <si>
    <t>I19-3341</t>
  </si>
  <si>
    <t>Talisman (Agriculture Capability Within Alr'S) - Peace: Big Arrow Creek</t>
  </si>
  <si>
    <t>I19-3342</t>
  </si>
  <si>
    <t>Talisman (Agriculture Capability Within Alr'S) - Peace: Umbach Creek</t>
  </si>
  <si>
    <t>I19-3343</t>
  </si>
  <si>
    <t>Talisman (Agriculture Capability Within Alr'S) - Peace: Nig Creek</t>
  </si>
  <si>
    <t>I19-3344</t>
  </si>
  <si>
    <t>Talisman (Agriculture Capability Within Alr'S) - Peace: La Prise Creek</t>
  </si>
  <si>
    <t>I19-3345</t>
  </si>
  <si>
    <t>Talisman (Agriculture Capability Within Alr'S) - Peace: Black Creek</t>
  </si>
  <si>
    <t>I19-3346</t>
  </si>
  <si>
    <t>Talisman (Agriculture Capability Within Alr'S) - Peace: Clarke Lake</t>
  </si>
  <si>
    <t>I19-3347</t>
  </si>
  <si>
    <t>Talisman (Agriculture Capability Within Alr'S) - Peace: Jackfish Creek</t>
  </si>
  <si>
    <t>I19-3348</t>
  </si>
  <si>
    <t>Talisman (Agriculture Capability Within Alr'S) - Peace: Fort Nelson</t>
  </si>
  <si>
    <t>I19-3349</t>
  </si>
  <si>
    <t>Talisman (Agriculture Capability Within Alr'S) - Peace: Chuatse Creek</t>
  </si>
  <si>
    <t>K01-1113</t>
  </si>
  <si>
    <t>092F060</t>
  </si>
  <si>
    <t>Soil/Terrain</t>
  </si>
  <si>
    <t>Soil and Terrain - Lasqueti Island  Map Covers Parts of 92F.049, 92F.050, 92F.059, 92F.060</t>
  </si>
  <si>
    <t>K01-141</t>
  </si>
  <si>
    <t>Soil - Similkameen</t>
  </si>
  <si>
    <t>Soil Map of Similkameen Valley (1 of 9)</t>
  </si>
  <si>
    <t>Soil survey of the Similkameen River Valley, Hedley to the 49th parallel, and, Soil Survey of the Similkameen and Tulameen Valleys in the Princeton Area of British Columbia.</t>
  </si>
  <si>
    <t>K01-142</t>
  </si>
  <si>
    <t>Soil Map of Similkameen Valley (2 of 9) Map Covers Parts of 82E/04, 82E/05W, and 92H/01E</t>
  </si>
  <si>
    <t>K01-143</t>
  </si>
  <si>
    <t>Soil Map of Similkameen Valley (3 of 9) Map Covers Parts of 92H/08E and 92H/09E,W</t>
  </si>
  <si>
    <t>K01-144</t>
  </si>
  <si>
    <t>Soil Map of Similkameen Valley (4 of 9) Map Covers Parts of 92H/07E, 92H/08W, 92H/09W, and 92H/10E</t>
  </si>
  <si>
    <t>K01-145</t>
  </si>
  <si>
    <t>Soil Map of Similkameen Valley (5 of 9) Map Covers Parts of 92H/09W and 92H/10E</t>
  </si>
  <si>
    <t>K01-146</t>
  </si>
  <si>
    <t>Soil Map of Similkameen Valley (6 of 9)</t>
  </si>
  <si>
    <t>K01-147</t>
  </si>
  <si>
    <t>Soil Map of Similkameen Valley (7 of 9) Map Covers Parts of 92H/09, 92H/10E, and 92H/15E</t>
  </si>
  <si>
    <t>K01-148</t>
  </si>
  <si>
    <t>Soil Map of Similkameen Valley (8 of 9) Map Covers Parts of 92H/10E and 92H/15E</t>
  </si>
  <si>
    <t>K01-149</t>
  </si>
  <si>
    <t>Soil - Related Theme</t>
  </si>
  <si>
    <t>Soil Sensitivity To Acid Precipitation</t>
  </si>
  <si>
    <t>K01-150</t>
  </si>
  <si>
    <t>Soil Map of Similkameen Valley (9 of 9)</t>
  </si>
  <si>
    <t>K01-151</t>
  </si>
  <si>
    <t>092H</t>
  </si>
  <si>
    <t>Soil Map of Similkameen Valley (Key Map) Map Covers Parts of 82E/Sw, 92H/Se, and 92H/Ne</t>
  </si>
  <si>
    <t>K01-1815</t>
  </si>
  <si>
    <t>092J</t>
  </si>
  <si>
    <t>Soil - Pemberton</t>
  </si>
  <si>
    <t>Pemberton Valley Study Area - Soils (Legend)</t>
  </si>
  <si>
    <t>Soil Survey of the Pemberton Valley</t>
  </si>
  <si>
    <t>K01-1816</t>
  </si>
  <si>
    <t>Pemberton Valley Study Area - Soils (Sheet 1 of 7)</t>
  </si>
  <si>
    <t>A clearer JPEG image is available on CanSIS. See reference link.</t>
  </si>
  <si>
    <t>Digital JPEG maps files area available (with the reports) from CANSIS at the following URL:</t>
  </si>
  <si>
    <t>K01-1817</t>
  </si>
  <si>
    <t>Pemberton Valley Study Area - Soils (Sheet 2 of 7)</t>
  </si>
  <si>
    <t>K01-1818</t>
  </si>
  <si>
    <t>Pemberton Valley Study Area - Soils (Sheet 3 of 7)</t>
  </si>
  <si>
    <t>K01-1819</t>
  </si>
  <si>
    <t>Pemberton Valley Study Area - Soils (Sheet 4 of 7)</t>
  </si>
  <si>
    <t>K01-1820</t>
  </si>
  <si>
    <t>Pemberton Valley Study Area - Soils (Sheet 5 of 7)</t>
  </si>
  <si>
    <t>K01-1821</t>
  </si>
  <si>
    <t>Pemberton Valley Study Area - Soils (Sheet 6 of 7)</t>
  </si>
  <si>
    <t>K01-1822</t>
  </si>
  <si>
    <t>Pemberton Valley Study Area - Soils (Sheet 7 of 7)</t>
  </si>
  <si>
    <t>K01-940</t>
  </si>
  <si>
    <t>Soil - Saltspring Island North</t>
  </si>
  <si>
    <t>Saltspring Island Soil Inventory - North Sheet</t>
  </si>
  <si>
    <t>K01-941</t>
  </si>
  <si>
    <t>092B084</t>
  </si>
  <si>
    <t>Saltspring Island (South): Terrain - No Legend</t>
  </si>
  <si>
    <t>K01-942</t>
  </si>
  <si>
    <t>092B073</t>
  </si>
  <si>
    <t>Soil - Gulf Islands</t>
  </si>
  <si>
    <t>Saltspring Island Soil Inventory - South Sheet  No Legend</t>
  </si>
  <si>
    <t>Soils of the Gulf Islands of British Columbia: Volume 1. Saltspring Island</t>
  </si>
  <si>
    <t>K02-317</t>
  </si>
  <si>
    <t>Soils - Grand Forks - No Legend</t>
  </si>
  <si>
    <t>K02-320</t>
  </si>
  <si>
    <t>Soils - Greenwood - No Legend</t>
  </si>
  <si>
    <t>1978 provisional</t>
  </si>
  <si>
    <t>K02-322</t>
  </si>
  <si>
    <t>Soils - Osoyoos -No Legend</t>
  </si>
  <si>
    <t>K02-325</t>
  </si>
  <si>
    <t>Soils - Keremeos - No Legend</t>
  </si>
  <si>
    <t>K02-328</t>
  </si>
  <si>
    <t>Soils - Penticton - No Legend</t>
  </si>
  <si>
    <t>K02-332</t>
  </si>
  <si>
    <t>Soils - Beaverdell - No Legend</t>
  </si>
  <si>
    <t>K02-335</t>
  </si>
  <si>
    <t>Soils - Almond Mountain - No Legend</t>
  </si>
  <si>
    <t>K02-338</t>
  </si>
  <si>
    <t>Soils - No Legend</t>
  </si>
  <si>
    <t>K02-345</t>
  </si>
  <si>
    <t>Soils - Wilkinson Creek - No Legend</t>
  </si>
  <si>
    <t>K02-347</t>
  </si>
  <si>
    <t>K02-350</t>
  </si>
  <si>
    <t>Soils - Peachland - No Legend</t>
  </si>
  <si>
    <t>K02-353</t>
  </si>
  <si>
    <t>Soils - Kelowna - No Legend</t>
  </si>
  <si>
    <t>K03-448</t>
  </si>
  <si>
    <t>Soils &amp; Landforms (Terrain), Pub In "Soil Resources of The Nelson Map Area" (2 Sets) Kaslo</t>
  </si>
  <si>
    <t>K03-456</t>
  </si>
  <si>
    <t>082F/SE</t>
  </si>
  <si>
    <t>Soils &amp; Landforms (Terrain), Pub In "Soil Resources of The Nelson Map Area" (2 Sets)  Creston</t>
  </si>
  <si>
    <t>K03-460</t>
  </si>
  <si>
    <t>082F/SW</t>
  </si>
  <si>
    <t>Soils &amp; Landforms (Terrain), Pub In "Soil Resources of The Nelson Map Area" (2 Sets)  Trail</t>
  </si>
  <si>
    <t>K03-507</t>
  </si>
  <si>
    <t>Soil - East Kootenay</t>
  </si>
  <si>
    <t>Soils  Pub In "Biophysical Resources of The East Kootenay Area: Soils"  Cranbrook</t>
  </si>
  <si>
    <t>Biophysical Resources of the East Kootenay Area: Soils. British Columbia Soil Survey Report No. 20</t>
  </si>
  <si>
    <t>K03-511</t>
  </si>
  <si>
    <t>Soils  Pub In "Biophysical Resources of The East Kootenay Area: Soils"  Flathead</t>
  </si>
  <si>
    <t>K03-514</t>
  </si>
  <si>
    <t>Soils  Pub In "Biophysical Resources of The East Kootenay Area: Soils"  Elko</t>
  </si>
  <si>
    <t>K03-548</t>
  </si>
  <si>
    <t>Soils  Pub In "Biophysical Resources of The East Kootenay Area: Soils" Mount Assiniboine</t>
  </si>
  <si>
    <t>K03-551</t>
  </si>
  <si>
    <t>082J/SE</t>
  </si>
  <si>
    <t>Soils  Pub In "Biophysical Resources of The East Kootenay Area: Soils"  Elkford</t>
  </si>
  <si>
    <t>K03-553</t>
  </si>
  <si>
    <t>Soils  Pub In "Biophysical Resources of The East Kootenay Area: Soils"  Cannal Flats</t>
  </si>
  <si>
    <t>K03-592</t>
  </si>
  <si>
    <t>Soil/Terrain - Lardeau</t>
  </si>
  <si>
    <t>Soils &amp; Landforms (Terrain), Pub In "Soil Resources of The Lardeau.." (2 Sets)  Invermere</t>
  </si>
  <si>
    <t>Soil Resources of the Lardeau Map Area. British Columbia Soil Survey Report No. 27</t>
  </si>
  <si>
    <t>The report (.pdf) is available from CANSIS at the following URL:</t>
  </si>
  <si>
    <t>K03-596</t>
  </si>
  <si>
    <t>Soils &amp; Landforms (Terrain), Pub In "Soil Resources of The Lardeau Map Area" (2 Sets)  Beaton</t>
  </si>
  <si>
    <t>K03-599</t>
  </si>
  <si>
    <t>Soils &amp; Landforms (Terrain), Pub In "Soil Resources of The Lardeau.." (2 Sets)  Lardeau</t>
  </si>
  <si>
    <t>K03-603</t>
  </si>
  <si>
    <t>Soils &amp; Landforms (Terrain), Pub In "Soil Resources of The Lardeau.." (2 Sets)  Nakusp</t>
  </si>
  <si>
    <t>K03-842</t>
  </si>
  <si>
    <t>Soil/Terrain - Seymour Arm</t>
  </si>
  <si>
    <t>Soils, Pub In "Soil &amp; Terrain of The Seymour Arm Area" (2 Sets)</t>
  </si>
  <si>
    <t>Soil and Terrain of the Seymour Arm Area. British Columbia Soil Survey Report No. 16</t>
  </si>
  <si>
    <t>The published report is available from PRSSS at the following URL:</t>
  </si>
  <si>
    <t>K03-852</t>
  </si>
  <si>
    <t>K03-857</t>
  </si>
  <si>
    <t>K03-867</t>
  </si>
  <si>
    <t>K04-1075</t>
  </si>
  <si>
    <t>Soil - South Vancouver Island</t>
  </si>
  <si>
    <t>Soils  Pub In "Soils of Southern Vancouver Island"  Map Covers Parts of 92B/NW &amp; 92G/04</t>
  </si>
  <si>
    <t>Soils of Southern Vancouver Island. British Columbia Soil Survey Report No. 44</t>
  </si>
  <si>
    <t>K04-1076</t>
  </si>
  <si>
    <t>092B/SW</t>
  </si>
  <si>
    <t>Soil - Southeast Vancouver Island</t>
  </si>
  <si>
    <t>Soils Legend For Southern Vancouver Island - Map Covers Parts of 92B/05 &amp; 92B/06</t>
  </si>
  <si>
    <t>1975-1978</t>
  </si>
  <si>
    <t>K04-1098</t>
  </si>
  <si>
    <t>092C/NE</t>
  </si>
  <si>
    <t>Soils  Pub In "Soils of Southern Vancouver Island"  Map Covers 92C/15 &amp; 192C/16</t>
  </si>
  <si>
    <t>K04-1100</t>
  </si>
  <si>
    <t>092C/NW</t>
  </si>
  <si>
    <t>Soils  Pub In "Soils of Southern Vancouver Island"</t>
  </si>
  <si>
    <t>K04-1342</t>
  </si>
  <si>
    <t>Soils  Part Sheet - Nanaimo Land Dist. Only  Pub In "Soils of Southern..."  Map Covers Parts of 92F/10 &amp; 92F/15</t>
  </si>
  <si>
    <t>K04-1349</t>
  </si>
  <si>
    <t>K04-1357</t>
  </si>
  <si>
    <t>K04-1363</t>
  </si>
  <si>
    <t>092F/SW</t>
  </si>
  <si>
    <t>K04-1796</t>
  </si>
  <si>
    <t>092I/NE</t>
  </si>
  <si>
    <t>Soil/Terrain - Ashcroft</t>
  </si>
  <si>
    <t>Soils &amp; Landforms (Terrain)</t>
  </si>
  <si>
    <t>Soils of the Ashcroft Map Area. British Columbia Soil Survey Report No. 26</t>
  </si>
  <si>
    <t>K04-1802</t>
  </si>
  <si>
    <t>092I/NW</t>
  </si>
  <si>
    <t>Soils &amp; Landforms (Terrain)  Ashcroft - No Legend</t>
  </si>
  <si>
    <t>K04-1808</t>
  </si>
  <si>
    <t>Soils &amp; Landforms (Terrain) Ashcroft</t>
  </si>
  <si>
    <t>K04-1814</t>
  </si>
  <si>
    <t>092I/SW</t>
  </si>
  <si>
    <t>Soils &amp; Landforms (Terrain)  Ashcroft</t>
  </si>
  <si>
    <t>K04-1872</t>
  </si>
  <si>
    <t>Soils  Pt Sh - Vancouver &amp; Quadra Is Only  Pub In "Soils of S. Van. Is..."</t>
  </si>
  <si>
    <t>K04-1962</t>
  </si>
  <si>
    <t>Soils  Pub In "Soils of The Taseko Lakes Area, Bc" - Chilcotin River</t>
  </si>
  <si>
    <t>K04-1970</t>
  </si>
  <si>
    <t>Soils  Pub In "Soils of The Taseko Lakes Area, Bc" - Churn Creek</t>
  </si>
  <si>
    <t>K04-1973</t>
  </si>
  <si>
    <t>Soils  Pub In "Soils of The Taseko Lakes Area, Bc" - Taseko Lakes</t>
  </si>
  <si>
    <t>K04-2046</t>
  </si>
  <si>
    <t>Soil/Terrain - Lac La Hache - Clinton</t>
  </si>
  <si>
    <t>Soils &amp; Landforms (Terrain)  No Legend  Old Version  Use 1:50 000 Scale Maps - Canim Lake</t>
  </si>
  <si>
    <t>Soils of the Bonaparte River - Canim Lake Area (92P East Half). British Columbia Soil Survey Report No. 24</t>
  </si>
  <si>
    <t>K04-2050</t>
  </si>
  <si>
    <t>Soil - Lac La Hache - Clinton</t>
  </si>
  <si>
    <t>Soils  No Legend  Pub In "Soils of The Lac La Hache-Clinton Area, Bc" - Lac La Hache</t>
  </si>
  <si>
    <t>Soils of the Lac La Hache - Clinton Area, British Columbia. British Columbia Soil Survey Report No. 25</t>
  </si>
  <si>
    <t>K04-2051</t>
  </si>
  <si>
    <t>Soils &amp; Landforms (Terrain)  No Legend  Old Version  Use 1:50 000 Scale Maps - Lac La Hache</t>
  </si>
  <si>
    <t>K04-2060</t>
  </si>
  <si>
    <t>Soil/Terrain - Bonaparte River - Canim Lake</t>
  </si>
  <si>
    <t>Soils &amp; Landforms (Terrain)  No Legend  Old Version  Use 1:50 000 Scale Maps - Bonaparte - Canim Lakes</t>
  </si>
  <si>
    <t>K04-2065</t>
  </si>
  <si>
    <t>Soils &amp; Landforms (Slope)  No Legend  Old Version  Use 1:50 000 Scale Maps - Clinton</t>
  </si>
  <si>
    <t>K04-5068</t>
  </si>
  <si>
    <t>K04-5069</t>
  </si>
  <si>
    <t>Soils &amp; Landforms (Terrain)  Lytton - No Legend</t>
  </si>
  <si>
    <t>K05-2119</t>
  </si>
  <si>
    <t>093A/NW</t>
  </si>
  <si>
    <t>Soil/Terrain - Horsefly</t>
  </si>
  <si>
    <t>Soils &amp; Landforms (Terrain), Pub In "Soils of The Horsefly Area, Bc" - Hydraulic &amp; Spanish Lake</t>
  </si>
  <si>
    <t>Soils of the Horsefly Area, British Columbia. British Columbia Soil Survey Report No. 32</t>
  </si>
  <si>
    <t>K05-2129</t>
  </si>
  <si>
    <t>Soils &amp; Landforms (Terrain), Pub In "Soils of The Horsefly Area, Bc" - 150 Mile House &amp; Murphy Lake</t>
  </si>
  <si>
    <t>K05-2175</t>
  </si>
  <si>
    <t>Soil/Terrain - Quesnel</t>
  </si>
  <si>
    <t>Soils &amp; Landforms (Terrain), Pub In "Soils of The Quesnel Area, Bc" - Narcosli Creek</t>
  </si>
  <si>
    <t>Soils of the Quesnel Area, British Columbia. British Columbia Soil Survey Report No. 31</t>
  </si>
  <si>
    <t>K05-2179</t>
  </si>
  <si>
    <t>Soils &amp; Landforms (Terrain), Pub In "Soils of The Nazko Area, B.C."</t>
  </si>
  <si>
    <t>Soils of the Nazko Area, British Columbia. British Columbia Soil Survey Report No. 38</t>
  </si>
  <si>
    <t>K05-2183</t>
  </si>
  <si>
    <t>Soil/Terrain - Williams Lake - Alexis Creek</t>
  </si>
  <si>
    <t>Soils of the Williams Lake - Alexis Creek Area, British Columbia. British Columbia Soil Survey Report No. 53</t>
  </si>
  <si>
    <t>K05-2188</t>
  </si>
  <si>
    <t>K05-2224</t>
  </si>
  <si>
    <t>Soils &amp; Landforms (Terrain)  Part Sheet - N/2 Only  No Legend - Eutsuk Lake</t>
  </si>
  <si>
    <t>K05-2251</t>
  </si>
  <si>
    <t>Soil/Terrain - Nechako - Francois Lake</t>
  </si>
  <si>
    <t>Soils &amp; Landforms (Terrain)  No Legend  Pub In "Soils of The Nechako-Fran..." - Tachick Lake</t>
  </si>
  <si>
    <t>Soils of the Nechako - Francois Lake Area - Including Vegetation.  Interim Report. British Columbia Soil Survey No. 22</t>
  </si>
  <si>
    <t>K05-2261</t>
  </si>
  <si>
    <t>Soils &amp; Landforms (Terrain)  No Legend  Pub In "Soils of The Nechako-Fran..." - Uncha Lake</t>
  </si>
  <si>
    <t>K05-2263</t>
  </si>
  <si>
    <t>093F/SE</t>
  </si>
  <si>
    <t>Soils &amp; Landforms (Terrain)  Part Sheet - No Legend- Euchiniko Lakes</t>
  </si>
  <si>
    <t>K05-2304</t>
  </si>
  <si>
    <t>Soil/Terrain - Prince George - McLeod Lake</t>
  </si>
  <si>
    <t>Soils &amp; Landforms (Terrain)  No Legend - Prince George</t>
  </si>
  <si>
    <t>Soils of the Prince George - McLeod Lake Area. British Columbia Soil Survey Report No. 23</t>
  </si>
  <si>
    <t>K05-2310</t>
  </si>
  <si>
    <t>Soils &amp; Landforms (Terrain)  No Legend - Cluculz Lake</t>
  </si>
  <si>
    <t>K05-2313</t>
  </si>
  <si>
    <t>Soils &amp; Landforms (Terrain), Pub In "Soils of The Quesnel Area, Bc" - Cottonwood River</t>
  </si>
  <si>
    <t>K05-2317</t>
  </si>
  <si>
    <t>Soil/Terrain - Nazko</t>
  </si>
  <si>
    <t>K05-2348</t>
  </si>
  <si>
    <t>093H/NW</t>
  </si>
  <si>
    <t>Soil/Terrain - Barkerville</t>
  </si>
  <si>
    <t>Soils &amp; Landforms (Terrain)  No Legend  Pub In "Soils of The Barkerville..." - Narrow Lake &amp; Dome Creek</t>
  </si>
  <si>
    <t>Soils of the Barkerville Area, British Columbia. British Columbia Soil Survey Report No. 40</t>
  </si>
  <si>
    <t>K05-2353</t>
  </si>
  <si>
    <t>093H/SW</t>
  </si>
  <si>
    <t>Soils &amp; Landforms (Terrain)  No Legend  Pub In "Soils of The Barkerville..."</t>
  </si>
  <si>
    <t>K05-2383</t>
  </si>
  <si>
    <t>093I/SW</t>
  </si>
  <si>
    <t>Soils &amp; Landforms (Terrain) - Mcgregor River</t>
  </si>
  <si>
    <t>Gleason, Otter, and Spakwaniko Creeks, Sinclair Mills (1980) Soils and Surficial Geology</t>
  </si>
  <si>
    <t>K05-2406</t>
  </si>
  <si>
    <t>Soils &amp; Landforms (Terrain)  No Legend - Salmon River</t>
  </si>
  <si>
    <t>K05-2411</t>
  </si>
  <si>
    <t>Soils &amp; Landforms (Terrain)  No Legend - Great Beaver Lake</t>
  </si>
  <si>
    <t>K05-2454</t>
  </si>
  <si>
    <t>Soils &amp; Landforms (Terrain)  No Legend  Pub In "Soils of The Nechako-Fran..." - Fort St. James</t>
  </si>
  <si>
    <t>K05-2464</t>
  </si>
  <si>
    <t>Soils &amp; Landforms (Terrain)  No Legend  Pub In "Soils of The Nechako-Fran..." - Burns Lake</t>
  </si>
  <si>
    <t>K05-2519</t>
  </si>
  <si>
    <t>Soils &amp; Landforms (Terrain), Included In "Soil Resources of The Smithers-H.." - Fulton River</t>
  </si>
  <si>
    <t>K05-2541</t>
  </si>
  <si>
    <t>Soils &amp; Landforms (Terrain), Included In "Soil Resources of The Smithers-H.." - Houston-Legend Attached.</t>
  </si>
  <si>
    <t>K05-2566</t>
  </si>
  <si>
    <t>093M/NE</t>
  </si>
  <si>
    <t>Soil - Hazelton</t>
  </si>
  <si>
    <t>Soils, Pub In "Soils of The Hazelton Map Area"</t>
  </si>
  <si>
    <t>Soils of the Hazelton Map Area British Columbia Soil Survey Report No. 47</t>
  </si>
  <si>
    <t>K05-2568</t>
  </si>
  <si>
    <t>093M/NW</t>
  </si>
  <si>
    <t>K05-2569</t>
  </si>
  <si>
    <t>093M/SE</t>
  </si>
  <si>
    <t>K05-2580</t>
  </si>
  <si>
    <t>Soils &amp; Landforms (Terrain), Included In "Soil Resources of The Smithers-H.." - Hazelton</t>
  </si>
  <si>
    <t>K05-2598</t>
  </si>
  <si>
    <t>093N/NE</t>
  </si>
  <si>
    <t>Soil - Manson River - Fort Fraser</t>
  </si>
  <si>
    <t>Soils  Also Use "Soils of The Manson River-Fort Fraser Area"</t>
  </si>
  <si>
    <t>Soils of the Manson River - Fort Fraser Area. British Columbia Soil Survey Report No. 46</t>
  </si>
  <si>
    <t>K05-2600</t>
  </si>
  <si>
    <t>093N/NW</t>
  </si>
  <si>
    <t>K05-2602</t>
  </si>
  <si>
    <t>093N/SE</t>
  </si>
  <si>
    <t>K05-2604</t>
  </si>
  <si>
    <t>093N/SW</t>
  </si>
  <si>
    <t>K05-2617</t>
  </si>
  <si>
    <t>Soils &amp; Landforms (Terrain)  No Legend - Callazon Creek &amp; Mount Hulcross</t>
  </si>
  <si>
    <t>K05-2675</t>
  </si>
  <si>
    <t>Soil/Terrain - Fort St John - Dawson Creek</t>
  </si>
  <si>
    <t>Soils &amp; Landforms (Terrain)  Pub In "Soils of The Fort St. John-Dawson Creek."</t>
  </si>
  <si>
    <t>Soils of the Fort St. John - Dawson Creek Area, British Columbia</t>
  </si>
  <si>
    <t>K05-2680</t>
  </si>
  <si>
    <t>Soils &amp; Landforms (Terrain)  Pub In "Soils of The Fort St. John-D..."</t>
  </si>
  <si>
    <t>K05-2685</t>
  </si>
  <si>
    <t>Soil/Terrain - Deep Basin</t>
  </si>
  <si>
    <t>Soils &amp; Landforms (Terrain)  No Legend - Kiskatinaw River</t>
  </si>
  <si>
    <t>Soils of the Deep Basin Map Area</t>
  </si>
  <si>
    <t>K05-2690</t>
  </si>
  <si>
    <t>Soil/Terrain - Northeast Coal</t>
  </si>
  <si>
    <t>Soils &amp; Landforms (Terrain)  No Legend - Gwillim Lake</t>
  </si>
  <si>
    <t>Biophysical Soil Resources and Land Evaluation of the Northeast Coal Study Area, 1976-1977, Volume 2.</t>
  </si>
  <si>
    <t>K05-4937</t>
  </si>
  <si>
    <t>Soils of The Manson River - Fort Fraser Map Area</t>
  </si>
  <si>
    <t>K05-4938</t>
  </si>
  <si>
    <t>K06-2718</t>
  </si>
  <si>
    <t>Soil - Rose Prairie - Blueberry River</t>
  </si>
  <si>
    <t>Soils of The Rose Prairie - Blueberry River Area of Bc  (94A/N)(Soil Rept #17)</t>
  </si>
  <si>
    <t>Soils of the Rose Prairie - Blueberry River Area, British Columbia. British Columbia Soil Survey Report No. 17</t>
  </si>
  <si>
    <t>K06-2730</t>
  </si>
  <si>
    <t>Soils &amp; Landforms (Terrain)  No Legend  Pub In "Soils of The Fort St. John-D." - Fort St. John</t>
  </si>
  <si>
    <t>K06-2735</t>
  </si>
  <si>
    <t>Soils &amp; Landforms (Terrain)  No Legend  Pub In "Soils of The Fort St. John-D." - Hudson Hope</t>
  </si>
  <si>
    <t>K06-2757</t>
  </si>
  <si>
    <t>Soil/Terrain - Halfway River</t>
  </si>
  <si>
    <t>Soils &amp; Landforms (Terrain)  No Legend - Halfway River Area</t>
  </si>
  <si>
    <t>Soils of the Halfway River, British Columbia. British Columbia Soil Survey Report No. 18</t>
  </si>
  <si>
    <t>K06-2763</t>
  </si>
  <si>
    <t>Soils &amp; Landforms (Terrain)  No Legend - Gold Bar, Dunlevy Creek &amp; Chinaman Lake</t>
  </si>
  <si>
    <t>K06-2770</t>
  </si>
  <si>
    <t>Soil - Nig Creek - Big Arrow</t>
  </si>
  <si>
    <t>Soils of The Nig Creek - Big Arrow Creek Area of Bc  (94H/S) (Soil Rept #19)</t>
  </si>
  <si>
    <t>Soils of the Nig Creek - Big Arrow Area, British Columbia. British Columbia Soil Survey report No. 19</t>
  </si>
  <si>
    <t>K06-2809</t>
  </si>
  <si>
    <t>094J/NW</t>
  </si>
  <si>
    <t>Soil - Fort Simpson Trail</t>
  </si>
  <si>
    <t>Soils, Pub In "Soils of The Fort Simpson Trail Area" - Akue Creek</t>
  </si>
  <si>
    <t>Soils of the Fort Simpson Trail Area. British Columbia Soil Survey Report No. 58</t>
  </si>
  <si>
    <t>K06-2826</t>
  </si>
  <si>
    <t>094O/SE</t>
  </si>
  <si>
    <t>Soils, Pub In "Soils of The Fort Simpson Trail Area" - Tsimeh Creek</t>
  </si>
  <si>
    <t>K06-2827</t>
  </si>
  <si>
    <t>094O/SW</t>
  </si>
  <si>
    <t>Soils, Pub In "Soils of The Fort Simpson Trail Area" - Stanolind Creek</t>
  </si>
  <si>
    <t>K06-4939</t>
  </si>
  <si>
    <t>Soils &amp; Landforms (Terrain)  No Legend  Pub In "Soils of The Fort St. John-D." - Chowade River &amp; Aikman Creek</t>
  </si>
  <si>
    <t>K07-316</t>
  </si>
  <si>
    <t>Soils - Grand Forks</t>
  </si>
  <si>
    <t>K07-319</t>
  </si>
  <si>
    <t>Soils - Greenwood</t>
  </si>
  <si>
    <t>1983 draft</t>
  </si>
  <si>
    <t>K07-323</t>
  </si>
  <si>
    <t>Soils  See Also 1:20 000 Bcgs Sheets - Osoyoos</t>
  </si>
  <si>
    <t>K07-326</t>
  </si>
  <si>
    <t>Soils  See Also 1:20 000 Bcgs Sheets - Keremeos</t>
  </si>
  <si>
    <t>K07-329</t>
  </si>
  <si>
    <t>Soils  See Also 1:20 000 Bcgs Sheets - Penticton</t>
  </si>
  <si>
    <t>K07-331</t>
  </si>
  <si>
    <t>Soils - Beaverdell</t>
  </si>
  <si>
    <t>K07-334</t>
  </si>
  <si>
    <t>Soils - Almond Mountain</t>
  </si>
  <si>
    <t>K07-337</t>
  </si>
  <si>
    <t>Soils - Deer Park</t>
  </si>
  <si>
    <t>K07-340</t>
  </si>
  <si>
    <t>Soils - Burrell Creek</t>
  </si>
  <si>
    <t>K07-342</t>
  </si>
  <si>
    <t>Soils - Christian Valley</t>
  </si>
  <si>
    <t>K07-344</t>
  </si>
  <si>
    <t>Soils - Wilkinson Creek</t>
  </si>
  <si>
    <t>K07-348</t>
  </si>
  <si>
    <t>Soils  See Also 1:20 000 Bcgs Sheets - Summerland</t>
  </si>
  <si>
    <t>K07-351</t>
  </si>
  <si>
    <t>Soils  See Also 1:20 000 Bcgs Sheets - Peachland</t>
  </si>
  <si>
    <t>K07-354</t>
  </si>
  <si>
    <t>Soils  See Also 1:20 000 Bcgs Sheets - Kelowna</t>
  </si>
  <si>
    <t>K07-356</t>
  </si>
  <si>
    <t>Soils - Damfino Creek</t>
  </si>
  <si>
    <t>K07-398</t>
  </si>
  <si>
    <t>Soils &amp; Landforms (Terrain)  Use "Soil Resources of The Nelson Map.." - Yahk</t>
  </si>
  <si>
    <t>K07-402</t>
  </si>
  <si>
    <t>Soils &amp; Landforms (Terrain)  Use "Soil Resources of The Nelson Map.." - Creston</t>
  </si>
  <si>
    <t>K07-405</t>
  </si>
  <si>
    <t>Soils &amp; Landforms (Terrain)  Use "Soil Resources of The Nelson Map.." - Salmo</t>
  </si>
  <si>
    <t>K07-408</t>
  </si>
  <si>
    <t>Soils &amp; Landforms (Terrain)  Use "Soil Resources of The Nelson Map.." - Rossland - Trail</t>
  </si>
  <si>
    <t>K07-411</t>
  </si>
  <si>
    <t>Soils &amp; Landforms (Terrain)  Use "Soil Resources of The Nelson Map.." - Castlegar</t>
  </si>
  <si>
    <t>K07-414</t>
  </si>
  <si>
    <t>Soils &amp; Landforms (Terrain)  Use "Soil Resources of The Nelson Map.." - Nelson</t>
  </si>
  <si>
    <t>K07-417</t>
  </si>
  <si>
    <t>Soils &amp; Landforms (Terrain)  Use "Soil Resources of The Nelson Map.." - Boswell</t>
  </si>
  <si>
    <t>K07-420</t>
  </si>
  <si>
    <t>Soils &amp; Landforms (Terrain)  Use "Soil Resources of The Nelson Map.." - Grassy Mountain</t>
  </si>
  <si>
    <t>K07-423</t>
  </si>
  <si>
    <t>Soils &amp; Landforms (Terrain)  Use "Soil Resources of The Nelson Map.." - St. Mary Lake</t>
  </si>
  <si>
    <t>K07-426</t>
  </si>
  <si>
    <t>Soils &amp; Landforms (Terrain)  Use "Soil Resources of The Nelson Map.." - Crawford Bay</t>
  </si>
  <si>
    <t>K07-429</t>
  </si>
  <si>
    <t>Soils &amp; Landforms (Terrain)  Use "Soil Resources of The Nelson Map.." - Kokanee Peak</t>
  </si>
  <si>
    <t>K07-432</t>
  </si>
  <si>
    <t>Soils &amp; Landforms (Terrain)  Use "Soil Resources of The Nelson Map.." - Passmore</t>
  </si>
  <si>
    <t>K07-435</t>
  </si>
  <si>
    <t>Soils &amp; Landforms (Terrain)  Use "Soil Resources of The Nelson Map.." - Burton</t>
  </si>
  <si>
    <t>K07-438</t>
  </si>
  <si>
    <t>Soils &amp; Landforms (Terrain)  Use "Soil Resources of The Nelson Map.." - Slocan</t>
  </si>
  <si>
    <t>K07-441</t>
  </si>
  <si>
    <t>Soils &amp; Landforms (Terrain)  Use "Soil Resources of The Nelson Map.." - Kaslo</t>
  </si>
  <si>
    <t>K07-444</t>
  </si>
  <si>
    <t>Soils &amp; Landforms (Terrain)  Use "Soil Resources of The Nelson Map.." - Dewar Creek</t>
  </si>
  <si>
    <t>K07-479</t>
  </si>
  <si>
    <t>Soils  B.C. Only - Sage Creek</t>
  </si>
  <si>
    <t>K07-481</t>
  </si>
  <si>
    <t>Soils - Lower Flathead</t>
  </si>
  <si>
    <t>K07-483</t>
  </si>
  <si>
    <t>Soils - Lake Koocanusa</t>
  </si>
  <si>
    <t>K07-485</t>
  </si>
  <si>
    <t>Soils - Yahk River</t>
  </si>
  <si>
    <t>K07-487</t>
  </si>
  <si>
    <t>Soils - Moyie Lake</t>
  </si>
  <si>
    <t>K07-489</t>
  </si>
  <si>
    <t>Soils - Elko</t>
  </si>
  <si>
    <t>K07-491</t>
  </si>
  <si>
    <t>Soils  B.C. Only - Upper Flathead</t>
  </si>
  <si>
    <t>K07-492</t>
  </si>
  <si>
    <t>Soils  B.C. Only - Beaver Mines</t>
  </si>
  <si>
    <t>K07-495</t>
  </si>
  <si>
    <t>Soils  B.C. Only East Kootenay Map Area</t>
  </si>
  <si>
    <t>K07-497</t>
  </si>
  <si>
    <t>Soils - Fernie</t>
  </si>
  <si>
    <t>K07-499</t>
  </si>
  <si>
    <t>Soils - Cranbrook</t>
  </si>
  <si>
    <t>K07-501</t>
  </si>
  <si>
    <t>Soils - Skookumchuck</t>
  </si>
  <si>
    <t>K07-503</t>
  </si>
  <si>
    <t>Soils - Quinn Creek</t>
  </si>
  <si>
    <t>K07-505</t>
  </si>
  <si>
    <t>Soils  B.C. Only - Tornado Mountain</t>
  </si>
  <si>
    <t>K07-5070</t>
  </si>
  <si>
    <t>Soil Capability For Agriculture - Passmore</t>
  </si>
  <si>
    <t>K08-525</t>
  </si>
  <si>
    <t>Soils  B.C. Only - Fording River</t>
  </si>
  <si>
    <t>K08-527</t>
  </si>
  <si>
    <t>Soils - Mount Peck</t>
  </si>
  <si>
    <t>K08-760</t>
  </si>
  <si>
    <t>Soil - Vernon</t>
  </si>
  <si>
    <t>Soils - Westwold</t>
  </si>
  <si>
    <t>Soils of the Vernon Map Area 82L</t>
  </si>
  <si>
    <t>GIS (.e00) data (CAPAMP) is available from the following URL:</t>
  </si>
  <si>
    <t>K08-764</t>
  </si>
  <si>
    <t>Soils - Shuswap Falls</t>
  </si>
  <si>
    <t>K09-1082</t>
  </si>
  <si>
    <t>092C10</t>
  </si>
  <si>
    <t>Soils  Use "Soils of Southern Vancouver Island" - Carmanah</t>
  </si>
  <si>
    <t>K09-1305</t>
  </si>
  <si>
    <t>Soils  Use "Soils of Southern Vancouver Island" Also 1:20 000 Bcgs Maps - Alberni Inlet</t>
  </si>
  <si>
    <t>K10-1925</t>
  </si>
  <si>
    <t>092M16</t>
  </si>
  <si>
    <t>Soils &amp; Landforms (Terrain)  No Legend - Sheemahant River</t>
  </si>
  <si>
    <t>K10-1958</t>
  </si>
  <si>
    <t>Soil/Terrain - Taseko Lakes</t>
  </si>
  <si>
    <t>Soils &amp; Landforms (Terrain)  Use "Soils of The Taseko Lakes Area, Bc" - Springhouse</t>
  </si>
  <si>
    <t>K11-2099</t>
  </si>
  <si>
    <t>Soils &amp; Landforms (Terrain)  Use "Soils of The Horsefly Area Bc" - 150 Mile House</t>
  </si>
  <si>
    <t>K11-2155</t>
  </si>
  <si>
    <t>Soils &amp; Landforms (Terrain)  Use "Soils of The Quesnel Area Bc" - Alexandria</t>
  </si>
  <si>
    <t>K08-529</t>
  </si>
  <si>
    <t>Soils - Canal Flats</t>
  </si>
  <si>
    <t>K08-531</t>
  </si>
  <si>
    <t>Soils - Fairmont Hot Springs</t>
  </si>
  <si>
    <t>K08-533</t>
  </si>
  <si>
    <t>Soils - Mount Abruzzi</t>
  </si>
  <si>
    <t>K08-534</t>
  </si>
  <si>
    <t>Soils  B.C. Only - Mount Head</t>
  </si>
  <si>
    <t>K08-537</t>
  </si>
  <si>
    <t>Soils  B.C. Only - Mount Rae</t>
  </si>
  <si>
    <t>K08-539</t>
  </si>
  <si>
    <t>Soils  B.C. Only - Kananaskis Lakes</t>
  </si>
  <si>
    <t>K08-541</t>
  </si>
  <si>
    <t>Soils - Tangle Peak</t>
  </si>
  <si>
    <t>K08-543</t>
  </si>
  <si>
    <t>Soils  B.C. Only - Mount Assiniboine</t>
  </si>
  <si>
    <t>K08-545</t>
  </si>
  <si>
    <t>Soils  B.C. Only - Spray Lakes Reservoir</t>
  </si>
  <si>
    <t>K08-557</t>
  </si>
  <si>
    <t>Soils &amp; Landforms (Terrain), Pub In "Soil Resources of The Lardeau.." - Findlay Creek</t>
  </si>
  <si>
    <t>K08-559</t>
  </si>
  <si>
    <t>Soils &amp; Landforms (Terrain), Pub In "Soil Resources of The Lardeau.." - Lardeau</t>
  </si>
  <si>
    <t>K08-561</t>
  </si>
  <si>
    <t>Soils &amp; Landforms (Terrain), Pub In "Soil Resources of The Lardeau.." - Roseberry</t>
  </si>
  <si>
    <t>K08-563</t>
  </si>
  <si>
    <t>Soils &amp; Landforms (Terrain), Pub In "Soil Resources of The Lardeau.." - Nakusp</t>
  </si>
  <si>
    <t>K08-565</t>
  </si>
  <si>
    <t>Soils &amp; Landforms (Terrain), Pub In "Soil Resources of The Lardeau.." - St. Leon</t>
  </si>
  <si>
    <t>K08-567</t>
  </si>
  <si>
    <t>Soils &amp; Landforms (Terrain), Pub In "Soil Resources of The Lardeau.." - Poplar Creek</t>
  </si>
  <si>
    <t>K08-569</t>
  </si>
  <si>
    <t>Soils &amp; Landforms (Terrain), Pub In "Soil Resources of The Lardeau.." - Duncan Lake</t>
  </si>
  <si>
    <t>K08-571</t>
  </si>
  <si>
    <t>Soils &amp; Landforms (Terrain), Pub In "Soil Resources of The Lardeau.." - Toby Creek</t>
  </si>
  <si>
    <t>K08-573</t>
  </si>
  <si>
    <t>Soils &amp; Landforms (Terrain), Pub In "Soil Resources of The Lardeau.." - Radium Hot Springs</t>
  </si>
  <si>
    <t>K08-575</t>
  </si>
  <si>
    <t>Soils &amp; Landforms (Terrain), Pub In "Soil Resources of The Lardeau.." - Howser Creek</t>
  </si>
  <si>
    <t>K08-577</t>
  </si>
  <si>
    <t>Soils &amp; Landforms (Terrain), Pub In "Soil Resources of The Lardeau.." - Trout Lake</t>
  </si>
  <si>
    <t>K08-579</t>
  </si>
  <si>
    <t>Soils &amp; Landforms (Terrain), Pub In "Soil Resources of The Lardeau.." - Beaton</t>
  </si>
  <si>
    <t>K08-581</t>
  </si>
  <si>
    <t>Soils &amp; Landforms (Terrain), Pub In "Soil Resources of The Lardeau.." - Camborne</t>
  </si>
  <si>
    <t>K08-583</t>
  </si>
  <si>
    <t>Soils &amp; Landforms (Terrain), Pub In "Soil Resources of The Lardeau.." - Westfall River</t>
  </si>
  <si>
    <t>K08-585</t>
  </si>
  <si>
    <t>Soils &amp; Landforms (Terrain), Pub In "Soil Resources of The Lardeau.." - Bugaboo Creek</t>
  </si>
  <si>
    <t>K08-587</t>
  </si>
  <si>
    <t>Soils &amp; Landforms (Terrain), Pub In "Soil Resources of The Lardeau.." - Spillimacheen</t>
  </si>
  <si>
    <t>K08-752</t>
  </si>
  <si>
    <t>Soils - Eureka Mountain</t>
  </si>
  <si>
    <t>K08-754</t>
  </si>
  <si>
    <t>Soils - Creighton Creek</t>
  </si>
  <si>
    <t>K08-756</t>
  </si>
  <si>
    <t>Soils  See Also 1:20 000 Bcgs Sheets - Oyama</t>
  </si>
  <si>
    <t>K08-758</t>
  </si>
  <si>
    <t>Soils - Shorts Creek</t>
  </si>
  <si>
    <t>K08-766</t>
  </si>
  <si>
    <t>Soils - Mount Fosthall</t>
  </si>
  <si>
    <t>K08-768</t>
  </si>
  <si>
    <t>Soils - Gates Creek</t>
  </si>
  <si>
    <t>K08-770</t>
  </si>
  <si>
    <t>Soils - Mabel Lake</t>
  </si>
  <si>
    <t>K08-776</t>
  </si>
  <si>
    <t>Soils - Monte Creek</t>
  </si>
  <si>
    <t>K08-779</t>
  </si>
  <si>
    <t>Soils - Chase</t>
  </si>
  <si>
    <t>K08-782</t>
  </si>
  <si>
    <t>Soils - Sorrento</t>
  </si>
  <si>
    <t>K08-784</t>
  </si>
  <si>
    <t>Soils - Malakwa</t>
  </si>
  <si>
    <t>K08-786</t>
  </si>
  <si>
    <t>Soils - Revelstoke</t>
  </si>
  <si>
    <t>K08-807</t>
  </si>
  <si>
    <t>Soils  Use "Soil &amp; Terrain of The Seymour Arm Area" - Mount Revelstoke</t>
  </si>
  <si>
    <t>K08-809</t>
  </si>
  <si>
    <t>Soils  Use "Soil &amp; Terrain of The Seymour Arm Area" - Perry River</t>
  </si>
  <si>
    <t>K08-811</t>
  </si>
  <si>
    <t>Soils  Use "Soil &amp; Terrain of The Seymour Arm Area" - Albas</t>
  </si>
  <si>
    <t>K08-813</t>
  </si>
  <si>
    <t>Soils  Use "Soil &amp; Terrain of The Seymour Arm Area" - Adams Plateau</t>
  </si>
  <si>
    <t>K08-815</t>
  </si>
  <si>
    <t>Soils  Use "Soil &amp; Terrain of The Seymour Arm Area" - Barriere Lakes</t>
  </si>
  <si>
    <t>K08-817</t>
  </si>
  <si>
    <t>Soils  Use "Soil &amp; Terrain of The Seymour Arm Area" - Cayenne Creek</t>
  </si>
  <si>
    <t>K08-819</t>
  </si>
  <si>
    <t>Soils  Use "Soil &amp; Terrain of The Seymour Arm Area" - Ratchford Creek</t>
  </si>
  <si>
    <t>K08-821</t>
  </si>
  <si>
    <t>Soils  Use "Soil &amp; Terrain of The Seymour Arm Area" - Downie Creek</t>
  </si>
  <si>
    <t>K08-823</t>
  </si>
  <si>
    <t>Soils  Use "Soil &amp; Terrain of The Seymour Arm Area" - Goldstream River</t>
  </si>
  <si>
    <t>K08-825</t>
  </si>
  <si>
    <t>Soils  Use "Soil &amp; Terrain of The Seymour Arm Area" - Hoskins Creek</t>
  </si>
  <si>
    <t>K08-827</t>
  </si>
  <si>
    <t>Soils  Use "Soil &amp; Terrain of The Seymour Arm Area" - Adams River</t>
  </si>
  <si>
    <t>K08-829</t>
  </si>
  <si>
    <t>Soils  Use "Soil &amp; Terrain of The Seymour Arm Area" - Vavenby</t>
  </si>
  <si>
    <t>K08-831</t>
  </si>
  <si>
    <t>Soils  Use "Soil &amp; Terrain of The Seymour Arm Area" - Raft River</t>
  </si>
  <si>
    <t>K08-833</t>
  </si>
  <si>
    <t>Soils  Use "Soil &amp; Terrain of The Seymour Arm Area" - Messiter</t>
  </si>
  <si>
    <t>K08-835</t>
  </si>
  <si>
    <t>Soils  Use "Soil &amp; Terrain of The Seymour Arm Area" - Scrip Creek</t>
  </si>
  <si>
    <t>K08-837</t>
  </si>
  <si>
    <t>Soils  Use "Soil &amp; Terrain of The Seymour Arm Area" - Kinbasket Lake</t>
  </si>
  <si>
    <t>K08-871</t>
  </si>
  <si>
    <t>Soils  Part Sheet Kootenay Park Only - Mount Goodsir</t>
  </si>
  <si>
    <t>K08-876</t>
  </si>
  <si>
    <t>082N08</t>
  </si>
  <si>
    <t>Soils  Part Sheet Kootenay Park Only - Lake Louise</t>
  </si>
  <si>
    <t>K08-881</t>
  </si>
  <si>
    <t>Soils  B.C. Only - Banff</t>
  </si>
  <si>
    <t>K09-1057</t>
  </si>
  <si>
    <t>Soils  Use "Soils of Southern Vancouver Island" - Sooke</t>
  </si>
  <si>
    <t>K09-1058</t>
  </si>
  <si>
    <t>Soils  Pt Sh - Excludes Urban Areas Use "Soils of Southern Vancouver Island" - Victoria</t>
  </si>
  <si>
    <t>K09-1059</t>
  </si>
  <si>
    <t>Soils  Pt Sh  Use "Soils of Southern Van. Is." Also 1:20 000 Bcgs &amp; 85-185 - Sidney</t>
  </si>
  <si>
    <t>K09-1063</t>
  </si>
  <si>
    <t>Soils  Use "Soils of Southern Vancouver Island" Also 1:20 000 Bcgs &amp; 85-185 - Shawnigan Lake</t>
  </si>
  <si>
    <t>K09-1066</t>
  </si>
  <si>
    <t>Soils  Pt Sh  Use "Soils of Southern Van. Is." Also 1:20 000 Bcgs &amp; 85-185 - Duncan</t>
  </si>
  <si>
    <t>K09-1079</t>
  </si>
  <si>
    <t>Soils  B.C. Only  Use "Soils of Southern Vancouver Island" - River Jordan</t>
  </si>
  <si>
    <t>K09-1081</t>
  </si>
  <si>
    <t>Soils  Use "Soils of Southern Vancouver Island" - San Juan</t>
  </si>
  <si>
    <t>K09-1083</t>
  </si>
  <si>
    <t>092C11</t>
  </si>
  <si>
    <t>Soils  Use "Soils of Southern Vancouver Island" - Pachena Point</t>
  </si>
  <si>
    <t>K09-1084</t>
  </si>
  <si>
    <t>Soils  Use "Soils of Southern Vancouver Island" - Ucluelet</t>
  </si>
  <si>
    <t>K09-1085</t>
  </si>
  <si>
    <t>Soils  Use "Soils of Southern Vancouver Island" - Barkley Sound</t>
  </si>
  <si>
    <t>K09-1086</t>
  </si>
  <si>
    <t>092C15</t>
  </si>
  <si>
    <t>Soils  Use "Soils of Southern Vancouver Island" - Nitinat</t>
  </si>
  <si>
    <t>K09-1088</t>
  </si>
  <si>
    <t>Soils  Use "Soils of Southern Vancouver Island" - Cowichan Lake</t>
  </si>
  <si>
    <t>K09-1103</t>
  </si>
  <si>
    <t>Soil - North Vancouver Island</t>
  </si>
  <si>
    <t>Soils  Also Use "Description of Soils For Northern Vancouver Island" - Estevan Point</t>
  </si>
  <si>
    <t>Working Report: Description of Soils for Northern Vancouver Island</t>
  </si>
  <si>
    <t>K09-1104</t>
  </si>
  <si>
    <t>Soils  Also Use "Description of Soils For Northern Vancouver Island" - Hesquiat</t>
  </si>
  <si>
    <t>K09-1105</t>
  </si>
  <si>
    <t>Soils  Also Use "Description of Soils For Northern Vancouver Island" - Muchalat Inlet</t>
  </si>
  <si>
    <t>K09-1106</t>
  </si>
  <si>
    <t>Soils  Also Use "Description of Soils For Northern Vancouver Island" - Nootka</t>
  </si>
  <si>
    <t>K09-1107</t>
  </si>
  <si>
    <t>Soils  Also Use "Description of Soils For Northern Vancouver Island" - Port Eliza</t>
  </si>
  <si>
    <t>K09-1108</t>
  </si>
  <si>
    <t>092E15</t>
  </si>
  <si>
    <t>Soils  Also Use "Description of Soils For Northern Vancouver Island" - Zeballos</t>
  </si>
  <si>
    <t>K09-1109</t>
  </si>
  <si>
    <t>Soils  Also Use "Description of Soils For Northern Vancouver Island" - Gold River</t>
  </si>
  <si>
    <t>K09-1303</t>
  </si>
  <si>
    <t>Soils  Use "Soils of Southern Vancouver Island" Also 1:20 000 Bcgs Maps - Nanaimo Lakes</t>
  </si>
  <si>
    <t>K09-1306</t>
  </si>
  <si>
    <t>Soils  Use "Soils of Southern Vancouver Island" - Effingham</t>
  </si>
  <si>
    <t>K09-1307</t>
  </si>
  <si>
    <t>Soils  Use "Soils of Southern Vancouver Island" - Tofino</t>
  </si>
  <si>
    <t>K09-1308</t>
  </si>
  <si>
    <t>Soils  Use "Soils of Southern Vancouver Island" - Bedwell</t>
  </si>
  <si>
    <t>K09-1309</t>
  </si>
  <si>
    <t>Soils  Use "Soils of Southern Vancouver Island" Also 1:20 000 Bcgs Maps - Great Central</t>
  </si>
  <si>
    <t>K09-1311</t>
  </si>
  <si>
    <t>Soils  Use "Soils of Southern Vancouver Island" Also 1:20 000 Bcgs Maps - Horne Lake</t>
  </si>
  <si>
    <t>K09-1313</t>
  </si>
  <si>
    <t>Soils  Use "Soils of Southern Vancouver Island" Also 1:20 000 Bcgs Maps - Parksville</t>
  </si>
  <si>
    <t>K09-1316</t>
  </si>
  <si>
    <t>Soils  Use "Soils of Southern Vancouver Island" Also 1:20 000 Bcgs Maps - Comox</t>
  </si>
  <si>
    <t>K09-1319</t>
  </si>
  <si>
    <t>Soils  Use "Soils of Southern Vancouver Island" Also 1:20 000 Bcgs Maps - Forbidden Plateau</t>
  </si>
  <si>
    <t>K09-1321</t>
  </si>
  <si>
    <t>092F12</t>
  </si>
  <si>
    <t>Soils  Use "Soils of Southern Vancouver Island" - Buttle Lake</t>
  </si>
  <si>
    <t>K09-1323</t>
  </si>
  <si>
    <t>092F13</t>
  </si>
  <si>
    <t>Soils  Use "Soils of Southern Vancouver Island" - Upper Campbell</t>
  </si>
  <si>
    <t>K09-1325</t>
  </si>
  <si>
    <t>Soils  Use "Soils of Southern Vancouver Island" Also 1:20 000 Bcgs Maps - Oyster River</t>
  </si>
  <si>
    <t>K09-1328</t>
  </si>
  <si>
    <t>Soils  Part Sheet - Van. Is. Only  Use "Soils of Southern Vancouver Island" - Pwell River</t>
  </si>
  <si>
    <t>K10-1484</t>
  </si>
  <si>
    <t>Soils Legend For Southern Vancouver Island  Map Covers Parts of 92B/05 &amp; 92B/06 - Nanaimo</t>
  </si>
  <si>
    <t>K10-1487</t>
  </si>
  <si>
    <t>Soils - No Legend (Newestminister District) - Vancouver North</t>
  </si>
  <si>
    <t>K10-1490</t>
  </si>
  <si>
    <t>Soils - No Legend (Newestminister District) - Pitt River</t>
  </si>
  <si>
    <t>K10-1492</t>
  </si>
  <si>
    <t>Soils - No Legend (Newestminister District) - Squamish</t>
  </si>
  <si>
    <t>K10-1494</t>
  </si>
  <si>
    <t>Soils - No Legend (Newestminister District) - Sechelt Inlet</t>
  </si>
  <si>
    <t>K10-1496</t>
  </si>
  <si>
    <t>Soils - No Legend (Newestminister District) - Cheakamus River</t>
  </si>
  <si>
    <t>K10-1497</t>
  </si>
  <si>
    <t>092G15</t>
  </si>
  <si>
    <t>Soils - No Legend (Newestminister District) - Mamquam Mountain</t>
  </si>
  <si>
    <t>K10-1747</t>
  </si>
  <si>
    <t>Soils &amp; Landforms (Terrain) - Douglas Lake</t>
  </si>
  <si>
    <t>K10-1750</t>
  </si>
  <si>
    <t>Soils &amp; Landforms (Terrain) - Merritt</t>
  </si>
  <si>
    <t>K10-1752</t>
  </si>
  <si>
    <t>Soils &amp; Landforms (Terrain) - Prospect Creek</t>
  </si>
  <si>
    <t>K10-1754</t>
  </si>
  <si>
    <t>Soils &amp; Landforms (Terrain) - Lytton</t>
  </si>
  <si>
    <t>K10-1757</t>
  </si>
  <si>
    <t>Soils &amp; Landforms (Terrain) - Stein River</t>
  </si>
  <si>
    <t>K10-1760</t>
  </si>
  <si>
    <t>Soils &amp; Landforms (Terrain) - Spences Bridge</t>
  </si>
  <si>
    <t>K10-1763</t>
  </si>
  <si>
    <t>K10-1766</t>
  </si>
  <si>
    <t>K10-1769</t>
  </si>
  <si>
    <t>Soils &amp; Landforms (Terrain) - Kamloops</t>
  </si>
  <si>
    <t>K10-1772</t>
  </si>
  <si>
    <t>Soils &amp; Landforms (Terrain) - Cherry Creek</t>
  </si>
  <si>
    <t>K10-1775</t>
  </si>
  <si>
    <t>Soils &amp; Landforms (Terrain) - Ashcroft</t>
  </si>
  <si>
    <t>K10-1778</t>
  </si>
  <si>
    <t>Soils &amp; Landforms (Terrain) - Lillooet</t>
  </si>
  <si>
    <t>K10-1781</t>
  </si>
  <si>
    <t>Soils &amp; Landforms (Terrain) - Pavilion</t>
  </si>
  <si>
    <t>K10-1784</t>
  </si>
  <si>
    <t>Soils &amp; Landforms (Terrain) - Cache Creek</t>
  </si>
  <si>
    <t>K10-1787</t>
  </si>
  <si>
    <t>Soils &amp; Landforms (Terrain) - Tranquille River</t>
  </si>
  <si>
    <t>K10-1790</t>
  </si>
  <si>
    <t>Soils &amp; Landforms (Terrain) - Heffley</t>
  </si>
  <si>
    <t>K10-1856</t>
  </si>
  <si>
    <t>Soils  Pt Sh - Vancouver &amp; Quadra Is Only  Use "Soils of Southern Van. Is." - Quadra Island</t>
  </si>
  <si>
    <t>K10-1858</t>
  </si>
  <si>
    <t>Soils  Use "Soils of Southern Vancouver Island" - Salmon River</t>
  </si>
  <si>
    <t>K10-1860</t>
  </si>
  <si>
    <t>Soils  Part Sheet - Vancouver Island Only  Use "Soils of Southern Van. Is." - Sayward</t>
  </si>
  <si>
    <t>K10-1861</t>
  </si>
  <si>
    <t>Soils  Pt Sh - Vancouver &amp; Quadra Is Only  Use "Soils of Southern Van. Is." - Sonora Island</t>
  </si>
  <si>
    <t>K10-1884</t>
  </si>
  <si>
    <t>Soils  Also Use "Description of Soils For Northern Vancouver Island" - Schoen Lake</t>
  </si>
  <si>
    <t>K10-1887</t>
  </si>
  <si>
    <t>Soils  Also Use "Description of Soils For Northern Vancouver Island" - Woss Lake</t>
  </si>
  <si>
    <t>K10-1888</t>
  </si>
  <si>
    <t>092L03</t>
  </si>
  <si>
    <t>Soils  Also Use "Description of Soils For Northern Vancouver Island" - Kyuquot</t>
  </si>
  <si>
    <t>K10-1889</t>
  </si>
  <si>
    <t>092L04</t>
  </si>
  <si>
    <t>Soils  Also Use "Description of Soils For Northern Vancouver Island" - Brooks Peninsula</t>
  </si>
  <si>
    <t>K10-1890</t>
  </si>
  <si>
    <t>092L05</t>
  </si>
  <si>
    <t>Soils  Also Use "Description of Soils For Northern Vancouver Island" - Mahatta Creek</t>
  </si>
  <si>
    <t>K10-1891</t>
  </si>
  <si>
    <t>Soils  Also Use "Description of Soils For Northern Vancouver Island" - Alice Lake</t>
  </si>
  <si>
    <t>K10-1893</t>
  </si>
  <si>
    <t>Soils  Also Use "Description of Soils For Northern Vancouver Island" - Nimpkish</t>
  </si>
  <si>
    <t>K10-1894</t>
  </si>
  <si>
    <t>Soils  Pt Sh - Van. Is. Only  Also Use "Description of Soils For N Van. Is." - Adam River</t>
  </si>
  <si>
    <t>K10-1895</t>
  </si>
  <si>
    <t>Soils  Pt Sh - Rupert Land Dist. Only Also Use "Description of Soils For N.." - Alert Bay</t>
  </si>
  <si>
    <t>K10-1896</t>
  </si>
  <si>
    <t>Soils  Also Use "Description of Soils For Northern Vancouver Island" - Port Mcneill</t>
  </si>
  <si>
    <t>K10-1897</t>
  </si>
  <si>
    <t>092L12</t>
  </si>
  <si>
    <t>Soils  Also Use "Description of Soils For Northern Vancouver Island" - Quatsino</t>
  </si>
  <si>
    <t>K10-1898</t>
  </si>
  <si>
    <t>092L13</t>
  </si>
  <si>
    <t>Soils  Pt Sh - Rupert Land Dist. Only Also Use "Description of Soils For N.." - Shushartie</t>
  </si>
  <si>
    <t>K10-1922</t>
  </si>
  <si>
    <t>092M09</t>
  </si>
  <si>
    <t>Soils &amp; Landforms (Terrain)  Part Sheet - Nw Only  No Legend - Machmell River</t>
  </si>
  <si>
    <t>K10-1923</t>
  </si>
  <si>
    <t>092M10</t>
  </si>
  <si>
    <t>Soils &amp; Landforms (Terrain)  Part Sheet - E Only  No Legend</t>
  </si>
  <si>
    <t>K10-1928</t>
  </si>
  <si>
    <t>Soils &amp; Landforms (Terrain)  Use "Soils of The Taseko Lakes Area, Bc" - Yalakom River</t>
  </si>
  <si>
    <t>K10-1930</t>
  </si>
  <si>
    <t>Soils &amp; Landforms (Terrain)  Use "Soils of The Taseko Lakes Area, Bc" - Tyaughton Creek</t>
  </si>
  <si>
    <t>K10-1932</t>
  </si>
  <si>
    <t>Soils &amp; Landforms (Terrain)  Use "Soils of The Taseko Lakes Area, Bc" - Warner Pass</t>
  </si>
  <si>
    <t>K10-1934</t>
  </si>
  <si>
    <t>Soils &amp; Landforms (Terrain)  Use "Soils of The Taseko Lakes Area, Bc" - Tchaikazan</t>
  </si>
  <si>
    <t>K10-1936</t>
  </si>
  <si>
    <t>Soils &amp; Landforms (Terrain)  Use "Soils of The Taseko Lakes Area, Bc" - Mount Tatlow</t>
  </si>
  <si>
    <t>K10-1938</t>
  </si>
  <si>
    <t>Soils &amp; Landforms (Terrain)  Use "Soils of The Taseko Lakes Area, Bc" - Nadila Creek</t>
  </si>
  <si>
    <t>K10-1940</t>
  </si>
  <si>
    <t>Soils &amp; Landforms (Terrain)  Use "Soils of The Taseko Lakes Area, Bc" - Churn Creek</t>
  </si>
  <si>
    <t>K10-1942</t>
  </si>
  <si>
    <t>Soils &amp; Landforms (Terrain)  Use "Soils of The Taseko Lakes Area, Bc" - Empire Valley</t>
  </si>
  <si>
    <t>K10-1944</t>
  </si>
  <si>
    <t>Soils &amp; Landforms (Terrain)  Use "Soils of The Taseko Lakes Area, Bc" - Dog Creek</t>
  </si>
  <si>
    <t>K10-1946</t>
  </si>
  <si>
    <t>Soils &amp; Landforms (Terrain)  Use "Soils of The Taseko Lakes Area, Bc" - Gaspard Creek</t>
  </si>
  <si>
    <t>K10-1948</t>
  </si>
  <si>
    <t>Soils &amp; Landforms (Terrain)  Use "Soils of The Taseko Lakes Area, Bc" - Big Creek</t>
  </si>
  <si>
    <t>K10-1950</t>
  </si>
  <si>
    <t>Soils &amp; Landforms (Terrain)  Use "Soils of The Taseko Lakes Area, Bc" - Elkin Creek</t>
  </si>
  <si>
    <t>K10-1952</t>
  </si>
  <si>
    <t>Soils &amp; Landforms (Terrain)  Use "Soils of The Taseko Lakes Area, Bc" - Scum Lake</t>
  </si>
  <si>
    <t>K10-1954</t>
  </si>
  <si>
    <t>Soils &amp; Landforms (Terrain)  Use "Soils of The Taseko Lakes Area, Bc" - Hanceville</t>
  </si>
  <si>
    <t>K10-1956</t>
  </si>
  <si>
    <t>Soils &amp; Landforms (Terrain)  Use "Soils of The Taseko Lakes Area, Bc" - Riske Creek</t>
  </si>
  <si>
    <t>K10-2007</t>
  </si>
  <si>
    <t>Soils &amp; Landforms (Terrain)  No Legend - Louis Creek</t>
  </si>
  <si>
    <t>K10-2009</t>
  </si>
  <si>
    <t>Soils &amp; Landforms (Terrain)  No Legend - Criss Creek</t>
  </si>
  <si>
    <t>K10-2011</t>
  </si>
  <si>
    <t>Soils  No Legend  Use "Soils of The Lac La Hache-Clinton Area Bc" - Loon Lake</t>
  </si>
  <si>
    <t>K10-2013</t>
  </si>
  <si>
    <t>Soils  No Legend  Use "Soils of The Lac La Hache-Clinton Area Bc" - Clinton</t>
  </si>
  <si>
    <t>K10-2015</t>
  </si>
  <si>
    <t>Soils  No Legend  Use "Soils of The Lac La Hache-Clinton Area Bc" - Jesmond</t>
  </si>
  <si>
    <t>K10-2017</t>
  </si>
  <si>
    <t>Soils  No Legend  Use "Soils of The Lac La Hache-Clinton Area Bc" - Green Lake</t>
  </si>
  <si>
    <t>K10-2019</t>
  </si>
  <si>
    <t>Soils &amp; Landforms (Terrain) - Bridge Lake</t>
  </si>
  <si>
    <t>K10-2021</t>
  </si>
  <si>
    <t>Soils &amp; Landforms (Terrain) - Chu Chua Creek</t>
  </si>
  <si>
    <t>K10-2023</t>
  </si>
  <si>
    <t>Soils &amp; Landforms (Terrain) - Clearwater</t>
  </si>
  <si>
    <t>K10-2025</t>
  </si>
  <si>
    <t>Soils &amp; Landforms (Terrain) - Deka Lake</t>
  </si>
  <si>
    <t>K10-2027</t>
  </si>
  <si>
    <t>Soils  No Legend  Use "Soils of The Lac La Hache-Clinton Area Bc" - 100 Mile House</t>
  </si>
  <si>
    <t>K10-2029</t>
  </si>
  <si>
    <t>Soils  No Legend  Use "Soils of The Lac La Hache-Clinton Area Bc" - Gustafsen Lake</t>
  </si>
  <si>
    <t>K10-2031</t>
  </si>
  <si>
    <t>Soils  No Legend  Use "Soils of The Lac La Hache-Clinton Area Bc" - Chimney Lake</t>
  </si>
  <si>
    <t>K10-2033</t>
  </si>
  <si>
    <t>Soils  No Legend  Use "Soils of The Lac La Hache-Clinton Area Bc" - Lac La Hache</t>
  </si>
  <si>
    <t>K10-2035</t>
  </si>
  <si>
    <t>Soils &amp; Landforms (Terrain)  No Legend - Canim Lake</t>
  </si>
  <si>
    <t>K10-2037</t>
  </si>
  <si>
    <t>Soils &amp; Landforms (Terrain) - Mahood Lake</t>
  </si>
  <si>
    <t>K11-2095</t>
  </si>
  <si>
    <t>Soils &amp; Landforms (Terrain)  No Legend - Mckinley Creek</t>
  </si>
  <si>
    <t>K11-2097</t>
  </si>
  <si>
    <t>Soils &amp; Landforms (Terrain)  Use "Soils of The Horsefly Area Bc" - Murphy Lake</t>
  </si>
  <si>
    <t>K11-2101</t>
  </si>
  <si>
    <t>Soils &amp; Landforms (Terrain)  Use "Soils of The Horsefly Area Bc" - Beaver Creek</t>
  </si>
  <si>
    <t>K11-2103</t>
  </si>
  <si>
    <t>Soils &amp; Landforms (Terrain)  Use "Soils of The Horsefly Area Bc" - Horsefly</t>
  </si>
  <si>
    <t>K11-2105</t>
  </si>
  <si>
    <t>Soils &amp; Landforms (Terrain)  Use "Soils of The Horsefly Area Bc" - Mackay River</t>
  </si>
  <si>
    <t>K11-2108</t>
  </si>
  <si>
    <t>Soils &amp; Landforms (Terrain)  Use "Soils of The Horsefly Area Bc" - Azure Lake</t>
  </si>
  <si>
    <t>K11-2111</t>
  </si>
  <si>
    <t>093A11</t>
  </si>
  <si>
    <t>Soils &amp; Landforms (Terrain)  Use "Soils of The Horsefly Area Bc" - Spanish Lake</t>
  </si>
  <si>
    <t>K11-2112</t>
  </si>
  <si>
    <t>093A12</t>
  </si>
  <si>
    <t>Soils &amp; Landforms (Terrain)  Use "Soils of The Horsefly Area Bc" - Hydraulic</t>
  </si>
  <si>
    <t>K11-2113</t>
  </si>
  <si>
    <t>093A13</t>
  </si>
  <si>
    <t>Soils &amp; Landforms (Terrain)  Use "Soils of The Horsefly Area Bc" - Swift River</t>
  </si>
  <si>
    <t>K11-2114</t>
  </si>
  <si>
    <t>093A14</t>
  </si>
  <si>
    <t>Soil - Caribou</t>
  </si>
  <si>
    <t>Included In "Soils of The Cariboo R Valley With Selected Engineering Interp." - Cariboo Lake</t>
  </si>
  <si>
    <t>Soils in the Cariboo River Valley, BC with Selected Engineering Interpretations</t>
  </si>
  <si>
    <t>K11-2115</t>
  </si>
  <si>
    <t>Soils In The Cariboo River Valley  (One Sheet) - Cariboo Lake</t>
  </si>
  <si>
    <t>K11-2140</t>
  </si>
  <si>
    <t>Soils &amp; Landforms (Terrain) - Drummond Lake</t>
  </si>
  <si>
    <t>K11-2142</t>
  </si>
  <si>
    <t>Soils &amp; Landforms (Terrain) - Alexis Creek</t>
  </si>
  <si>
    <t>K11-2144</t>
  </si>
  <si>
    <t>Soils &amp; Landforms (Terrain) - Redstone</t>
  </si>
  <si>
    <t>K11-2146</t>
  </si>
  <si>
    <t>Soils &amp; Landforms (Terrain) - Loomis Lake</t>
  </si>
  <si>
    <t>K11-2148</t>
  </si>
  <si>
    <t>K11-2150</t>
  </si>
  <si>
    <t>K11-2152</t>
  </si>
  <si>
    <t>Soils &amp; Landforms (Terrain) - Soda Creek</t>
  </si>
  <si>
    <t>K11-2158</t>
  </si>
  <si>
    <t>Soils &amp; Landforms (Terrain)  Use "Soils of The Quesnel Area Bc"</t>
  </si>
  <si>
    <t>K11-2160</t>
  </si>
  <si>
    <t>K11-2162</t>
  </si>
  <si>
    <t>Soils &amp; Landforms (Terrain) - Nazko River - Telegraph Range Map Area</t>
  </si>
  <si>
    <t>K11-2164</t>
  </si>
  <si>
    <t>K11-2166</t>
  </si>
  <si>
    <t>K11-2169</t>
  </si>
  <si>
    <t>K11-2172</t>
  </si>
  <si>
    <t>Soils &amp; Landforms (Terrain)  Use "Soils of The Quesnel Area Bc" - Quesnel River</t>
  </si>
  <si>
    <t>K11-4941</t>
  </si>
  <si>
    <t>Soils &amp; Landforms (Terrain) - Williams Lake</t>
  </si>
  <si>
    <t>K12-2212</t>
  </si>
  <si>
    <t>Soils &amp; Landforms (Terrain)  No Legend</t>
  </si>
  <si>
    <t>Soils and Surficial Geology of Nadina River and Wistaria Map Sheets</t>
  </si>
  <si>
    <t>K12-2214</t>
  </si>
  <si>
    <t>K12-2228</t>
  </si>
  <si>
    <t>Soils &amp; Landforms (Terrain)  No Legend  Use "Soils of The Nechako-Francois.."</t>
  </si>
  <si>
    <t>K12-2230</t>
  </si>
  <si>
    <t>K12-2232</t>
  </si>
  <si>
    <t>K12-2234</t>
  </si>
  <si>
    <t>K12-2236</t>
  </si>
  <si>
    <t>K12-2238</t>
  </si>
  <si>
    <t>K12-2240</t>
  </si>
  <si>
    <t>K12-2242</t>
  </si>
  <si>
    <t>K12-2266</t>
  </si>
  <si>
    <t>Soils &amp; Landforms (Terrain)  Use "Soils of The Quesnel Area Bc" - Cottonwood</t>
  </si>
  <si>
    <t>K12-2270</t>
  </si>
  <si>
    <t>Soils &amp; Landforms (Terrain)  Use "Soils of The Quesnel Area Bc" - Cottonwood Canyon</t>
  </si>
  <si>
    <t>K12-2272</t>
  </si>
  <si>
    <t>K12-2274</t>
  </si>
  <si>
    <t>Soils &amp; Landforms (Terrain)  Use "Soils of The Quesnel Area Bc" - Coglistiko River</t>
  </si>
  <si>
    <t>K12-2276</t>
  </si>
  <si>
    <t>Soils &amp; Landforms (Terrain)  Use "Soils of The Quesnel Area Bc" - Pelican Lake</t>
  </si>
  <si>
    <t>K12-2278</t>
  </si>
  <si>
    <t>Soils &amp; Landforms (Terrain)  Use "Soils of The Quesnel Area Bc" - Punchaw Lake</t>
  </si>
  <si>
    <t>K12-2281</t>
  </si>
  <si>
    <t>Soils &amp; Landforms (Terrain)  Use "Soils of The Quesnel Area Bc" - Hixon</t>
  </si>
  <si>
    <t>K12-2283</t>
  </si>
  <si>
    <t>Soils &amp; Landforms (Terrain)  Use "Soils of The Quesnel Area Bc" - Ahbau Lake</t>
  </si>
  <si>
    <t>K12-2286</t>
  </si>
  <si>
    <t>Soils &amp; Landforms (Terrain)  No Legend  Use "Soils of The Prince George-Mc.." - Pitoney Lake</t>
  </si>
  <si>
    <t>K12-2288</t>
  </si>
  <si>
    <t>Soils &amp; Landforms (Terrain)  No Legend  Use "Soils of The Prince George-Mc.." - Red Rock</t>
  </si>
  <si>
    <t>K12-2290</t>
  </si>
  <si>
    <t>Soils &amp; Landforms (Terrain)  No Legend  Use "Soils of The Prince George-Mc.." - Bobtail Mt.</t>
  </si>
  <si>
    <t>K12-2292</t>
  </si>
  <si>
    <t>Soils &amp; Landforms (Terrain)  No Legend  Use "Soils of The Prince George-Mc.." - Chilako River</t>
  </si>
  <si>
    <t>K12-2294</t>
  </si>
  <si>
    <t>Soils &amp; Landforms (Terrain)  No Legend  Use "Soils of The Prince George-Mc.." - Hulatt</t>
  </si>
  <si>
    <t>K12-2296</t>
  </si>
  <si>
    <t>Soils &amp; Landforms (Terrain)  No Legend  Use "Soils of The Prince George-Mc.." - Isle Pierre</t>
  </si>
  <si>
    <t>K12-2298</t>
  </si>
  <si>
    <t>Soils &amp; Landforms (Terrain)  No Legend  Use "Soils of The Prince George-Mc.." - Prince George</t>
  </si>
  <si>
    <t>K12-2300</t>
  </si>
  <si>
    <t>Soils &amp; Landforms (Terrain)  No Legend  Use "Soils of The Prince George-Mc.." - Wansa Ceek</t>
  </si>
  <si>
    <t>K12-2320</t>
  </si>
  <si>
    <t>093H03</t>
  </si>
  <si>
    <t>Soils &amp; Landforms (Terrain)  Use "Soils of The Barkerville Area Bc"</t>
  </si>
  <si>
    <t>K13-2392</t>
  </si>
  <si>
    <t>Soils &amp; Landforms (Terrain)  No Legend  Use "Soils of The Prince George-Mc.." - Chilco</t>
  </si>
  <si>
    <t>K13-2437</t>
  </si>
  <si>
    <t>Soils  Also Use "Soils of The Manson R - Fort Fraser Area" - Pendleton Bay</t>
  </si>
  <si>
    <t>K14-2503</t>
  </si>
  <si>
    <t>Soils &amp; Landforms (Terrain)  No Legend Use "Soil Resources of The Smithers.."</t>
  </si>
  <si>
    <t>K14-2565</t>
  </si>
  <si>
    <t>093M16</t>
  </si>
  <si>
    <t>Soils  Use "Soils of The Hazelton Map Area"</t>
  </si>
  <si>
    <t>K14-2581</t>
  </si>
  <si>
    <t>093N01</t>
  </si>
  <si>
    <t>Soils  Also Use "Soils of The Manson R - Fort Fraser Area" - Wittsichica Creek</t>
  </si>
  <si>
    <t>K14-2606</t>
  </si>
  <si>
    <t>Soils  No Legend - Mount Hulcross</t>
  </si>
  <si>
    <t>K14-2608</t>
  </si>
  <si>
    <t>Soils  No Legend - Callazon Creek</t>
  </si>
  <si>
    <t>K14-2610</t>
  </si>
  <si>
    <t>Soils  No Legend - Carbon Creek</t>
  </si>
  <si>
    <t>K14-2612</t>
  </si>
  <si>
    <t>Soils  No Legend - Portage Mountain</t>
  </si>
  <si>
    <t>K15-2750</t>
  </si>
  <si>
    <t>Soils &amp; Landforms (Terrain)  No Legend - Cypress Creek</t>
  </si>
  <si>
    <t>K15-2752</t>
  </si>
  <si>
    <t>Soils &amp; Landforms (Terrain)  No Legend - Blair Creek</t>
  </si>
  <si>
    <t>K15-2772</t>
  </si>
  <si>
    <t>Soils  No Legend</t>
  </si>
  <si>
    <t>K12-2321</t>
  </si>
  <si>
    <t>093H04</t>
  </si>
  <si>
    <t>K12-2322</t>
  </si>
  <si>
    <t>093H05</t>
  </si>
  <si>
    <t>K12-2323</t>
  </si>
  <si>
    <t>093H06</t>
  </si>
  <si>
    <t>K12-2326</t>
  </si>
  <si>
    <t>Soil - Northeast Coal</t>
  </si>
  <si>
    <t>Soils  Inc On Micro In "Biophysical Soil Resources &amp; Land..Northeast Coal..77-78" - Mount Rider</t>
  </si>
  <si>
    <t>Biophysical Soil Resources and Land Evaluation of the Northeast Coal Study Area 1977-1978. Jarvis Creek - Morkill River Area</t>
  </si>
  <si>
    <t>K12-2328</t>
  </si>
  <si>
    <t>Soils  Inc On Micro In "Biophysical Soil Resources &amp; Land..Northeast Coal..77-78" - Loos</t>
  </si>
  <si>
    <t>K12-2330</t>
  </si>
  <si>
    <t>Soils &amp; Landforms (Terrain)  Use "Soils of The Barkerville Area Bc" - Dome Creek</t>
  </si>
  <si>
    <t>K12-2331</t>
  </si>
  <si>
    <t>093H12</t>
  </si>
  <si>
    <t>Soils &amp; Landforms (Terrain)  Use "Soils of The Barkerville Area Bc" - Narrow Lake</t>
  </si>
  <si>
    <t>K12-2335</t>
  </si>
  <si>
    <t>Soils  Inc On Micro In "Biophysical Soil Resources &amp; Land..Northeast Coal..77-78" - Penny</t>
  </si>
  <si>
    <t>K12-2336</t>
  </si>
  <si>
    <t>Soils  Inc On Micro In "Biophysical Soil Resources &amp; Land..Northeast Coal..77-78" - Walker Creek</t>
  </si>
  <si>
    <t>K12-2338</t>
  </si>
  <si>
    <t>Soils  Inc On Micro In "Biophysical Soil Resources &amp; Land..Northeast Coal..77-78" - Mount Sir Alexander</t>
  </si>
  <si>
    <t>K13-2361</t>
  </si>
  <si>
    <t>Soils  Inc On Micro In "Biophysical Soil Resources &amp; Land..Northeast Coal..77-78" - Jarvis Lakes</t>
  </si>
  <si>
    <t>K13-2362</t>
  </si>
  <si>
    <t>Soils  Inc On Micro In "Biophysical Soil Resources &amp; Land..Northeast Coal..77-78" - Herrick Creek</t>
  </si>
  <si>
    <t>K13-2364</t>
  </si>
  <si>
    <t>Soils &amp; Landforms (Terrain) - Gleason Creek</t>
  </si>
  <si>
    <t>K13-2366</t>
  </si>
  <si>
    <t>Soils &amp; Landforms (Terrain) - Sinclair Mills</t>
  </si>
  <si>
    <t>K13-2368</t>
  </si>
  <si>
    <t>Soils &amp; Landforms (Terrain) - Otter Lake</t>
  </si>
  <si>
    <t>K13-2370</t>
  </si>
  <si>
    <t>Soils &amp; Landforms (Terrain) - Spakwaniko Creek</t>
  </si>
  <si>
    <t>K13-2371</t>
  </si>
  <si>
    <t>Soils  Inc On Micro In "Biophysical Soil Resources &amp; Land..Northeast Coal..77-78" - Wapiti Pass</t>
  </si>
  <si>
    <t>K13-2372</t>
  </si>
  <si>
    <t>Soils  Inc On Micro In "Biophysical Soil Resources &amp; Land..Northeast Coal..77-78" - Narraway River</t>
  </si>
  <si>
    <t>K13-2373</t>
  </si>
  <si>
    <t>Soils  Also Use "Biophysical Soil Resources &amp; Land..Northeast Coal..76-77 2 Vols" - Belcourt Creek</t>
  </si>
  <si>
    <t>K13-2374</t>
  </si>
  <si>
    <t>093I10</t>
  </si>
  <si>
    <t>Soils  Also Use "Biophysical Soil Resources &amp; Land..Northeast Coal..76-77 2 Vols" - Wapiti Lake</t>
  </si>
  <si>
    <t>K13-2375</t>
  </si>
  <si>
    <t>093I11</t>
  </si>
  <si>
    <t>Soils  Also Use "Biophysical Soil Resources &amp; Land..Northeast Coal..76-77 2 Vols" - Monkman Pass</t>
  </si>
  <si>
    <t>K13-2376</t>
  </si>
  <si>
    <t>093I12</t>
  </si>
  <si>
    <t>Soils  Also Use "Biophysical Soil Resources &amp; Land..Northeast Coal..76-77 2 Vols" - Missinka River</t>
  </si>
  <si>
    <t>K13-2377</t>
  </si>
  <si>
    <t>Soils  Also Use "Biophysical Soil Resources &amp; Land..Northeast Coal..76-77 2 Vols" - Sentinel Peak</t>
  </si>
  <si>
    <t>K13-2378</t>
  </si>
  <si>
    <t>Soils  Also Use "Biophysical Soil Resources &amp; Land..Northeast Coal..76-77 2 Vols"</t>
  </si>
  <si>
    <t>K13-2379</t>
  </si>
  <si>
    <t>Soils  Also Use "Biophysical Soil Resources &amp; Land..Northeast Coal..76-77 2 Vols"- Kinuseo Creek</t>
  </si>
  <si>
    <t>K13-2380</t>
  </si>
  <si>
    <t>K13-2386</t>
  </si>
  <si>
    <t>Soils &amp; Landforms (Terrain)  No Legend  Use "Soils of The Prince George-Mc.." - Giscome</t>
  </si>
  <si>
    <t>K13-2388</t>
  </si>
  <si>
    <t>Soils &amp; Landforms (Terrain)  No Legend  Use "Soils of The Prince George-Mc.." - Salmon Valley</t>
  </si>
  <si>
    <t>K13-2390</t>
  </si>
  <si>
    <t>Soils &amp; Landforms (Terrain)  No Legend  Use "Soils of The Prince George-Mc.." - Saxton Lake</t>
  </si>
  <si>
    <t>K13-2394</t>
  </si>
  <si>
    <t>Soils &amp; Landforms (Terrain)  No Legend  Use "Soils of The Prince George-Mc.." - Great Beaver Lake</t>
  </si>
  <si>
    <t>K13-2396</t>
  </si>
  <si>
    <t>Soils &amp; Landforms (Terrain)  No Legend  Use "Soils of The Prince George-Mc.."</t>
  </si>
  <si>
    <t>K13-2398</t>
  </si>
  <si>
    <t>Soils &amp; Landforms (Terrain)  No Legend  Use "Soils of The Prince George-Mc.." - Summit Lake</t>
  </si>
  <si>
    <t>K13-2400</t>
  </si>
  <si>
    <t>Soils &amp; Landforms (Terrain)  No Legend  Use "Soils of The Prince George-Mc.." - Averil Creek</t>
  </si>
  <si>
    <t>K13-2401</t>
  </si>
  <si>
    <t>093J09</t>
  </si>
  <si>
    <t>Soils  Northeast Coal Version</t>
  </si>
  <si>
    <t>K13-2415</t>
  </si>
  <si>
    <t>Soils &amp; Landforms (Terrain)  No Legend  Use "Soils of The Nechako-Francois.." - Vanderhoof</t>
  </si>
  <si>
    <t>K13-2417</t>
  </si>
  <si>
    <t>Soils &amp; Landforms (Terrain)  No Legend  Use "Soils of The Nechako-Francois.." - Fraser Lake</t>
  </si>
  <si>
    <t>K13-2419</t>
  </si>
  <si>
    <t>Soils &amp; Landforms (Terrain)  No Legend  Use "Soils of The Nechako-Francois.." - Endako</t>
  </si>
  <si>
    <t>K13-2421</t>
  </si>
  <si>
    <t>Soils &amp; Landforms (Terrain)  No Legend  Use "Soils of The Nechako-Francois.." - Burns Lake</t>
  </si>
  <si>
    <t>K13-2423</t>
  </si>
  <si>
    <t>Soils &amp; Landforms (Terrain)  No Legend  Use "Soils of The Nechako-Francois.." - Decker Lake</t>
  </si>
  <si>
    <t>K13-2425</t>
  </si>
  <si>
    <t>Soils &amp; Landforms (Terrain)  No Legend  Use "Soils of The Nechako-Francois.." - Taltapin Lake</t>
  </si>
  <si>
    <t>K13-2427</t>
  </si>
  <si>
    <t>Soils &amp; Landforms (Terrain)  No Legend  Use "Soils of The Nechako-Francois.." - Shass Mountain</t>
  </si>
  <si>
    <t>K13-2429</t>
  </si>
  <si>
    <t>K13-2431</t>
  </si>
  <si>
    <t>Soils  Also Use "Soils of The Manson R - Fort Fraser Area" - Pinchi Lake</t>
  </si>
  <si>
    <t>K13-2433</t>
  </si>
  <si>
    <t>Soils  Also Use "Soils of The Manson R - Fort Fraser Area" - Stuart Lake</t>
  </si>
  <si>
    <t>K13-2435</t>
  </si>
  <si>
    <t>Soils  Also Use "Soils of The Manson R - Fort Fraser Area" - Cunningham Lake</t>
  </si>
  <si>
    <t>K13-2438</t>
  </si>
  <si>
    <t>093K13</t>
  </si>
  <si>
    <t>Soils  Also Use "Soils of The Manson R - Fort Fraser Area" - Tochcha Lake</t>
  </si>
  <si>
    <t>K13-2439</t>
  </si>
  <si>
    <t>Soils  Also Use "Soils of The Manson R - Fort Fraser Area" - Trembleur Lake</t>
  </si>
  <si>
    <t>K13-2440</t>
  </si>
  <si>
    <t>Soils  Also Use "Soils of The Manson R - Fort Fraser Area" - Inzana Lake</t>
  </si>
  <si>
    <t>K13-2441</t>
  </si>
  <si>
    <t>093K16</t>
  </si>
  <si>
    <t>Soils  Also Use "Soils of The Manson R - Fort Fraser Area" - Tezzeron Creek</t>
  </si>
  <si>
    <t>K13-5052</t>
  </si>
  <si>
    <t>093I/SE</t>
  </si>
  <si>
    <t>Soil Legend of The Jarvis Creek - Morkill River Area</t>
  </si>
  <si>
    <t>K13-5053</t>
  </si>
  <si>
    <t>K14-2486</t>
  </si>
  <si>
    <t>Soils &amp; Landforms (Terrain)  No Legend Use "Soil Resources of The Smithers.." - Colleymount</t>
  </si>
  <si>
    <t>K14-2488</t>
  </si>
  <si>
    <t>Soils &amp; Landforms (Terrain)  No Legend Use "Soil Resources of The Smithers.." - Owen Lake</t>
  </si>
  <si>
    <t>K14-2489</t>
  </si>
  <si>
    <t>093L03</t>
  </si>
  <si>
    <t>Soil/Terrian - Morice</t>
  </si>
  <si>
    <t>Soils  Alias Biophysical Soil Landscapes For The Lamprey Creek Map Area - Lamprey Creek</t>
  </si>
  <si>
    <t>Morice Biophysical Study 93L/SW, Wildlife Capability and Habitat (Soils, Terrain, Climate and Vegetation)</t>
  </si>
  <si>
    <t>K14-2491</t>
  </si>
  <si>
    <t>Soils &amp; Landforms (Terrain)  No Legend Use "Soil Resources of The Smithers.." - Houston</t>
  </si>
  <si>
    <t>K14-2493</t>
  </si>
  <si>
    <t>Soils &amp; Landforms (Terrain)  No Legend Use "Soil Resources of The Smithers.." - Forestdale</t>
  </si>
  <si>
    <t>K14-2495</t>
  </si>
  <si>
    <t>Soils &amp; Landforms (Terrain)  No Legend Use "Soil Resources of The Smithers.." - Topley</t>
  </si>
  <si>
    <t>K14-2497</t>
  </si>
  <si>
    <t>Soils &amp; Landforms (Terrain)  No Legend Use "Soil Resources of The Smithers.." - Quick</t>
  </si>
  <si>
    <t>K14-2499</t>
  </si>
  <si>
    <t>Soils &amp; Landforms (Terrain)  No Legend Use "Soil Resources of The Smithers.." - Telkwa</t>
  </si>
  <si>
    <t>K14-2501</t>
  </si>
  <si>
    <t>K14-2505</t>
  </si>
  <si>
    <t>Soils &amp; Landforms (Terrain)  No Legend Use "Soil Resources of The Smithers.." - Smithers</t>
  </si>
  <si>
    <t>K14-2507</t>
  </si>
  <si>
    <t>Soils &amp; Landforms (Terrain)  No Legend Use "Soil Resources of The Smithers.." - Driftwood Creek</t>
  </si>
  <si>
    <t>K14-2509</t>
  </si>
  <si>
    <t>Soils &amp; Landforms (Terrain)  No Legend Use "Soil Resources of The Smithers.." - Fulton Lake</t>
  </si>
  <si>
    <t>K14-2546</t>
  </si>
  <si>
    <t>093M01</t>
  </si>
  <si>
    <t>Soils  Use "Soils of The Hazelton Map Area" - Old Fort Mountain</t>
  </si>
  <si>
    <t>K14-2547</t>
  </si>
  <si>
    <t>093M02</t>
  </si>
  <si>
    <t>Soils  Use "Soils of The Hazelton Map Area" - Harold Price Creek</t>
  </si>
  <si>
    <t>K14-2549</t>
  </si>
  <si>
    <t>Soils &amp; Landforms (Terrain)  No Legend Use "Soil Resources of The Smithers.." - Moricetown</t>
  </si>
  <si>
    <t>K14-2551</t>
  </si>
  <si>
    <t>Soils &amp; Landforms (Terrain)  No Legend Use "Soil Resources of The Smithers.." - Skeena Crossing</t>
  </si>
  <si>
    <t>K14-2553</t>
  </si>
  <si>
    <t>Soils &amp; Landforms (Terrain)  No Legend Use "Soil Resources of The Smithers.." - Hazelton</t>
  </si>
  <si>
    <t>K14-2555</t>
  </si>
  <si>
    <t>Soils &amp; Landforms (Terrain)  No Legend Use "Soil Resources of The Smithers.." - Suskwa River</t>
  </si>
  <si>
    <t>K14-2556</t>
  </si>
  <si>
    <t>093M07</t>
  </si>
  <si>
    <t>Soils &amp; Landforms (Terrain)  No Legend Use "Soil Resources of The Smithers.." - Netalzul Mountain</t>
  </si>
  <si>
    <t>K14-2557</t>
  </si>
  <si>
    <t>093M08</t>
  </si>
  <si>
    <t>Soils  Use "Soils of The Hazelton Map Area" - Nakinilerak Lake</t>
  </si>
  <si>
    <t>K14-2558</t>
  </si>
  <si>
    <t>093M09</t>
  </si>
  <si>
    <t>Soils  Use "Soils of The Hazelton Map Area" - Bulkley House</t>
  </si>
  <si>
    <t>K14-2559</t>
  </si>
  <si>
    <t>093M10</t>
  </si>
  <si>
    <t>Soils  Use "Soils of The Hazelton Map Area" - Nilkitkwa River</t>
  </si>
  <si>
    <t>K14-2560</t>
  </si>
  <si>
    <t>093M11</t>
  </si>
  <si>
    <t>Soils  Use "Soils of The Hazelton Map Area" - Gunanoot Lake</t>
  </si>
  <si>
    <t>K14-2561</t>
  </si>
  <si>
    <t>093M12</t>
  </si>
  <si>
    <t>Soils  Use "Soils of The Hazelton Map Area" - Kisgegas</t>
  </si>
  <si>
    <t>K14-2562</t>
  </si>
  <si>
    <t>093M13</t>
  </si>
  <si>
    <t>Soils  Use "Soils of The Hazelton Map Area" - Shedin Creek</t>
  </si>
  <si>
    <t>K14-2563</t>
  </si>
  <si>
    <t>093M14</t>
  </si>
  <si>
    <t>Soils  Use "Soils of The Hazelton Map Area" - Shelagyote Peak</t>
  </si>
  <si>
    <t>K14-2564</t>
  </si>
  <si>
    <t>093M15</t>
  </si>
  <si>
    <t>Soils  Use "Soils of The Hazelton Map Area" - Kotsine River</t>
  </si>
  <si>
    <t>K14-2582</t>
  </si>
  <si>
    <t>093N02</t>
  </si>
  <si>
    <t>Soils  Also Use "Soils of The Manson R - Fort Fraser Area" - Chuchi Lake</t>
  </si>
  <si>
    <t>K14-2583</t>
  </si>
  <si>
    <t>093N03</t>
  </si>
  <si>
    <t>Soils  Also Use "Soils of The Manson R - Fort Fraser Area" - Takatoot Lake</t>
  </si>
  <si>
    <t>K14-2584</t>
  </si>
  <si>
    <t>093N04</t>
  </si>
  <si>
    <t>Soils  Also Use "Soils of The Manson R - Fort Fraser Area" - Sakeniche River</t>
  </si>
  <si>
    <t>K14-2585</t>
  </si>
  <si>
    <t>093N05</t>
  </si>
  <si>
    <t>Soils  Also Use "Soils of The Manson R - Fort Fraser Area" - Takla Landing</t>
  </si>
  <si>
    <t>K14-2586</t>
  </si>
  <si>
    <t>093N06</t>
  </si>
  <si>
    <t>Soils  Also Use "Soils of The Manson R - Fort Fraser Area" - Indata Lake</t>
  </si>
  <si>
    <t>K14-2587</t>
  </si>
  <si>
    <t>093N07</t>
  </si>
  <si>
    <t>Soils  Also Use "Soils of The Manson R - Fort Fraser Area" - Klawli Lake</t>
  </si>
  <si>
    <t>K14-2588</t>
  </si>
  <si>
    <t>093N08</t>
  </si>
  <si>
    <t>Soils  Also Use "Soils of The Manson R - Fort Fraser Area" - Sylverster Creek</t>
  </si>
  <si>
    <t>K14-2589</t>
  </si>
  <si>
    <t>093N09</t>
  </si>
  <si>
    <t>Soils  Also Use "Soils of The Manson R - Fort Fraser Area" - Manson Lakes</t>
  </si>
  <si>
    <t>K14-2590</t>
  </si>
  <si>
    <t>093N10</t>
  </si>
  <si>
    <t>Soils  Also Use "Soils of The Manson R - Fort Fraser Area" - Germansen Lakes</t>
  </si>
  <si>
    <t>K14-2591</t>
  </si>
  <si>
    <t>093N11</t>
  </si>
  <si>
    <t>Soils  Also Use "Soils of The Manson R - Fort Fraser Area" - Kwanika Creek</t>
  </si>
  <si>
    <t>K14-2592</t>
  </si>
  <si>
    <t>093N12</t>
  </si>
  <si>
    <t>Soils  Also Use "Soils of The Manson R - Fort Fraser Area" - Humphrey Lake</t>
  </si>
  <si>
    <t>K14-2593</t>
  </si>
  <si>
    <t>093N13</t>
  </si>
  <si>
    <t>Soils  Also Use "Soils of The Manson R - Fort Fraser Area" - Ogden Creek</t>
  </si>
  <si>
    <t>K14-2594</t>
  </si>
  <si>
    <t>093N14</t>
  </si>
  <si>
    <t>Soils  Also Use "Soils of The Manson R - Fort Fraser Area" Discovery Creek</t>
  </si>
  <si>
    <t>K14-2595</t>
  </si>
  <si>
    <t>093N15</t>
  </si>
  <si>
    <t>Soils  Also Use "Soils of The Manson R - Fort Fraser Area" - Germansen Landing</t>
  </si>
  <si>
    <t>K14-2596</t>
  </si>
  <si>
    <t>093N16</t>
  </si>
  <si>
    <t>Soils  Also Use "Soils of The Manson R - Fort Fraser Area" - Muscovite Lakes</t>
  </si>
  <si>
    <t>K14-2633</t>
  </si>
  <si>
    <t>Soil - Deep Basin</t>
  </si>
  <si>
    <t>Soils  No Legend - Kiskatinaw River</t>
  </si>
  <si>
    <t>K14-2636</t>
  </si>
  <si>
    <t>Soils Northeast Coal Version - No Legend - Flatbed Creek</t>
  </si>
  <si>
    <t>K14-2638</t>
  </si>
  <si>
    <t>Soils 1975 Version  No Legend - Bullmoose Creek</t>
  </si>
  <si>
    <t>K14-2639</t>
  </si>
  <si>
    <t>Soils Northeast Coal Version  Included In "Biophysical Soil...Ne.."76/7 V2 - Bullmoose Creek</t>
  </si>
  <si>
    <t>K14-2641</t>
  </si>
  <si>
    <t>Soils 1975 Version - Sukunka River - Condensed Soil Legend For Northeast Coal Study</t>
  </si>
  <si>
    <t>K14-2645</t>
  </si>
  <si>
    <t>Soils Northeast Coal Version  Part Sheet - E Only - Burnt River</t>
  </si>
  <si>
    <t>K14-2647</t>
  </si>
  <si>
    <t>Soils 1975 Version  No Legend - Gwillim Lake</t>
  </si>
  <si>
    <t>K14-2648</t>
  </si>
  <si>
    <t>Soils Northeast Coal Version  Part Sheet - Sw Only - Gwillim Lake</t>
  </si>
  <si>
    <t>K14-2650</t>
  </si>
  <si>
    <t>Soils 1975 Version  No Legend - Sundown Creek</t>
  </si>
  <si>
    <t>K14-2653</t>
  </si>
  <si>
    <t>Soils  No Legend - Tupper Creek</t>
  </si>
  <si>
    <t>K14-2655</t>
  </si>
  <si>
    <t>Soils &amp; Landforms (Terrain)  Use "Soils of The Fort St John-Dawson.." - Pouce Coupé</t>
  </si>
  <si>
    <t>K14-2657</t>
  </si>
  <si>
    <t>Soils &amp; Landforms (Terrain)  Use "Soils of The Fort St John-Dawson.." - Arras</t>
  </si>
  <si>
    <t>K14-2658</t>
  </si>
  <si>
    <t>Soils Northeast Coal Version  Part Sheet - Se Only - Arras</t>
  </si>
  <si>
    <t>K14-2660</t>
  </si>
  <si>
    <t>Soils &amp; Landforms (Terrain)  Use "Soils of The Fort St John-Dawson.." - East Pine</t>
  </si>
  <si>
    <t>K14-2662</t>
  </si>
  <si>
    <t>Soils &amp; Landforms (Terrain)  Use "Soils of The Fort St John-Dawson.." - Commotion Creek</t>
  </si>
  <si>
    <t>K14-2663</t>
  </si>
  <si>
    <t>Soils Northeast Coal Version  Part Sheet - Se Only - Commotion Creek</t>
  </si>
  <si>
    <t>K14-2665</t>
  </si>
  <si>
    <t>Soils &amp; Landforms (Terrain)  Use "Soils of The Fort St John-Dawson.." - Moberly Lake</t>
  </si>
  <si>
    <t>K14-2667</t>
  </si>
  <si>
    <t>Soils &amp; Landforms (Terrain)  Use "Soils of The Fort St John-Dawson.." - Favels Creek</t>
  </si>
  <si>
    <t>K14-2669</t>
  </si>
  <si>
    <t>Soils &amp; Landforms (Terrain)  Use "Soils of The Fort St John-Dawson.." - Sunset Prairie</t>
  </si>
  <si>
    <t>K14-2671</t>
  </si>
  <si>
    <t>Soils &amp; Landforms (Terrain)  Use "Soils of The Fort St John-Dawson.." - Dawson Creek</t>
  </si>
  <si>
    <t>K15-2694</t>
  </si>
  <si>
    <t>Soils &amp; Landforms (Terrain)  Use "Soils of The Fort St John-Dawson.." - Shearer Dale</t>
  </si>
  <si>
    <t>K15-2696</t>
  </si>
  <si>
    <t>Soils &amp; Landforms (Terrain)  Use "Soils of The Fort St John-Dawson.." - Fort St John</t>
  </si>
  <si>
    <t>K15-2698</t>
  </si>
  <si>
    <t>Soils &amp; Landforms (Terrain)  Use "Soils of The Fort St John-Dawson.." - Moberly River</t>
  </si>
  <si>
    <t>K15-2700</t>
  </si>
  <si>
    <t>Soils &amp; Landforms (Terrain)  Use "Soils of The Fort St John-Dawson.." - Hudson Hope</t>
  </si>
  <si>
    <t>K15-2702</t>
  </si>
  <si>
    <t>Soils &amp; Landforms (Terrain)  Use "Soils of The Fort St John-Dawson.." - Ground Birch Creek</t>
  </si>
  <si>
    <t>K15-2704</t>
  </si>
  <si>
    <t>Soils &amp; Landforms (Terrain)  Use "Soils of The Fort St John-Dawson.." - Bear Flat</t>
  </si>
  <si>
    <t>K15-2706</t>
  </si>
  <si>
    <t>Soils &amp; Landforms (Terrain)  Use "Soils of The Fort St John-Dawson.." - North Pine</t>
  </si>
  <si>
    <t>K15-2708</t>
  </si>
  <si>
    <t>Soils &amp; Landforms (Terrain)  Use "Soils of The Fort St John-Dawson.." - Alces River</t>
  </si>
  <si>
    <t>GIS (.e00/.shp) data and a .tiff file is available from the MapPlace at the following URL:</t>
  </si>
  <si>
    <t>K15-2738</t>
  </si>
  <si>
    <t>Soils  No Legend - Dunlevy Creek</t>
  </si>
  <si>
    <t>K15-2740</t>
  </si>
  <si>
    <t>Soils  No Legend - Gold Bar</t>
  </si>
  <si>
    <t>K15-2742</t>
  </si>
  <si>
    <t>Soils  No Legend - Hackney Hills</t>
  </si>
  <si>
    <t>K15-2744</t>
  </si>
  <si>
    <t>Soils  No Legend - Kobes Creek</t>
  </si>
  <si>
    <t>K15-2746</t>
  </si>
  <si>
    <t>Soils &amp; Landforms (Terrain)  No Legend - Aikman Creek</t>
  </si>
  <si>
    <t>K15-2748</t>
  </si>
  <si>
    <t>Soils &amp; Landforms (Terrain)  No Legend - Chowade River</t>
  </si>
  <si>
    <t>K15-2774</t>
  </si>
  <si>
    <t>K15-2776</t>
  </si>
  <si>
    <t>K15-2778</t>
  </si>
  <si>
    <t>K15-2780</t>
  </si>
  <si>
    <t>K15-2782</t>
  </si>
  <si>
    <t>K15-2784</t>
  </si>
  <si>
    <t>K15-2786</t>
  </si>
  <si>
    <t>K15-2797</t>
  </si>
  <si>
    <t>Soils  Part Sheet - N Only  Use "Soils of The Fort Simpson Trail Area" - Akue Creek</t>
  </si>
  <si>
    <t>K15-2799</t>
  </si>
  <si>
    <t>Soils  Part Sheet - Ne Only  Use "Soils of The Fort Simpson Trail Area" - Chischa River</t>
  </si>
  <si>
    <t>K15-2801</t>
  </si>
  <si>
    <t>Soils  Part Sheet - N &amp; E Only  Use "Soils of The Fort Simpson Trail Area" - Kledo Creek</t>
  </si>
  <si>
    <t>K15-2803</t>
  </si>
  <si>
    <t>Soils  Use "Soils of The Fort Simpson Trail Area" - Raspberry Creek</t>
  </si>
  <si>
    <t>K15-2811</t>
  </si>
  <si>
    <t>Soils  Use "Soils of The Fort Simpson Trail Area" - Sahtaneh River</t>
  </si>
  <si>
    <t>K15-2813</t>
  </si>
  <si>
    <t>Soils  Use "Soils of The Fort Simpson Trail Area" - Tsimeh Creek</t>
  </si>
  <si>
    <t>K15-2815</t>
  </si>
  <si>
    <t>Soils  Use "Soils of The Fort Simpson Trail Area" - Stanolind Creek</t>
  </si>
  <si>
    <t>K15-2817</t>
  </si>
  <si>
    <t>Soils  Use "Soils of The Fort Simpson Trail Area" - Etane Creek</t>
  </si>
  <si>
    <t>K15-2819</t>
  </si>
  <si>
    <t>Soils  Use "Soils of The Fort Simpson Trail Area" - Capot-Blanc Creek</t>
  </si>
  <si>
    <t>K15-2821</t>
  </si>
  <si>
    <t>Soils  Use "Soils of The Fort Simpson Trail Area" - Patry Lake</t>
  </si>
  <si>
    <t>K15-2823</t>
  </si>
  <si>
    <t>Soils  Use "Soils of The Fort Simpson Trail Area" - Kiwigana River</t>
  </si>
  <si>
    <t>K15-2825</t>
  </si>
  <si>
    <t>Soils  Use "Soils of The Fort Simpson Trail Area" - Two Island Lake</t>
  </si>
  <si>
    <t>K16-1</t>
  </si>
  <si>
    <t>102I08</t>
  </si>
  <si>
    <t>Soils  Also Use "Description of Soils For Northern Vancouver Is" - Cape Parkins</t>
  </si>
  <si>
    <t>K16-2</t>
  </si>
  <si>
    <t>102I09</t>
  </si>
  <si>
    <t>Soils  Also Use "Description of Soils For Northern Vancouver Is" - San Josef</t>
  </si>
  <si>
    <t>K16-4</t>
  </si>
  <si>
    <t>102I16</t>
  </si>
  <si>
    <t>Soils  Also Use "Description of Soils For Northern Vancouver Is" - Cape Scott</t>
  </si>
  <si>
    <t>K16-54</t>
  </si>
  <si>
    <t>Soil/Terrain - Stikine - Iskut</t>
  </si>
  <si>
    <t>Soil Landscape For The Iskut River Map Area 104B</t>
  </si>
  <si>
    <t>Biophysical Soil Landscapes Inventory of the Stikine - Iskut Area</t>
  </si>
  <si>
    <t>K16-59</t>
  </si>
  <si>
    <t>Soil/Terrain - Telegraph Creek</t>
  </si>
  <si>
    <t>Soil Landscape For The Telegraph Creek Map Area 104G-F</t>
  </si>
  <si>
    <t>Telegraph Creek Area: Soil and Agricultural Capability Inventory</t>
  </si>
  <si>
    <t>K16-71</t>
  </si>
  <si>
    <t>Soil Landscape For The Spatsizi Map Area 104H</t>
  </si>
  <si>
    <t>K16-72</t>
  </si>
  <si>
    <t>Soil/Terrain - Dease Lake</t>
  </si>
  <si>
    <t>Soil Landscape For The Dease Lake Map Area 104J</t>
  </si>
  <si>
    <t>Soil Landscapes for the Dease Lake Map Area</t>
  </si>
  <si>
    <t>K17-1070</t>
  </si>
  <si>
    <t>Capability - Climate</t>
  </si>
  <si>
    <t>Climate Capability For Agriculture - Victoria</t>
  </si>
  <si>
    <t>Very large file  - seems to be corrupt! Was able to import into Powerpoint, but almost illegible. (Mar09)</t>
  </si>
  <si>
    <t>K17-1093</t>
  </si>
  <si>
    <t>Climate Capability For Agriculture - Nitinat Lake</t>
  </si>
  <si>
    <t>K17-12</t>
  </si>
  <si>
    <t>103F/NW</t>
  </si>
  <si>
    <t>Climate Capability For Agriculture  Map Covers Parts of 103F/Ne &amp; 130F/Nw</t>
  </si>
  <si>
    <t>K17-13</t>
  </si>
  <si>
    <t>103F/SE</t>
  </si>
  <si>
    <t>Climate Capability For Agriculture  Map Covers Parts of 103F/Se &amp; 103F/Sw</t>
  </si>
  <si>
    <t>K17-1337</t>
  </si>
  <si>
    <t>Climate Capability For Agriculture - Powell River</t>
  </si>
  <si>
    <t>K17-1344</t>
  </si>
  <si>
    <t>Climate Capability For Agriculture - Buttle Lake</t>
  </si>
  <si>
    <t>K17-1352</t>
  </si>
  <si>
    <t>Climate Capability For Agriculture - Port Alberni</t>
  </si>
  <si>
    <t>K17-1358</t>
  </si>
  <si>
    <t>Climate Capability For Agriculture - Kennedy Lake</t>
  </si>
  <si>
    <t>K17-1630</t>
  </si>
  <si>
    <t>Climate Capability For Agriculture - Squamish</t>
  </si>
  <si>
    <t>K17-1636</t>
  </si>
  <si>
    <t>092G/SE</t>
  </si>
  <si>
    <t>Climate Capability For Agriculture - Langley</t>
  </si>
  <si>
    <t>K17-1643</t>
  </si>
  <si>
    <t>Climate Capability For Agriculture - Vancouver</t>
  </si>
  <si>
    <t>K17-1722</t>
  </si>
  <si>
    <t>Climate Capability For Agriculture (No Legend) - Tulameen</t>
  </si>
  <si>
    <t>K17-1723</t>
  </si>
  <si>
    <t>092H/NW</t>
  </si>
  <si>
    <t>Climate Capability For Agriculture - Yale</t>
  </si>
  <si>
    <t>K17-1730</t>
  </si>
  <si>
    <t>Climate Capability For Agriculture (No Legend) - Princeton</t>
  </si>
  <si>
    <t>K17-1733</t>
  </si>
  <si>
    <t>Climate Capability For Agriculture - Chilliwack Lake</t>
  </si>
  <si>
    <t>K17-1791</t>
  </si>
  <si>
    <t>Climate Capability For Agriculture (No Legend) - Kamloops Lake</t>
  </si>
  <si>
    <t>K17-1797</t>
  </si>
  <si>
    <t>Climate Capability For Agriculture - Ashcroft</t>
  </si>
  <si>
    <t>K17-1803</t>
  </si>
  <si>
    <t>Climate Capability For Agriculture (No Legend) - Merritt</t>
  </si>
  <si>
    <t>K17-1809</t>
  </si>
  <si>
    <t>Climate Capability For Agriculture - Lytton</t>
  </si>
  <si>
    <t>K17-1837</t>
  </si>
  <si>
    <t>092J/NE</t>
  </si>
  <si>
    <t>Climate Capability For Agriculture - Bridge River</t>
  </si>
  <si>
    <t>K17-1842</t>
  </si>
  <si>
    <t>092J/SE</t>
  </si>
  <si>
    <t>Climate Capability For Agriculture - Pemberton</t>
  </si>
  <si>
    <t>K17-1867</t>
  </si>
  <si>
    <t>Climate Capability For Agriculture - Campbell River</t>
  </si>
  <si>
    <t>K17-19</t>
  </si>
  <si>
    <t>103J/SW</t>
  </si>
  <si>
    <t>Climate Capability For Agriculture</t>
  </si>
  <si>
    <t>K17-1900</t>
  </si>
  <si>
    <t>092L/NE</t>
  </si>
  <si>
    <t>Climate Capability For Agriculture - Gilford Island</t>
  </si>
  <si>
    <t>K17-1905</t>
  </si>
  <si>
    <t>092L/NW</t>
  </si>
  <si>
    <t>Climate Capability For Agriculture - Port Hardy</t>
  </si>
  <si>
    <t>K17-1911</t>
  </si>
  <si>
    <t>Climate Capability For Agriculture - Nimpkish River</t>
  </si>
  <si>
    <t>K17-1961</t>
  </si>
  <si>
    <t>Climate Capability For Agriculture (No Legend)</t>
  </si>
  <si>
    <t>K17-1965</t>
  </si>
  <si>
    <t>K17-1969</t>
  </si>
  <si>
    <t>K17-1972</t>
  </si>
  <si>
    <t>K17-2041</t>
  </si>
  <si>
    <t>Climate Capability For Agriculture (No Legend) - Canim Lake</t>
  </si>
  <si>
    <t>K17-2049</t>
  </si>
  <si>
    <t>K17-2055</t>
  </si>
  <si>
    <t>Climate Capability For Agriculture (No Legend) - Bonaparte Lake</t>
  </si>
  <si>
    <t>K17-2063</t>
  </si>
  <si>
    <t>K17-2118</t>
  </si>
  <si>
    <t>Climate Capability For Agriculture (No Legend) - Keithley Creek</t>
  </si>
  <si>
    <t>K17-2123</t>
  </si>
  <si>
    <t>K17-2127</t>
  </si>
  <si>
    <t>K17-2174</t>
  </si>
  <si>
    <t>Climate Capability For Agriculture (No Legend) - Narcosli Creek</t>
  </si>
  <si>
    <t>K17-2178</t>
  </si>
  <si>
    <t>Climate Capability For Agriculture (No Legend) - Nazko River</t>
  </si>
  <si>
    <t>K17-2182</t>
  </si>
  <si>
    <t>Climate Capability For Agriculture (No Legend) - Williams Lake</t>
  </si>
  <si>
    <t>K17-2186</t>
  </si>
  <si>
    <t>K17-2217</t>
  </si>
  <si>
    <t>Climate Capability For Agriculture - Ootsa Lake</t>
  </si>
  <si>
    <t>K17-2245</t>
  </si>
  <si>
    <t>Climate Capability For Agriculture - Tachick Lake</t>
  </si>
  <si>
    <t>K17-2254</t>
  </si>
  <si>
    <t>Climate Capability For Agriculture - Uncha Lake</t>
  </si>
  <si>
    <t>K17-2262</t>
  </si>
  <si>
    <t>Climate Capability For Agriculture (No Legend) - Euchiniko Lakes</t>
  </si>
  <si>
    <t>K17-2303</t>
  </si>
  <si>
    <t>Climate Capability For Agriculture (No Legend) - Prince George</t>
  </si>
  <si>
    <t>K17-2308</t>
  </si>
  <si>
    <t>Climate Capability For Agriculture (No Legend) - Cluculz Lake</t>
  </si>
  <si>
    <t>K17-2309</t>
  </si>
  <si>
    <t>Climate Capability For Agriculture - Cluculz Lake</t>
  </si>
  <si>
    <t>K17-2312</t>
  </si>
  <si>
    <t>Climate Capability For Agriculture (No Legend) - Cottonwood River</t>
  </si>
  <si>
    <t>K17-2316</t>
  </si>
  <si>
    <t>Climate Capability For Agriculture (No Legend) - Teltgraph Range</t>
  </si>
  <si>
    <t>K17-2343</t>
  </si>
  <si>
    <t>Climate Capability For Agriculture (No Legend) - Bowron River</t>
  </si>
  <si>
    <t>K17-2352</t>
  </si>
  <si>
    <t>Climate Capability For Agriculture (No Legend) - Barkerville</t>
  </si>
  <si>
    <t>K17-2382</t>
  </si>
  <si>
    <t>Climate Capability For Agriculture (No Legend) - Mcgregor River</t>
  </si>
  <si>
    <t>K17-2405</t>
  </si>
  <si>
    <t>Climate Capability For Agriculture (No Legend) - Salmon River</t>
  </si>
  <si>
    <t>K17-2410</t>
  </si>
  <si>
    <t>Climate Capability For Agriculture - Great Beaver Lake</t>
  </si>
  <si>
    <t>K17-2448</t>
  </si>
  <si>
    <t>Climate Capability For Agriculture - Fort St James</t>
  </si>
  <si>
    <t>K17-2457</t>
  </si>
  <si>
    <t>Climate Capability For Agriculture - Burns Lake</t>
  </si>
  <si>
    <t>K17-2512</t>
  </si>
  <si>
    <t>Climate Capability For Agriculture - Fulton River</t>
  </si>
  <si>
    <t>K17-2522</t>
  </si>
  <si>
    <t>Climate Capability For Agriculture - Telkwa River</t>
  </si>
  <si>
    <t>K17-2533</t>
  </si>
  <si>
    <t>Climate Capability For Agriculture - Houston</t>
  </si>
  <si>
    <t>K17-2542</t>
  </si>
  <si>
    <t>093L/SW</t>
  </si>
  <si>
    <t>Climate Capability For Agriculture (No Legend) - Morice Lake</t>
  </si>
  <si>
    <t>K17-2567</t>
  </si>
  <si>
    <t>K17-2573</t>
  </si>
  <si>
    <t>Climate Capability For Agriculture - Hazelton</t>
  </si>
  <si>
    <t>K17-2597</t>
  </si>
  <si>
    <t>Climate Capability For Agriculture (No Legend) - Germansen Lake</t>
  </si>
  <si>
    <t>K17-2599</t>
  </si>
  <si>
    <t>Climate Capability For Agriculture (No Legend) - Vital Range</t>
  </si>
  <si>
    <t>K17-2601</t>
  </si>
  <si>
    <t>Climate Capability For Agriculture (No Legend) - Chuchi Lake</t>
  </si>
  <si>
    <t>K17-2603</t>
  </si>
  <si>
    <t>Climate Capability For Agriculture (No Legend) - Takla Lake</t>
  </si>
  <si>
    <t>K17-2616</t>
  </si>
  <si>
    <t>Climatic Capability For Agriculture - Mcallister Creek</t>
  </si>
  <si>
    <t>K17-2674</t>
  </si>
  <si>
    <t>Climate Capability For Agriculture (No Legend) - Dawson Creek</t>
  </si>
  <si>
    <t>K17-2679</t>
  </si>
  <si>
    <t>Climate Capability For Agriculture - Moberly Lake</t>
  </si>
  <si>
    <t>K17-2684</t>
  </si>
  <si>
    <t>K17-2689</t>
  </si>
  <si>
    <t>K17-2722</t>
  </si>
  <si>
    <t>K17-2726</t>
  </si>
  <si>
    <t>K17-2729</t>
  </si>
  <si>
    <t>Climate Capability For Agriculture - Fort St John</t>
  </si>
  <si>
    <t>K17-2734</t>
  </si>
  <si>
    <t>Climate Capability For Agriculture - Hudson Hope</t>
  </si>
  <si>
    <t>K17-2756</t>
  </si>
  <si>
    <t>K17-2761</t>
  </si>
  <si>
    <t>K17-2762</t>
  </si>
  <si>
    <t>Climate Capability For Agriculture (No Legend) - Halfway River</t>
  </si>
  <si>
    <t>K17-2789</t>
  </si>
  <si>
    <t>K17-361</t>
  </si>
  <si>
    <t>082E/NE</t>
  </si>
  <si>
    <t>Climate Capability For Agriculture (No Legend) - Upper Kettle River</t>
  </si>
  <si>
    <t>K17-364</t>
  </si>
  <si>
    <t>Climate Capability For Agriculture - Kelowna</t>
  </si>
  <si>
    <t>K17-368</t>
  </si>
  <si>
    <t>Climate Capability For Agriculture (No Legend) - Grand Forks</t>
  </si>
  <si>
    <t>K17-371</t>
  </si>
  <si>
    <t>Climate Capability For Agriculture - Penticton</t>
  </si>
  <si>
    <t>K17-38</t>
  </si>
  <si>
    <t>103K/SW</t>
  </si>
  <si>
    <t>Climate Capability For Agriculture   Map Covers Parts of 103K/Se &amp; 103K/Sw</t>
  </si>
  <si>
    <t>K17-447</t>
  </si>
  <si>
    <t>Climate Capability For Agriculture (No Legend) - Kaslo</t>
  </si>
  <si>
    <t>K17-451</t>
  </si>
  <si>
    <t>Climate Capability For Agriculture (No Legend) -Slocan</t>
  </si>
  <si>
    <t>K17-455</t>
  </si>
  <si>
    <t>Climate Capability For Agriculture (No Legend) - Creston</t>
  </si>
  <si>
    <t>K17-459</t>
  </si>
  <si>
    <t>Climate Capability For Agriculture (No Legend) - Trail</t>
  </si>
  <si>
    <t>K17-49</t>
  </si>
  <si>
    <t>103P/NE</t>
  </si>
  <si>
    <t>Climate Capability For Agriculture - Swan Lake</t>
  </si>
  <si>
    <t>K17-4942</t>
  </si>
  <si>
    <t>K17-5071</t>
  </si>
  <si>
    <t>Climate Capability For Agriculture (Dryland) - Vernon</t>
  </si>
  <si>
    <t>K17-5072</t>
  </si>
  <si>
    <t>Climate Capability For Agriculture - Great Beaver Lake - No Legend</t>
  </si>
  <si>
    <t>K17-5073</t>
  </si>
  <si>
    <t>Climate Capability For Agriculture - Mcallister Creek - No Legend</t>
  </si>
  <si>
    <t>K17-591</t>
  </si>
  <si>
    <t>Climate Capability For Agriculture (No Legend) - Invermere</t>
  </si>
  <si>
    <t>K17-595</t>
  </si>
  <si>
    <t>Climate Capability For Agriculture (No Legend) - Beaton</t>
  </si>
  <si>
    <t>K17-598</t>
  </si>
  <si>
    <t>Climate Capability For Agriculture (No Legend) - Lardeau</t>
  </si>
  <si>
    <t>K17-602</t>
  </si>
  <si>
    <t>Climate Capability For Agriculture (No Legend) - Nakusp</t>
  </si>
  <si>
    <t>K17-789</t>
  </si>
  <si>
    <t>Climate Capability For Agriculture (No Legend) - Revelstoke</t>
  </si>
  <si>
    <t>1974 drafting</t>
  </si>
  <si>
    <t>K17-791</t>
  </si>
  <si>
    <t>Climate Capability For Agriculture (No Legend) - Shuswap Lake</t>
  </si>
  <si>
    <t>K17-798</t>
  </si>
  <si>
    <t>Climate Capability For Agriculture (No Legend) - Sugar Lake</t>
  </si>
  <si>
    <t>K17-801</t>
  </si>
  <si>
    <t>Climatic Capability For Agriculture - Vernon</t>
  </si>
  <si>
    <t>K17-847</t>
  </si>
  <si>
    <t>Climate Capability For Agriculture (No Legend) - Avola</t>
  </si>
  <si>
    <t>K17-862</t>
  </si>
  <si>
    <t>Climate Capability For Agriculture (No Legend) - Adams Lake</t>
  </si>
  <si>
    <t>K18-1074</t>
  </si>
  <si>
    <t>May To September Precipitation - Victoria (and Part of 92B/Sw)</t>
  </si>
  <si>
    <t>K18-1097</t>
  </si>
  <si>
    <t>May To September Precipitation - Nitinat Lake (and Parts of 92C/Nw and 92C/Se)</t>
  </si>
  <si>
    <t>K18-1111</t>
  </si>
  <si>
    <t>092E/NE</t>
  </si>
  <si>
    <t>May To September Precipitation - Nootka Island (and Part of 92E/Nw)</t>
  </si>
  <si>
    <t>K18-1341</t>
  </si>
  <si>
    <t>May To September Precipitation - Powell River</t>
  </si>
  <si>
    <t>K18-1348</t>
  </si>
  <si>
    <t>May To September Precipitation - Buttle Lake</t>
  </si>
  <si>
    <t>K18-1356</t>
  </si>
  <si>
    <t>May To September Precipitation - Port Alberni</t>
  </si>
  <si>
    <t>K18-1362</t>
  </si>
  <si>
    <t>May To September Precipitation - Kennedy Lake</t>
  </si>
  <si>
    <t>K18-139</t>
  </si>
  <si>
    <t>082E</t>
  </si>
  <si>
    <t>May To September Precipitation (No Legend) - Penticton</t>
  </si>
  <si>
    <t>K18-1634</t>
  </si>
  <si>
    <t>May To September Precipitation - Squamish</t>
  </si>
  <si>
    <t>K18-1640</t>
  </si>
  <si>
    <t>May To September Precipitation - Langley</t>
  </si>
  <si>
    <t>K18-1647</t>
  </si>
  <si>
    <t>May To September Precipitation - Vancouver</t>
  </si>
  <si>
    <t>K18-1656</t>
  </si>
  <si>
    <t>May To September Precipitation (No Legend) - Hope</t>
  </si>
  <si>
    <t>K18-1727</t>
  </si>
  <si>
    <t>May To September Precipitation - Yale</t>
  </si>
  <si>
    <t>K18-1737</t>
  </si>
  <si>
    <t>May To September Precipitation - Chilliwack Lake</t>
  </si>
  <si>
    <t>K18-1795</t>
  </si>
  <si>
    <t>May To September Precipitation - Kamloops</t>
  </si>
  <si>
    <t>K18-1801</t>
  </si>
  <si>
    <t>May To September Precipitation - Ashcroft</t>
  </si>
  <si>
    <t>K18-1807</t>
  </si>
  <si>
    <t>May To September Precipitation - Merritt</t>
  </si>
  <si>
    <t>K18-1813</t>
  </si>
  <si>
    <t>May To September Precipitation - Lytton</t>
  </si>
  <si>
    <t>K18-1841</t>
  </si>
  <si>
    <t>May To September Precipitation - Bridge River</t>
  </si>
  <si>
    <t>K18-1846</t>
  </si>
  <si>
    <t>May To September Precipitation - Pemberton</t>
  </si>
  <si>
    <t>K18-1871</t>
  </si>
  <si>
    <t>May To September Precipitation - Campbell River</t>
  </si>
  <si>
    <t>K18-1904</t>
  </si>
  <si>
    <t>May To September Precipitation - Gilford Island</t>
  </si>
  <si>
    <t>K18-1909</t>
  </si>
  <si>
    <t>May To September Precipitation - Port Hardy</t>
  </si>
  <si>
    <t>K18-1915</t>
  </si>
  <si>
    <t>May To September Precipitation - Nimpkish River</t>
  </si>
  <si>
    <t>K18-1918</t>
  </si>
  <si>
    <t>092L/SW</t>
  </si>
  <si>
    <t>May To September Precipitation - Port Alice</t>
  </si>
  <si>
    <t>K18-1926</t>
  </si>
  <si>
    <t>092O</t>
  </si>
  <si>
    <t>May To September Precipitation (No Legend) - Taseko Lake</t>
  </si>
  <si>
    <t>K18-1994</t>
  </si>
  <si>
    <t>092P</t>
  </si>
  <si>
    <t>May To September Precipitation (No Legend) - Bonaparte River</t>
  </si>
  <si>
    <t>K18-2045</t>
  </si>
  <si>
    <t>May To September Precipitation - Canim Lake</t>
  </si>
  <si>
    <t>K18-2059</t>
  </si>
  <si>
    <t>May To September Precipitation - Bonaparte Lake</t>
  </si>
  <si>
    <t>K18-2084</t>
  </si>
  <si>
    <t>093A</t>
  </si>
  <si>
    <t>May To September Precipitation (No Legend) - Quesnel Lake</t>
  </si>
  <si>
    <t>K18-2207</t>
  </si>
  <si>
    <t>093E</t>
  </si>
  <si>
    <t>May To September Precipitation (No Legend) - Whitesail Lake</t>
  </si>
  <si>
    <t>K18-2225</t>
  </si>
  <si>
    <t>093F</t>
  </si>
  <si>
    <t>May To September Precipitation (No Legend) - Nechako River</t>
  </si>
  <si>
    <t>K18-2264</t>
  </si>
  <si>
    <t>093G</t>
  </si>
  <si>
    <t>May To September Precipitation (No Legend) - Prince George</t>
  </si>
  <si>
    <t>K18-2341</t>
  </si>
  <si>
    <t>093H/NE</t>
  </si>
  <si>
    <t>May To September Precipitation - Morkill River</t>
  </si>
  <si>
    <t>K18-2346</t>
  </si>
  <si>
    <t>May To September Precipitation - Bowron River</t>
  </si>
  <si>
    <t>K18-2351</t>
  </si>
  <si>
    <t>093H/SE</t>
  </si>
  <si>
    <t>May To September Precipitation - Mcbride</t>
  </si>
  <si>
    <t>K18-2384</t>
  </si>
  <si>
    <t>093J</t>
  </si>
  <si>
    <t>May To September Precipitation (No Legend) - Mcleod Lake</t>
  </si>
  <si>
    <t>K18-2412</t>
  </si>
  <si>
    <t>093K</t>
  </si>
  <si>
    <t>May To September Precipitation (No Legend) - Fort Fraser</t>
  </si>
  <si>
    <t>K18-2468</t>
  </si>
  <si>
    <t>093L</t>
  </si>
  <si>
    <t>May To September Precipitation (No Legend) - Smithers</t>
  </si>
  <si>
    <t>K18-2543</t>
  </si>
  <si>
    <t>093M</t>
  </si>
  <si>
    <t>May To September Precipitation (No Legend) - Hazelton</t>
  </si>
  <si>
    <t>K18-2692</t>
  </si>
  <si>
    <t>094A</t>
  </si>
  <si>
    <t>May To September Precipitation (No Legend) - Charlie Lake</t>
  </si>
  <si>
    <t>K18-2736</t>
  </si>
  <si>
    <t>094B</t>
  </si>
  <si>
    <t>May To September Precipitation (No Legend) - Halfway River</t>
  </si>
  <si>
    <t>K18-2768</t>
  </si>
  <si>
    <t>094G</t>
  </si>
  <si>
    <t>May To September Precipitation (No Legend) - Trutch</t>
  </si>
  <si>
    <t>K18-2769</t>
  </si>
  <si>
    <t>094H</t>
  </si>
  <si>
    <t>May To September Precipitation (No Legend) - Beatton River</t>
  </si>
  <si>
    <t>K18-477</t>
  </si>
  <si>
    <t>082G</t>
  </si>
  <si>
    <t>May To September Precipitation (No Legend) - Fernie</t>
  </si>
  <si>
    <t>K18-4943</t>
  </si>
  <si>
    <t>093B</t>
  </si>
  <si>
    <t>May To September Precipitation (No Legend) - Quesnel</t>
  </si>
  <si>
    <t>K18-520</t>
  </si>
  <si>
    <t>082J</t>
  </si>
  <si>
    <t>May To September Precipitation (No Legend) - Kananaskis Lakes</t>
  </si>
  <si>
    <t>K18-555</t>
  </si>
  <si>
    <t>May To September Precipitation (No Legend) - Lardeau</t>
  </si>
  <si>
    <t>K18-6</t>
  </si>
  <si>
    <t>102I/NE</t>
  </si>
  <si>
    <t>May To September Precipitation - Cape Scott</t>
  </si>
  <si>
    <t>K18-628</t>
  </si>
  <si>
    <t>082L</t>
  </si>
  <si>
    <t>May To September Precipitation (No Legend) - Vernon</t>
  </si>
  <si>
    <t>K18-795</t>
  </si>
  <si>
    <t>May To September Precipitation - Shuswap Lake</t>
  </si>
  <si>
    <t>K18-805</t>
  </si>
  <si>
    <t>May To September Precipitation - Vernon</t>
  </si>
  <si>
    <t>K18-851</t>
  </si>
  <si>
    <t>May To September Precipitation - Avola</t>
  </si>
  <si>
    <t>K18-866</t>
  </si>
  <si>
    <t>May To September Precipitation - Adams Lake</t>
  </si>
  <si>
    <t>K18-868</t>
  </si>
  <si>
    <t>082N</t>
  </si>
  <si>
    <t>May To September Precipitation (No Legend) - Golden (and Part of 82O)</t>
  </si>
  <si>
    <t>K18-895</t>
  </si>
  <si>
    <t>083D/NW</t>
  </si>
  <si>
    <t>May To September Precipitation - Premier Range</t>
  </si>
  <si>
    <t>K18-898</t>
  </si>
  <si>
    <t>083D/SW</t>
  </si>
  <si>
    <t>May To September Precipitation - Murtle Lake</t>
  </si>
  <si>
    <t>K18-905</t>
  </si>
  <si>
    <t>083E/SW</t>
  </si>
  <si>
    <t>May To September Precipitation - Mount Robson (and Part of 83E/Se)</t>
  </si>
  <si>
    <t>L02-1410</t>
  </si>
  <si>
    <t>Project - Lower Mainland - Dewdney-Alouette</t>
  </si>
  <si>
    <t>Lower Mainland official Regional Plan Update For Dewdney-Alouette: 1 Present Geological Hazards</t>
  </si>
  <si>
    <t>Present Geological Hazards and Soil Sensitivity to Earthquake Movement for the Lower Mainland Offical Regional Plan Review</t>
  </si>
  <si>
    <t>L02-1411</t>
  </si>
  <si>
    <t>Project - Lower Mainland - Fraser - Cheam</t>
  </si>
  <si>
    <t>Lower Mainland official Regional Plan Update For Fraser - Cheam Regional District - Southern Portion: 5 Soil &amp; Surficial Geology Limitations To Urban Development</t>
  </si>
  <si>
    <t>Soil and Surficial Geology Limitations to Urban Development: Guidelines for the Use of the Lower Mainland Official Regional Plan Review</t>
  </si>
  <si>
    <t>L02-1413</t>
  </si>
  <si>
    <t>Lower Mainland official Regional Plan Update For Fraser - Cheam Regional District - Southern Portion: 2 Present Geological Hazards</t>
  </si>
  <si>
    <t>L02-1415</t>
  </si>
  <si>
    <t>Lower Mainland official Regional Plan Update For Central Fraser Greater Vancouver Dewdney-Alouette-Fraser - Cheam Regional Districts: 4 Soil &amp; Surficial Geology Limitations To Urban Development</t>
  </si>
  <si>
    <t>Lower Mainland Official Regional Plan Update</t>
  </si>
  <si>
    <t>L02-1653</t>
  </si>
  <si>
    <t>Project - Lower Mainland  - Greater Vancouver Regional District</t>
  </si>
  <si>
    <t>Lower Mainland official Regional Plan Update For Greater Vancouver Regional District: 1 Present Geological Hazards</t>
  </si>
  <si>
    <t>L02-1655</t>
  </si>
  <si>
    <t>Lower Mainland official Regional Plan Update For Greater Vancouver Regional District: 4 Soil &amp; Surficial Geology Limitations To Urban Development</t>
  </si>
  <si>
    <t>L03-2085</t>
  </si>
  <si>
    <t>093A022</t>
  </si>
  <si>
    <t>Project - Miocene</t>
  </si>
  <si>
    <t>Miocene Planning Area (Resource Data Base Folio) : Key Map - Map Covers Parts of 93A.021 &amp; 93A.022</t>
  </si>
  <si>
    <t>L03-2086</t>
  </si>
  <si>
    <t>093A021</t>
  </si>
  <si>
    <t>Miocene Planning Area (Resource Data Base Folio): Agriculture Capability Map 4 West - Legend Illegible</t>
  </si>
  <si>
    <t>L03-2087</t>
  </si>
  <si>
    <t>Miocene Planning Area (Resource Data Base Folio): Agriculture Capability Map 4 East: Legend Illegible</t>
  </si>
  <si>
    <t>L03-2090</t>
  </si>
  <si>
    <t>Miocene Planning Area (Resource Data Base Folio): Soil Associations Map 5 West - Legend Mostly Illegible</t>
  </si>
  <si>
    <t>L03-2091</t>
  </si>
  <si>
    <t>Miocene Planning Area (Resource Data Base Folio): Soil Associations Map 5 East - Legend Partially Illegible</t>
  </si>
  <si>
    <t>L04-375</t>
  </si>
  <si>
    <t>082F054</t>
  </si>
  <si>
    <t>Project - Nelson Watershed</t>
  </si>
  <si>
    <t>Nelson Watershed Study Area: 4 Potential Aggregate Resources - Map Covers Parts of 82F.044 &amp; 92F.054</t>
  </si>
  <si>
    <t>Nelson Watershed Study</t>
  </si>
  <si>
    <t>L04-376</t>
  </si>
  <si>
    <t>Nelson Watershed Study Area: 5 Potential Shallow Unconsolidated Rapid Mass Movement Factor Map - Map Covers Parts of 82F.044 &amp; 92F.054</t>
  </si>
  <si>
    <t>L04-377</t>
  </si>
  <si>
    <t>Nelson Watershed Study Area: 6 Soils - Map Covers Parts of 82F.044 &amp; 92F.054</t>
  </si>
  <si>
    <t>L04-378</t>
  </si>
  <si>
    <t>Nelson Watershed Study Area: 7 Terrain - Map Covers Parts of 82F.044 &amp; 92F.054</t>
  </si>
  <si>
    <t>L05-1417</t>
  </si>
  <si>
    <t>Norrish - Cascade Terrain Stability: Clearcut Landslide &amp; Introduced Landslide Debris Rating Incl. In "Ter. Evalu" - Map Covers Parts of 92G/01 &amp; 92G/08</t>
  </si>
  <si>
    <t>L05-1418</t>
  </si>
  <si>
    <t>Norrish - Cascade Terrain Stability: Geologic Processes - Map Covers Parts of 92G/01 &amp; 92G/08</t>
  </si>
  <si>
    <t>L05-1419</t>
  </si>
  <si>
    <t>Norrish - Cascade Terrain Stability: Highlighted Clearcut Landslide &amp; Introduced Landslide Debris Rating - Map Covers Parts of 92G/01 &amp; 92G/08</t>
  </si>
  <si>
    <t>L05-1420</t>
  </si>
  <si>
    <t>Norrish - Cascade Terrain Stability: Landslide Inventory - Map Covers Parts of 92G/01 &amp; 92G/08</t>
  </si>
  <si>
    <t>L05-1421</t>
  </si>
  <si>
    <t>Norrish - Cascade Terrain Stability: Terrain - Map Covers Parts of 92G/01 &amp; 92G/08</t>
  </si>
  <si>
    <t>L05-1422</t>
  </si>
  <si>
    <t>Norrish - Cascade Terrain Stability: Terrain Polygon Numbers</t>
  </si>
  <si>
    <t>L05-1423</t>
  </si>
  <si>
    <t>Norrish - Cascade Terrain Stability: Topographic Base</t>
  </si>
  <si>
    <t>L05-1424</t>
  </si>
  <si>
    <t>092G</t>
  </si>
  <si>
    <t>Project - North Shore</t>
  </si>
  <si>
    <t>North Shore Study  (12 Themes, 11 With Or Without Base Information)</t>
  </si>
  <si>
    <t>L05-1427</t>
  </si>
  <si>
    <t>North Shore Study: Mean Annual Precipitation (Inches)</t>
  </si>
  <si>
    <t>L05-1428</t>
  </si>
  <si>
    <t>North Shore Study: Mean Annual Precipitation (Inches) (Overlay Only)</t>
  </si>
  <si>
    <t>L05-1429</t>
  </si>
  <si>
    <t>North Shore Study: Mean Annual Snowfall (Inches)</t>
  </si>
  <si>
    <t>L05-1430</t>
  </si>
  <si>
    <t>North Shore Study: Mean Annual Snowfall (Inches) (Overlay Only)</t>
  </si>
  <si>
    <t>L05-1431</t>
  </si>
  <si>
    <t>North Shore Study: Soil Suitability For Urban Development (Overlay Only)</t>
  </si>
  <si>
    <t>Map is incorrectly labelled as Third Burrard Crossing Study</t>
  </si>
  <si>
    <t>L06-2358</t>
  </si>
  <si>
    <t>093I</t>
  </si>
  <si>
    <t>Project - Northeast Coal</t>
  </si>
  <si>
    <t>Northeast Coal Study Area: 7  Estimated Snow Depth 76.03.01</t>
  </si>
  <si>
    <t>L06-2359</t>
  </si>
  <si>
    <t>Northeast Coal Study Area: 8  Estimated Snow Depth 76.04.01</t>
  </si>
  <si>
    <t>L06-2360</t>
  </si>
  <si>
    <t>Northeast Coal Study Area: 9  Estimated Snow Depth 76.05.01</t>
  </si>
  <si>
    <t>L08-100</t>
  </si>
  <si>
    <t>27 Summerland Area  Apple Spring Frost Risk Zones</t>
  </si>
  <si>
    <t>Tree Fruit Suitability in the Okangan, Similkameen, and Creston Valleys</t>
  </si>
  <si>
    <t>L08-101</t>
  </si>
  <si>
    <t>28 Summerland Area Apricot Spring Frost Risk Zones</t>
  </si>
  <si>
    <t>L08-102</t>
  </si>
  <si>
    <t>29 Summerland Area Cherry-Peach Spring Frost Risk Zones</t>
  </si>
  <si>
    <t>L08-103</t>
  </si>
  <si>
    <t>082E093</t>
  </si>
  <si>
    <t>3  Kelowna Area  Apple Spring Frost Risk Zones - Map Covers Parts of 82E.083 &amp; 82E.093</t>
  </si>
  <si>
    <t>L08-104</t>
  </si>
  <si>
    <t>4  Kelowna Area Apricot Spring Frost Risk Zones - Map Covers Parts of 82E.083 &amp; 82E.093</t>
  </si>
  <si>
    <t>L08-105</t>
  </si>
  <si>
    <t>41 Westbank Area Spring Frost Risk Zones</t>
  </si>
  <si>
    <t>L08-106</t>
  </si>
  <si>
    <t>42 Westbank Area  Apple Spring Frost Risk Zones</t>
  </si>
  <si>
    <t>L08-107</t>
  </si>
  <si>
    <t>43 Westbank Area  Apricot Spring Frost Risk Zones</t>
  </si>
  <si>
    <t>L08-108</t>
  </si>
  <si>
    <t>44 Westbank Area  Pear-Prune-Cherry-Peach Spring Frost Risk Zones</t>
  </si>
  <si>
    <t>L08-109</t>
  </si>
  <si>
    <t>5  Kelowna Area  Pear-Prune-Cherry-Peach Spring Frost Risk Zones - Map Covers Parts of 82E.083 &amp; 82E.093</t>
  </si>
  <si>
    <t>L24-2483</t>
  </si>
  <si>
    <t>093L075</t>
  </si>
  <si>
    <t>Project - Telkwa</t>
  </si>
  <si>
    <t>Telkwa: 3 Soil &amp; Landform Base - Map Covers Parts of 93L.064, 93L.065, 93L.074, &amp; 93L.075</t>
  </si>
  <si>
    <t>M05-3946</t>
  </si>
  <si>
    <t>092K004</t>
  </si>
  <si>
    <t>Project - Coastal Resources Folio 81-1,2</t>
  </si>
  <si>
    <t>Coastal Resources Folio: 1 Surficial Sediments &amp; Marine Birds 81-1 &amp; 81-2: Campbell River</t>
  </si>
  <si>
    <t>Coastal Resources Folio</t>
  </si>
  <si>
    <t>L08-110</t>
  </si>
  <si>
    <t>6  Keremeos Area Spring Frost Risk Zones</t>
  </si>
  <si>
    <t>L08-111</t>
  </si>
  <si>
    <t>7  Keremeos Area  Apple Spring Frost Risk Zones</t>
  </si>
  <si>
    <t>L08-112</t>
  </si>
  <si>
    <t>8  Keremeos Area Apricot Spring  Frost Risk Zones</t>
  </si>
  <si>
    <t>L08-113</t>
  </si>
  <si>
    <t>9  Keremeos Area  Cherry-Peach Spring Frost Risk Zones</t>
  </si>
  <si>
    <t>L08-5076</t>
  </si>
  <si>
    <t>29 Summerland Area Pear-Prune Spring Frost Risk Zones</t>
  </si>
  <si>
    <t>L08-5077</t>
  </si>
  <si>
    <t>9  Keremeos Area  Pear-Prune Spring Frost Risk Zones</t>
  </si>
  <si>
    <t>L08-5078</t>
  </si>
  <si>
    <t>39 Vernon Area, South Half Pear-Prune Spring Frost Risk Zones</t>
  </si>
  <si>
    <t>L08-5079</t>
  </si>
  <si>
    <t>Okanagan Frost Risk Zones  Key Map - Map Covers Parts of 82E/W &amp; 82L/Sw</t>
  </si>
  <si>
    <t>L08-604</t>
  </si>
  <si>
    <t>082L034</t>
  </si>
  <si>
    <t>31 Vernon Area, North Half Spring Frost Risk Zones - Map Covers Parts of 82L.014, 82L.024, &amp; 82L.034</t>
  </si>
  <si>
    <t>L08-605</t>
  </si>
  <si>
    <t>32 Vernon Area, North Half Apple Spring Frost Risk Zones - Map Covers Parts of 82L.014, 82L.024, &amp; 82L.034</t>
  </si>
  <si>
    <t>L08-606</t>
  </si>
  <si>
    <t>33 Vernon Area, North Half Apricot Spring Frost Risk Zones - Map Covers Parts of 82L.014, 82L.024, &amp; 82L.034</t>
  </si>
  <si>
    <t>L08-607</t>
  </si>
  <si>
    <t>34 Vernon Area, North Half Cherry-Peach Spring Frost Risk Zones - Map Covers Parts of 82L.014, 82L.024, &amp; 82L.034</t>
  </si>
  <si>
    <t>L08-608</t>
  </si>
  <si>
    <t>35 Vernon Area, North Half Pear-Prune Spring Frost Risk Zones - Map Covers Parts of 82L.014, 82L.024, &amp; 82L.034</t>
  </si>
  <si>
    <t>L08-609</t>
  </si>
  <si>
    <t>36 Vernon Area, South Half Spring Frost Risk Zones</t>
  </si>
  <si>
    <t>L08-610</t>
  </si>
  <si>
    <t>37 Vernon Area, South Half  Apple  Spring Frost Risk Zones</t>
  </si>
  <si>
    <t>L08-611</t>
  </si>
  <si>
    <t>38 Vernon Area, South Half Apricot Spring Frost Risk Zones</t>
  </si>
  <si>
    <t>L08-612</t>
  </si>
  <si>
    <t>39 Vernon Area, South Half Cherry-Peach Spring Frost Risk Zones</t>
  </si>
  <si>
    <t>L08-81</t>
  </si>
  <si>
    <t>Apple Spring Frost Risk Zones - Naramata Area</t>
  </si>
  <si>
    <t>L08-82</t>
  </si>
  <si>
    <t>11 Naramata Area Spring Frost Risk Zones</t>
  </si>
  <si>
    <t>L08-83</t>
  </si>
  <si>
    <t>13 Naramata Area Apricot Spring Frost Risk Zones</t>
  </si>
  <si>
    <t>L08-84</t>
  </si>
  <si>
    <t>14 Naramata Area  Cherry-Peach Spring Frost Risk Zones</t>
  </si>
  <si>
    <t>L08-85</t>
  </si>
  <si>
    <t>15 Naramata Area  Pear-Prune Spring Frost Risk Zones</t>
  </si>
  <si>
    <t>L08-86</t>
  </si>
  <si>
    <t>082E013</t>
  </si>
  <si>
    <t>16 Oliver-Osoyoos Area Spring Frost Risk Zones - Map Covers Parts of 82E.003 &amp; 82E.013</t>
  </si>
  <si>
    <t>L08-87</t>
  </si>
  <si>
    <t>17 Oliver-Osoyoos Area Apple Spring Frost Risk Zones - Map Covers Parts of 82E.003 &amp; 82E.013</t>
  </si>
  <si>
    <t>L08-88</t>
  </si>
  <si>
    <t>18 Oliver-Osoyoos Area Apricot Spring Frost Risk Zones - Map Covers Parts of 82E.003 &amp; 82E.013</t>
  </si>
  <si>
    <t>L08-89</t>
  </si>
  <si>
    <t>19 Oliver-Osoyoos Area Cherry-Peach Spring Frost Risk Zones - Map Covers Parts of 82E.003 &amp; 82E.013</t>
  </si>
  <si>
    <t>L08-90</t>
  </si>
  <si>
    <t>2  Kelowna Area Spring Frost Risk Zones - Map Covers Parts of 82E.083 &amp; 82E.093</t>
  </si>
  <si>
    <t>L08-91</t>
  </si>
  <si>
    <t>20 Oliver-Osoyoos Area Pear-Prune Spring Frost Risk Zones - Map Covers Parts of 82E.003 &amp; 82E.013</t>
  </si>
  <si>
    <t>L08-92</t>
  </si>
  <si>
    <t>21 Penticton Area Spring Frost Risk Zones</t>
  </si>
  <si>
    <t>L08-94</t>
  </si>
  <si>
    <t>22 Penticton Area Apple Spring Forst Risk Zones</t>
  </si>
  <si>
    <t>L08-95</t>
  </si>
  <si>
    <t>23 Penticton Area Apricot Spring Frost Risk Zones</t>
  </si>
  <si>
    <t>L08-96</t>
  </si>
  <si>
    <t>24 Penticton Area  Cherry-Peach Spring Frost Risk Zones</t>
  </si>
  <si>
    <t>L08-97</t>
  </si>
  <si>
    <t>25 Penticton Area Pear-Prune Spring Frost Risk Zones</t>
  </si>
  <si>
    <t>L08-98</t>
  </si>
  <si>
    <t>26 Summerland Area Spring Frost Risk Zones</t>
  </si>
  <si>
    <t>L09-1434</t>
  </si>
  <si>
    <t>092G064</t>
  </si>
  <si>
    <t>Project - Potlatch Creek</t>
  </si>
  <si>
    <t>Potlatch Creek Project: 2 Soils - Map Covers Parts of 92G.054 &amp; 92G.064</t>
  </si>
  <si>
    <t>L09-1435</t>
  </si>
  <si>
    <t>Potlatch Creek Project: 3 Interim Terrain - Map Covers Parts of 92G.054 &amp; 92G.064</t>
  </si>
  <si>
    <t>L09-1436</t>
  </si>
  <si>
    <t>Potlatch Creek Project: 6 Natural Hazards - Map Covers Parts of 92G.054 &amp; 92G.064</t>
  </si>
  <si>
    <t>L09-382</t>
  </si>
  <si>
    <t>Project - Pend-D'Oreille Valley</t>
  </si>
  <si>
    <t>Pend-D'Oreille Valley Project: Soils East Half</t>
  </si>
  <si>
    <t>Soil and Vegetation Resources of the Pend-d'Oreille Valley, B.C.</t>
  </si>
  <si>
    <t>L09-383</t>
  </si>
  <si>
    <t>Pend-D'Oreille Valley Project: Soils West Half</t>
  </si>
  <si>
    <t>L09-384</t>
  </si>
  <si>
    <t>Pend-D'Oreille Valley Project: Vegetation East Half</t>
  </si>
  <si>
    <t>L09-385</t>
  </si>
  <si>
    <t>Pend-D'Oreille Valley Project: Vegetation West Half</t>
  </si>
  <si>
    <t>L11-2106</t>
  </si>
  <si>
    <t>Terrain Characteristics - Quesnel Lake Map Area</t>
  </si>
  <si>
    <t>L11-2109</t>
  </si>
  <si>
    <t>093A09</t>
  </si>
  <si>
    <t>L11-2110</t>
  </si>
  <si>
    <t>093A10</t>
  </si>
  <si>
    <t>L11-2116</t>
  </si>
  <si>
    <t>093A15</t>
  </si>
  <si>
    <t>L11-2117</t>
  </si>
  <si>
    <t>093A16</t>
  </si>
  <si>
    <t>L12-631</t>
  </si>
  <si>
    <t>082L074</t>
  </si>
  <si>
    <t>Project - Salmon Arm</t>
  </si>
  <si>
    <t>Salmon Arm Project: 2 Soils - Map Covers Parts of 82L.064 &amp; 82L.074</t>
  </si>
  <si>
    <t>L12-632</t>
  </si>
  <si>
    <t>Salmon Arm Project: 3 Soil Drainage Map - Map Covers Parts of 82L.064 &amp; 82L.074</t>
  </si>
  <si>
    <t>L12-633</t>
  </si>
  <si>
    <t>Salmon Arm Project: 4 Topography Map - Map Covers Parts of 82L.064 &amp; 82L.074</t>
  </si>
  <si>
    <t>L12-634</t>
  </si>
  <si>
    <t>Salmon Arm Project: 5 Soil Moisture Deficit Map - Map Covers Parts of 82L.064 &amp; 82L.074</t>
  </si>
  <si>
    <t>L12-635</t>
  </si>
  <si>
    <t>Salmon Arm Project: 6 Soil Suitability For Effluent Irrigation Map - Map Covers Parts of 82L.064 &amp; 82L.074</t>
  </si>
  <si>
    <t>L12-636</t>
  </si>
  <si>
    <t>Salmon Arm Project: Text (Soil Suitability For Effluent Irrigation)</t>
  </si>
  <si>
    <t>L13-1848</t>
  </si>
  <si>
    <t>092K031</t>
  </si>
  <si>
    <t>Project - Salmon River</t>
  </si>
  <si>
    <t>Salmon River Elk Habitat Study: Land Capability For Agriculture</t>
  </si>
  <si>
    <t>Elk Habitat Management: Salmon River Valley.</t>
  </si>
  <si>
    <t>L13-1850</t>
  </si>
  <si>
    <t>Salmon River Elk Habitat Study: Soils</t>
  </si>
  <si>
    <t>L13-1851</t>
  </si>
  <si>
    <t>Salmon River Elk Habitat Study: Vegetation Types</t>
  </si>
  <si>
    <t>L14-637</t>
  </si>
  <si>
    <t>092K086</t>
  </si>
  <si>
    <t>Project - Sicamous</t>
  </si>
  <si>
    <t>Sicamous Project: Text (Soil Suitability For Effluent Irrigation) - Map Covers Parts of 82L.085 &amp; 82L.086</t>
  </si>
  <si>
    <t>L14-640</t>
  </si>
  <si>
    <t>082L086</t>
  </si>
  <si>
    <t>Sicamous Project: 2  Soil Map - Map Covers Parts of 82L.085 &amp; 82L.086</t>
  </si>
  <si>
    <t>L14-641</t>
  </si>
  <si>
    <t>Sicamous Project: 3  Soil Drainage Map - Map Covers Parts of 82L.085 &amp; 82L.086</t>
  </si>
  <si>
    <t>L14-642</t>
  </si>
  <si>
    <t>Sicamous Project: 4  Topography Map - Map Covers Parts of 82L.085 &amp; 82L.086</t>
  </si>
  <si>
    <t>L14-643</t>
  </si>
  <si>
    <t>Sicamous Project: 5  Soil Moisture Deficit Map - Map Covers Parts of 82L.085 &amp; 82L.086</t>
  </si>
  <si>
    <t>L17-3600</t>
  </si>
  <si>
    <t>Smoky Creek-Falls Creek Area: Terrain - Map Covers Parts of 82F.043 &amp; 82F.053</t>
  </si>
  <si>
    <t>L17-387</t>
  </si>
  <si>
    <t>Project - Slocan Valley</t>
  </si>
  <si>
    <t>Slocan Valley Planning Program: 1  Agriculture Capability - Map Covers Parts of 82F/Nw, 82F/Sw/ &amp; 82K/Sw</t>
  </si>
  <si>
    <t>Biophysical Resources of the Slocan Valley.</t>
  </si>
  <si>
    <t>L17-389</t>
  </si>
  <si>
    <t>Slocan Valley Planning Program: 2 Terrain - Map Covers Parts of 82F/Nw, 82F/Sw/ &amp; 82K/Sw</t>
  </si>
  <si>
    <t>L17-390</t>
  </si>
  <si>
    <t>Slocan Valley Planning Program: 3  Climatic Capability For Agriculture - Map Covers Parts of 82F/Nw, 82F/Sw/ &amp; 82K/Sw</t>
  </si>
  <si>
    <t>L17-392</t>
  </si>
  <si>
    <t>Slocan Valley Planning Program: 7  Soils - Map Covers Parts of 82F/Nw, 82F/Sw/ &amp; 82K/Sw</t>
  </si>
  <si>
    <t>L17-393</t>
  </si>
  <si>
    <t>Slocan Valley Planning Program: 8  Soil Factors Affecting Mass Movement - Map Covers Parts of 82F/Nw, 82F/Sw/ &amp; 82K/Sw</t>
  </si>
  <si>
    <t>L17-394</t>
  </si>
  <si>
    <t>Slocan Valley Planning Program: 9  Soil Limitations For Residential Settlement - Map Covers Parts of 82F/Nw, 82F/Sw/ &amp; 82K/Sw</t>
  </si>
  <si>
    <t>L18-3601</t>
  </si>
  <si>
    <t>Project - Southeast Kootenay</t>
  </si>
  <si>
    <t>Southeast Kootenay - Biophysical Evaluation of Transportation Corridors: Regional Base Map .... - Map Covers Parts of 82G &amp; 82J</t>
  </si>
  <si>
    <t>L18-3605</t>
  </si>
  <si>
    <t>Biophysical Evaluation of Transportation Corridors: Southeast Kootenay Region  (6 Sheets)</t>
  </si>
  <si>
    <t>Evaluation of terrain units, recreation, wildlife and aquatics.</t>
  </si>
  <si>
    <t>L18-5080</t>
  </si>
  <si>
    <t>L18-5081</t>
  </si>
  <si>
    <t>L18-5082</t>
  </si>
  <si>
    <t>Southeast Kootenay Region Transportation Corridors  (6 Sheets Inc 82J) - Map Cover Parts of 82G/06 (Elko), &amp; 82G/07 (Upper Flathead)</t>
  </si>
  <si>
    <t>L18-5083</t>
  </si>
  <si>
    <t>L18-5084</t>
  </si>
  <si>
    <t>Southeast Kootenay Region Transportation Corridors  (6 Sheets Inc 82J) - Map Cover Parts of 82J/07W (Mount Head)</t>
  </si>
  <si>
    <t>L19-3622</t>
  </si>
  <si>
    <t>Elkford - Resource Analysis For Urban Suitability  (Alias)</t>
  </si>
  <si>
    <t>L19-3623</t>
  </si>
  <si>
    <t>Fernie - Resource Analysis For Urban Suitability  (Alias)</t>
  </si>
  <si>
    <t>L19-3624</t>
  </si>
  <si>
    <t>Forsyth Creek - Resource Analysis For Urban Suitability (Alias)</t>
  </si>
  <si>
    <t>L19-3625</t>
  </si>
  <si>
    <t>Sparwood - Resource Analysis For Urban Suitability  (Alias)</t>
  </si>
  <si>
    <t>L19-461</t>
  </si>
  <si>
    <t>082J006</t>
  </si>
  <si>
    <t>4  Elkford - Terrain - Map Covers Parts of 82G.096 &amp; 82J.006</t>
  </si>
  <si>
    <t>L19-462</t>
  </si>
  <si>
    <t>082G055</t>
  </si>
  <si>
    <t>4  Fernie - Terrain - Map Covers Parts of 82G.045 &amp; 82G.055</t>
  </si>
  <si>
    <t>L19-463</t>
  </si>
  <si>
    <t>082G076</t>
  </si>
  <si>
    <t>4  Sparwood - Terrain - Map Covers Parts of 82G.066 &amp; 82G.076</t>
  </si>
  <si>
    <t>L19-515</t>
  </si>
  <si>
    <t>082J026</t>
  </si>
  <si>
    <t>4  Forsyth Creek - Terrain - Map Covers Parts of 82J.016 &amp; 82J.026</t>
  </si>
  <si>
    <t>L22-2765</t>
  </si>
  <si>
    <t>094D/N</t>
  </si>
  <si>
    <t>Project - Sturdee Road</t>
  </si>
  <si>
    <t>Sturdee Road Project: 6  Sand &amp; Gravel Sources (Photo Mosaic Base)</t>
  </si>
  <si>
    <t>Sturdee Road Project a Reconnaissance Inventory of Natural Resources in the Sturdee Road Corridor.</t>
  </si>
  <si>
    <t>L22-2766</t>
  </si>
  <si>
    <t>Sturdee Road Project: 7  Terrain (Photo Mosaic Base)</t>
  </si>
  <si>
    <t>L22-2767</t>
  </si>
  <si>
    <t>Sturdee Road Project: 8  Terrain Interpretations (Photo Mosaic Base)</t>
  </si>
  <si>
    <t>L23-1875</t>
  </si>
  <si>
    <t>Project - Tahsish - Kwois</t>
  </si>
  <si>
    <t>Tahsish - Kwois Resource Study: 1  Terrain - Map Covers Parts of 92L/02, 92L/03, 92L/06, 92L/07</t>
  </si>
  <si>
    <t>Report of the Tahsish Task Force</t>
  </si>
  <si>
    <t>L23-1878</t>
  </si>
  <si>
    <t>Tahsish - Kwois Resource Study: 3  Geological Processes - Map Covers Parts of 92L/02, 92L/03, 92L/06, 92L/07</t>
  </si>
  <si>
    <t>L23-1879</t>
  </si>
  <si>
    <t>Tahsish - Kwois Resource Study: 4  Slopes As A Factor Relating To Shallow Mass Movement - Map Covers Parts of 92L/02, 92L/03, 92L/06, 92L/07</t>
  </si>
  <si>
    <t>L23-1880</t>
  </si>
  <si>
    <t>Tahsish - Kwois Resource Study: 5  Soils - Map Covers Parts of 92L/02, 92L/03, 92L/06, 92L/07</t>
  </si>
  <si>
    <t>L23-1882</t>
  </si>
  <si>
    <t>Tahsish - Kwois: 1 Terrain - Map Covers Parts of 92L/02, 92L/03, 92L/06, 92L/07</t>
  </si>
  <si>
    <t>L23-1883</t>
  </si>
  <si>
    <t>Tahsish - Kwois: 2 Terrain - Hazards - Map Covers Parts of 92L/02, 92L/03, 92L/06, 92L/07</t>
  </si>
  <si>
    <t>L23-3654</t>
  </si>
  <si>
    <t>Tahsish - Kwois: 3 Vegetation</t>
  </si>
  <si>
    <t>1982; revised1983</t>
  </si>
  <si>
    <t>L23-3658</t>
  </si>
  <si>
    <t>Tahsish - Kwois Resource Study: 6  Vegetation (Forest Zonation &amp; Vegetation Landscapes)</t>
  </si>
  <si>
    <t>L24-2482</t>
  </si>
  <si>
    <t>Telkwa: 2 Soil Capability For Agriculture - Map Covers Parts of 93L.064, 93L.065, 93L.074, &amp; 93L.075</t>
  </si>
  <si>
    <t>L24-62</t>
  </si>
  <si>
    <t>104J03</t>
  </si>
  <si>
    <t>Project - Telegraph Creek</t>
  </si>
  <si>
    <t>Telegraph Creek Management Area: 7 Soils &amp; Landforms &amp; Agriculture Capability Map 4&amp;5 (North) - Map Covers Parts of 104G/14, 104G/15, 104J/02, &amp; 104J/03</t>
  </si>
  <si>
    <t>L24-63</t>
  </si>
  <si>
    <t>Telegraph Creek Management Area: 8 Soils &amp; Landforms &amp; Agriculture Capability Map 4&amp;5 (South) - Map Covers Parts of 104G/11, 104G/12, 104G/13, &amp; 104G/14</t>
  </si>
  <si>
    <t>L25-3667</t>
  </si>
  <si>
    <t>Project - Terrace - Hazelton</t>
  </si>
  <si>
    <t>Terrace-Hazelton Forest Resources Study: 10 Vegetation Classification</t>
  </si>
  <si>
    <t>1976-02</t>
  </si>
  <si>
    <t>Terrace-Hazelton Regional Forest Resources Study</t>
  </si>
  <si>
    <t>L25-3675</t>
  </si>
  <si>
    <t>094/SW</t>
  </si>
  <si>
    <t>Terrace-Hazelton Forest Resources Study: 7  Land Capability For Agriculture - Map Covers Parts of 93/Nw, 94/Sw, 103/Ne, &amp; 104/Se</t>
  </si>
  <si>
    <t>L25-3686</t>
  </si>
  <si>
    <t>Terrace-Hazelton Forest Resources Study: 13 Landforms  South Part - Map Covers Parts of 93L, 103I, &amp; 103J</t>
  </si>
  <si>
    <t>L25-3687</t>
  </si>
  <si>
    <t>Terrace-Hazelton Forest Resources Study: 14 Landforms  Central Part - Map Covers Parts of 93M, 103O, &amp; 103P</t>
  </si>
  <si>
    <t>L25-3688</t>
  </si>
  <si>
    <t>094E</t>
  </si>
  <si>
    <t>Terrace-Hazelton Forest Resources Study: 15 Landforms  North Part - Map Covers Parts of 94D, 94E, 104A, 104B, 104G, &amp; 104H</t>
  </si>
  <si>
    <t>L25-3696</t>
  </si>
  <si>
    <t>Terrace-Hazelton Forest Resources Study: 22 Vegetation Classification (South Part)</t>
  </si>
  <si>
    <t>1976-01</t>
  </si>
  <si>
    <t>L25-3697</t>
  </si>
  <si>
    <t>Terrace-Hazelton Forest Resources Study: 23 Vegetation Classification  (Central Part)</t>
  </si>
  <si>
    <t>L25-3698</t>
  </si>
  <si>
    <t>Terrace-Hazelton Forest Resources Study: 24 Vegetation Classification  (North Part)</t>
  </si>
  <si>
    <t>L25-3699</t>
  </si>
  <si>
    <t>Terrace-Hazelton Forest Resources Study: 25 Estimated Normal End December Snowpack. Valley Bottom To 5500 Feet (Provisional Copy)</t>
  </si>
  <si>
    <t>L25-3700</t>
  </si>
  <si>
    <t>Terrace-Hazelton Forest Resources Study: 26 Estimated Normal End December Snowpack. Valley Bottom To 5500 Feet (Provisional Copy)</t>
  </si>
  <si>
    <t>L25-3701</t>
  </si>
  <si>
    <t>Terrace-Hazelton Forest Resources Study: 27 Estimated Normal End December Snowpack. Valley Bottom To 5500 Feet (Provisional Copy)</t>
  </si>
  <si>
    <t>L25-3702</t>
  </si>
  <si>
    <t>Terrace-Hazelton Forest Resources Study: 28 Estimated Normal End January Snowpack. Valley Bottom To 5500 Feet (Provisional Copy)</t>
  </si>
  <si>
    <t>L25-3703</t>
  </si>
  <si>
    <t>Terrace-Hazelton Forest Resources Study: 29 Estimated Normal End January Snowpack. Valley Bottom To 5500 Feet (Provisional Copy)</t>
  </si>
  <si>
    <t>L25-3709</t>
  </si>
  <si>
    <t>Terrace-Hazelton Forest Resources Study: 7 Estimated Normal End February Snowpack  South Part - Map Covers Parts of 93L, 103I, &amp; 103J</t>
  </si>
  <si>
    <t>L25-3710</t>
  </si>
  <si>
    <t>Terrace-Hazelton Forest Resources Study: 8 Estimated Normal End February Snowpack  Central Part- Map Covers Parts of 93M, 103O, &amp;</t>
  </si>
  <si>
    <t>L25-3711</t>
  </si>
  <si>
    <t>Terrace-Hazelton Forest Resources Study: 9 Estimated Normal End February Snowpack. Valley Bottom To 5500 Feet.</t>
  </si>
  <si>
    <t>L26-1824</t>
  </si>
  <si>
    <t>092J064</t>
  </si>
  <si>
    <t>Project - Upper Lillooet River</t>
  </si>
  <si>
    <t>Upper Lillooet River Planning Area: Map 3 Agriculture Capability - Map Covers Parts of 92J.054, 92J.055, 92J.063, &amp; 92J.064</t>
  </si>
  <si>
    <t>L26-1826</t>
  </si>
  <si>
    <t>Upper Lillooet River Planning Area: Soils (Legend Separate: See L26-1827) - Map Covers Parts of 92J.054, 92J.055, 92J.063, &amp; 92J.064</t>
  </si>
  <si>
    <t>L26-1827</t>
  </si>
  <si>
    <t>Upper Lillooet River Planning Area: Soils Legend (Soil Map: L26-1826) - Map Covers Parts of 92J.054, 92J.055, 92J.063, &amp; 92J.064</t>
  </si>
  <si>
    <t>L26-1828</t>
  </si>
  <si>
    <t>Upper Lillooet River Planning Area-Resource Data Base Folio (9 Themes &amp; Sh) - Map Covers Parts of 92J.054, 92J.055, 92J.063, &amp; 92J.064</t>
  </si>
  <si>
    <t>L27-648</t>
  </si>
  <si>
    <t>082L045</t>
  </si>
  <si>
    <t>Project - Vernon</t>
  </si>
  <si>
    <t>Vernon Project: 2  Soil - Map Covers Parts of 82L.013, 82L.014, 82L.023, 82L.024, 82L.025, 82L.044, &amp; 82L.045</t>
  </si>
  <si>
    <t>L28-3720</t>
  </si>
  <si>
    <t>082K060</t>
  </si>
  <si>
    <t>Project - Windermere - Invermere</t>
  </si>
  <si>
    <t>Windermere - Invermere Project: 11 Core Area Vegetation Sensitivity  (Sheets 12 - 14 Not Produced)</t>
  </si>
  <si>
    <t>Columbia-Windermere Lakes area: an overview study.</t>
  </si>
  <si>
    <t>L28-521</t>
  </si>
  <si>
    <t>094C</t>
  </si>
  <si>
    <t>Project - Williston Lake</t>
  </si>
  <si>
    <t>Williston Lake: Receation Development Information: Map Covers Parts of 93N, 93O, 94B, &amp; 94C</t>
  </si>
  <si>
    <t>L28-522</t>
  </si>
  <si>
    <t>Windermere - Invermere Project: 1  Soil Interpretations For Settlement Suitability</t>
  </si>
  <si>
    <t>L28-523</t>
  </si>
  <si>
    <t>Windermere - Invermere Project: 6  Soil Capability For Agriculture - Map Covers Parts of 82J.041, 82K.050, &amp; 82K.060</t>
  </si>
  <si>
    <t>M01-3731</t>
  </si>
  <si>
    <t>104</t>
  </si>
  <si>
    <t>Agriculture Land Reserves of B.C.</t>
  </si>
  <si>
    <t>M01-3732</t>
  </si>
  <si>
    <t>103</t>
  </si>
  <si>
    <t>Agriculture Land Reserves of B.C.  (South Half) - Map Covers Parts of 82, 83, 92, 93, 102, &amp; 103</t>
  </si>
  <si>
    <t>M01-3733</t>
  </si>
  <si>
    <t>Agriculture Land Reserves of B.C. (North Half) - Map Covers Parts of 93, 94, 103, &amp; 104</t>
  </si>
  <si>
    <t>M01-76</t>
  </si>
  <si>
    <t>104N12</t>
  </si>
  <si>
    <t>Terrain Capability For Residential Settlement: Atlin Folio: 0  Cover - Key Map -  Map Covers Parts of 104N/05, 104N/06, 104N/11, &amp; 104/12</t>
  </si>
  <si>
    <t>Terrain Capability for Residential Settlements: Atlin, British Columbia.</t>
  </si>
  <si>
    <t>M01-77</t>
  </si>
  <si>
    <t>Project - Atlin</t>
  </si>
  <si>
    <t>Atlin Folio: 1  Slope -  Map Covers Parts of 104N/05, 104N/06, 104N/11, &amp; 104/12</t>
  </si>
  <si>
    <t>M01-78</t>
  </si>
  <si>
    <t>Atlin Folio: 2  Terrain -  Map Covers Parts of 104N/05, 104N/06, 104N/11, &amp; 104/12</t>
  </si>
  <si>
    <t>M01-79</t>
  </si>
  <si>
    <t>Atlin Folio: 3  Geological Hazards -  Map Covers Parts of 104N/05, 104N/06, 104N/11, &amp; 104/12</t>
  </si>
  <si>
    <t>M01-80</t>
  </si>
  <si>
    <t>Atlin Folio: 4  Terrain Capability For Residential Settlements -  Map Covers Parts of 104N/05, 104N/06, 104N/11, &amp; 104/12</t>
  </si>
  <si>
    <t>M02-1365</t>
  </si>
  <si>
    <t>092G044</t>
  </si>
  <si>
    <t>Project - Bowen Island</t>
  </si>
  <si>
    <t>Bowen Island Resource Folio: 1 Terrain Analysis: Base Data  Map No.1  (North Part) - Map Covers Parts of 92G.034 &amp; 92G.044</t>
  </si>
  <si>
    <t>M02-1366</t>
  </si>
  <si>
    <t>Bowen Island Resource Folio: 15 Slope Analysis  Map No.8  (North Part) - Map Covers Parts of 92G.034 &amp; 92G.044</t>
  </si>
  <si>
    <t>M02-1367</t>
  </si>
  <si>
    <t>Bowen Island Resource Folio: 16 Slope Analysis  Map No.8  (South Part) - Map Covers Parts of 92G.033 &amp; 92G.034</t>
  </si>
  <si>
    <t>M02-1368</t>
  </si>
  <si>
    <t>Bowen Island Resource Folio: 19 Cross-Sectional Diagram - Map Covers Parts of 92G.033, 92G.034, &amp; 92G.044</t>
  </si>
  <si>
    <t>M02-1369</t>
  </si>
  <si>
    <t>Bowen Island Resource Folio: 2  Terrain Analysis: Base Data  Map No.1  (South Part) - Map Covers Parts of 92G.033 &amp; 92G.034</t>
  </si>
  <si>
    <t>M02-1372</t>
  </si>
  <si>
    <t>Bowen Island Resource Folio: 3  Terrain Analysis: Interpretive  Map No.2  (North Part) - Map Covers Parts of 92G.034 &amp; 92G.044</t>
  </si>
  <si>
    <t>M02-1373</t>
  </si>
  <si>
    <t>092G034</t>
  </si>
  <si>
    <t>Bowen Island Resource Folio: 4  Terrain Analysis: Interpretive  Map No.2  (South Part) - Map Covers Parts of 92G.033 &amp; 92G.034</t>
  </si>
  <si>
    <t>M02-3770</t>
  </si>
  <si>
    <t>Bowen Island Resource Folio: 5  Vegetation Analysis  Map No.3  (North Part)</t>
  </si>
  <si>
    <t>M02-3771</t>
  </si>
  <si>
    <t>Bowen Island Resource Folio: 6  Vegetation Analysis  Map No.3  (South Part)</t>
  </si>
  <si>
    <t>M02-3779</t>
  </si>
  <si>
    <t>092G036</t>
  </si>
  <si>
    <t>Project - Burrard Inlet</t>
  </si>
  <si>
    <t>Burrard Inlet Third Crossing Study: 1  Landforms - Topography  (East Part) - Map Covers Parts of 92G.026 &amp; 92G.036</t>
  </si>
  <si>
    <t>M02-3780</t>
  </si>
  <si>
    <t>092G035</t>
  </si>
  <si>
    <t>Burrard Inlet Third Crossing Study: 10 Degree of Limitations For Dwellings Without Basements  (West Part) - Map Covers Part of 92G.024, 92G.025, 92G.034, &amp; 92G.035</t>
  </si>
  <si>
    <t>M02-3783</t>
  </si>
  <si>
    <t>Burrard Inlet Third Crossing Study: 13 Degree of Limitations For Shallow Excavations  (East Part) - Map Covers Parts of 92G.026 &amp; 92G.036</t>
  </si>
  <si>
    <t>M02-3784</t>
  </si>
  <si>
    <t>Burrard Inlet Third Crossing Study: 14 Degree of Limitations For Shallow Excavations  (West Part) - Map Covers Part of 92G.024, 92G.025, 92G.034, &amp; 92G.035</t>
  </si>
  <si>
    <t>M02-3785</t>
  </si>
  <si>
    <t>Burrard Inlet Third Crossing Study: 15 Soil Suitability For Urban Development  (East Part)</t>
  </si>
  <si>
    <t>M02-3786</t>
  </si>
  <si>
    <t>Burrard Inlet Third Crossing Study: 16 Soil Suitability For Urban Development  (West Part)</t>
  </si>
  <si>
    <t>M02-3790</t>
  </si>
  <si>
    <t>Burrard Inlet Third Crossing Study: 2  Landforms - Topography  (West Part) - Map Covers Part of 92G.024, 92G.025, 92G.034, &amp; 92G.035</t>
  </si>
  <si>
    <t>M02-3800</t>
  </si>
  <si>
    <t>Burrard Inlet Third Crossing Study: 3  Soil Capability For Agriculture  (East Part) - Map Covers Parts of 92G.026 &amp; 92G.036</t>
  </si>
  <si>
    <t>M02-3811</t>
  </si>
  <si>
    <t>Burrard Inlet Third Crossing Study: 4  Soil Capability For Agriculture  (West Part) - Map Covers Part of 92G.024, 92G.025, 92G.034, &amp; 92G.035</t>
  </si>
  <si>
    <t>M02-3813</t>
  </si>
  <si>
    <t>Burrard Inlet Third Crossing Study: 41 Potential Urban Development  (East Part)</t>
  </si>
  <si>
    <t>M02-3814</t>
  </si>
  <si>
    <t>Burrard Inlet Third Crossing Study: 42 Potential Urban Development  (West Part)</t>
  </si>
  <si>
    <t>M02-3815</t>
  </si>
  <si>
    <t>Burrard Inlet Third Crossing Study: 5  Degree of Limitations For Septic Tank Absorption Fields  (East Part) - Map Covers Parts of 92G.026 &amp; 92G.036</t>
  </si>
  <si>
    <t>M02-3816</t>
  </si>
  <si>
    <t>Burrard Inlet Third Crossing Study: 6  Degree of Limitations For Septic Tank Absorption Fields  (West Part) - Map Covers Part of 92G.024, 92G.025, 92G.034, &amp; 92G.035</t>
  </si>
  <si>
    <t>M02-3817</t>
  </si>
  <si>
    <t>Burrard Inlet Third Crossing Study: 7  Degree of Limitations For Dwellings With Basements  (East Part) - Map Covers Parts of 92G.026 &amp; 92G.036</t>
  </si>
  <si>
    <t>M02-3818</t>
  </si>
  <si>
    <t>Burrard Inlet Third Crossing Study: 8  Degree of Limitations For Dwellings With Basements  (West Part) - Map Covers Part of 92G.024, 92G.025, 92G.034, &amp; 92G.035</t>
  </si>
  <si>
    <t>M02-3819</t>
  </si>
  <si>
    <t>Burrard Inlet Third Crossing Study: 9  Degree of Limitations For Dwellings Without Basements  (East Part) - Map Covers Parts of 92G.026 &amp; 92G.036</t>
  </si>
  <si>
    <t>M03-3821</t>
  </si>
  <si>
    <t>Project - Coastal Resources Folio Intro</t>
  </si>
  <si>
    <t>Coastal Resources Folio: 1  Introduction (Text) - Key Map - Map Covers Parts of 92B, 92C, 92F, &amp; 92G</t>
  </si>
  <si>
    <t>M03-3825</t>
  </si>
  <si>
    <t>Project - Coastal Resources Folio 80-1</t>
  </si>
  <si>
    <t>Coastal Resources Folio: 13 Generalized Terrain Limitations 80-1-3: Map Covers Parts of 92F/14 &amp; 92K/03</t>
  </si>
  <si>
    <t>M03-3840</t>
  </si>
  <si>
    <t>Project - Coastal Resources Folio 80-2</t>
  </si>
  <si>
    <t>Coastal Resources Folio: 27 Generalized Terrain Limitations 80-2-3</t>
  </si>
  <si>
    <t>M03-3851</t>
  </si>
  <si>
    <t>Project - Coastal Resources Folio 80-3</t>
  </si>
  <si>
    <t>Coastal Resources Folio: 37 Generalized Terrain Limitations 80-3-3</t>
  </si>
  <si>
    <t>M03-3870</t>
  </si>
  <si>
    <t>Project - Coastal Resources Folio 80-4</t>
  </si>
  <si>
    <t>Coastal Resources Folio: 54 Generalized Terrain Limitations 80-4-3: Area Covers Parts of 92F/07 &amp; 92F/10</t>
  </si>
  <si>
    <t>M04-3898</t>
  </si>
  <si>
    <t>Project - Coastal Resources Folio 80-7</t>
  </si>
  <si>
    <t>Coastal Resources Folio: 105 Generalized Terrain Limitations 80-7-3: Map Covers Parts of 92B/13 &amp; 92G/04</t>
  </si>
  <si>
    <t>M04-3915</t>
  </si>
  <si>
    <t>Project - Coastal Resources Folio 80-5</t>
  </si>
  <si>
    <t>Coastal Resources Folio: 71 Generalized Terrain Limitations 80-5-3</t>
  </si>
  <si>
    <t>M04-3932</t>
  </si>
  <si>
    <t>Project - Coastal Resources Folio 80-6</t>
  </si>
  <si>
    <t>Coastal Resources Folio: 88 Generalized Terrain Limitations 80-6-3: Map Covers Parts of 92F/01 &amp; 92G/04</t>
  </si>
  <si>
    <t>M05-3947</t>
  </si>
  <si>
    <t>092G011</t>
  </si>
  <si>
    <t>Coastal Resources Folio: 1 Surficial Sediments &amp; Marine Birds 81-1 &amp; 81-2: Nanaimo</t>
  </si>
  <si>
    <t>M05-3948</t>
  </si>
  <si>
    <t>Coastal Resources Folio: 1 Surficial Sediments &amp; Marine Birds 81-1 &amp; 81-2: Cowichan</t>
  </si>
  <si>
    <t>M05-3949</t>
  </si>
  <si>
    <t>092B092</t>
  </si>
  <si>
    <t>Coastal Resources Folio: 1 Surficial Sediments &amp; Marine Birds 81-1 &amp; 81-2: Chemainus</t>
  </si>
  <si>
    <t>M05-3950</t>
  </si>
  <si>
    <t>092G002</t>
  </si>
  <si>
    <t>Coastal Resources Folio: 1 Surficial Sediments &amp; Marine Birds 81-1 &amp; 81-2: Ladysmith Harbour</t>
  </si>
  <si>
    <t>M05-3951</t>
  </si>
  <si>
    <t>092F066</t>
  </si>
  <si>
    <t>Coastal Resources Folio: 1 Surficial Sediments &amp; Marine Birds 81-1 &amp; 81-2: Courtenay - Comox</t>
  </si>
  <si>
    <t>M05-3975</t>
  </si>
  <si>
    <t>Project - Coastal Resources Folio 80-8</t>
  </si>
  <si>
    <t>Coastal Resources Folio: 122 Generalized Terrain Limitations 80-8-3</t>
  </si>
  <si>
    <t>M05-3992</t>
  </si>
  <si>
    <t>Project - Coastal Resources Folio 80-9</t>
  </si>
  <si>
    <t>Coastal Resources Folio: 139 Generalized Terrain Limitations 80-9-3</t>
  </si>
  <si>
    <t>M06-4007</t>
  </si>
  <si>
    <t>Project - Coastal Resources Folio 81-1</t>
  </si>
  <si>
    <t>Coastal Resources Folio: 12 Generalized Terrain Limitations 81-1-3: Map Covers Parts of 92B/11 &amp; 92B/12</t>
  </si>
  <si>
    <t>M06-4023</t>
  </si>
  <si>
    <t>Project - Coastal Resources Folio 81-2</t>
  </si>
  <si>
    <t>Coastal Resources Folio: '27 Generalized Terrain Limitations 81-2-3</t>
  </si>
  <si>
    <t>M06-4040</t>
  </si>
  <si>
    <t>Project - Coastal Resources Folio 81-3</t>
  </si>
  <si>
    <t>Coastal Resources Folio: 42 Generalized Terrain Limitations 81-3-3: Map Covers Parts of 92B/05 &amp; 92C/08</t>
  </si>
  <si>
    <t>M08-4167</t>
  </si>
  <si>
    <t>Project - Coastal Resources Folio 83-2</t>
  </si>
  <si>
    <t>Coastal Resources Folio: 18 Generalized Terrain Limitations 83-2-2: Map Covers Parts of 92C/14, 92C/15. 92F/02, &amp; 92F/03</t>
  </si>
  <si>
    <t>M08-4181</t>
  </si>
  <si>
    <t>Project - Coastal Resources Folio 83-1</t>
  </si>
  <si>
    <t>7  Generalized Terrain Limitations 83-1-2: Map Covers Parts of 92C/15, 92F/02, &amp; 92F/07</t>
  </si>
  <si>
    <t>M09-4202</t>
  </si>
  <si>
    <t>093/SW</t>
  </si>
  <si>
    <t>Project - North Coast Resources Folio 84</t>
  </si>
  <si>
    <t>North Coast Resources Folio: 3  Generalized Terrain 84-1: Map Covers Parts of 92NW, 93SW, 102NE, 103SE, 103NE, &amp; 103NW</t>
  </si>
  <si>
    <t>M10-1649</t>
  </si>
  <si>
    <t>092H036</t>
  </si>
  <si>
    <t>Project - Cascade</t>
  </si>
  <si>
    <t>Cascade Soil Survey  (Alias): Map Covers Parts of 92H.025, 92H.026, 92H.035, &amp; 92H.036</t>
  </si>
  <si>
    <t>Cascade Soil Survey</t>
  </si>
  <si>
    <t>M10-1650</t>
  </si>
  <si>
    <t>Cascade Soil Survey: 2 Terrain: Map Covers Parts of 92H.025, 92H.026, 92H.035, &amp; 92H.036</t>
  </si>
  <si>
    <t>M13-1978</t>
  </si>
  <si>
    <t>092P065</t>
  </si>
  <si>
    <t>Project - Earle Lake</t>
  </si>
  <si>
    <t>Earle Lake Project: 2 Terrain</t>
  </si>
  <si>
    <t>Earle Lake Project, 100 Mile House, B.C.: a resource analysis for agricultural capability and suitability for settlement interpretations.</t>
  </si>
  <si>
    <t>M13-1979</t>
  </si>
  <si>
    <t>Earle Lake Project: 3 Soil Associations</t>
  </si>
  <si>
    <t>M18-4453</t>
  </si>
  <si>
    <t>092G003</t>
  </si>
  <si>
    <t>Project - Gulf Islands</t>
  </si>
  <si>
    <t>Gulf Islands - Galiano Island: 4  Vegetation Inventory &amp; Interpretations</t>
  </si>
  <si>
    <t>M18-927</t>
  </si>
  <si>
    <t>Gulf Islands: 1  Climate of The Southern Gulf Islands 1/2 (Common To Three Folios)</t>
  </si>
  <si>
    <t>M18-928</t>
  </si>
  <si>
    <t>Gulf Islands: 2  Climate of The Southern Gulf Islands 2/2  (Common To Three Folios)</t>
  </si>
  <si>
    <t>M10-1376</t>
  </si>
  <si>
    <t>Chilliwack - Ryder Lake Uplands: 1  Terrain Analysis: Base Data - Map Covers Parts of 92G.010, 92G.020, 92H.001, &amp; 92H.011</t>
  </si>
  <si>
    <t>M10-1379</t>
  </si>
  <si>
    <t>Chilliwack - Ryder Lake Uplands: 2  Terrain Analysis: Interpretive - Map Covers Parts of 92G.010, 92G.020, 92H.001, &amp; 92H.011</t>
  </si>
  <si>
    <t>M10-1380</t>
  </si>
  <si>
    <t>Chilliwack - Ryder Lake Uplands: 3  Terrain Analysis: Interpretive Legend  (Sheet 2A) - Area Covers Parts of 92G.010, 92G.020, 92H.001, &amp; 92H.011</t>
  </si>
  <si>
    <t>M10-1381</t>
  </si>
  <si>
    <t>Chilliwack - Ryder Lake Uplands: 9  Slope  (Sheet 8) - Map Covers Parts of 92G.010, 92G.020, 92H.001, &amp; 92H.011</t>
  </si>
  <si>
    <t>M10-4217</t>
  </si>
  <si>
    <t>Chilliwack - Ryder Lake Uplands: 6  Climatic Analysis  - Text (Sheet 5) - Area Covers Parts of 92G.010, 92G.020, 92H.001, &amp; 92H.011</t>
  </si>
  <si>
    <t>M10-4220</t>
  </si>
  <si>
    <t>Project - Cobble Hill</t>
  </si>
  <si>
    <t>Cobble Hill Soil Capability For Agriculture  (1 Old Sh) Replaced By 85-124: Map Covers Parts of 92B.062, 92B.063, 92B.073</t>
  </si>
  <si>
    <t>M10-4222</t>
  </si>
  <si>
    <t>092F076</t>
  </si>
  <si>
    <t>Project - Capital Regional District</t>
  </si>
  <si>
    <t>Capital Regional District: 1  Annual Precipitation &amp; Runoff - Map Covers Parts of 92B/05, 92B/06, 92B/11, &amp; 92B/12 (Mylar Overlay)</t>
  </si>
  <si>
    <t>Inventory of Land Resources and Resource Potentials in the Capital Regional District: a Report to the Capital Regional District.</t>
  </si>
  <si>
    <t>M10-4223</t>
  </si>
  <si>
    <t>Capital Regional District: 11 Surficial Materials - Map Covers Parts of 92B/05, 92B/06, 92B/11, &amp; 92B/12</t>
  </si>
  <si>
    <t>M10-4224</t>
  </si>
  <si>
    <t>Capital Regional District: 12 Surface Erosion Potential - Map Covers Parts of 92B/05, 92B/06, 92B/11, &amp; 92B/12 (Mylar Overlay)</t>
  </si>
  <si>
    <t>M10-4225</t>
  </si>
  <si>
    <t>Capital Regional District: 13 Soil Stability At Depths To Six Feet - Map Covers Parts of 92B/05, 92B/06, 92B/11, &amp; 92B/12 (Mylar Overlay)</t>
  </si>
  <si>
    <t>M10-4226</t>
  </si>
  <si>
    <t>Capital Regional District: 14 Susceptability To Ponding &amp; Flooding - Map Covers Parts of 92B/05, 92B/06, 92B/11, &amp; 92B/12 (Mylar Overlay)</t>
  </si>
  <si>
    <t>M10-4227</t>
  </si>
  <si>
    <t>Capital Regional District: 15 Subsurface Septic Tank Absorption Fields - Map Covers Parts of 92B/05, 92B/06, 92B/11, &amp; 92B/12 (Mylar Overlay)</t>
  </si>
  <si>
    <t>M10-4228</t>
  </si>
  <si>
    <t>Capital Regional District: 16 Agriculture Capability - Map Covers Parts of 92B/05, 92B/06, 92B/11, &amp; 92B/12</t>
  </si>
  <si>
    <t>M10-4232</t>
  </si>
  <si>
    <t>Capital Regional District: 2  Evapotranspiration &amp; Water Deficit - Map Covers Parts of 92B/05, 92B/06, 92B/11, &amp; 92B/12 (Mylar Overlay)</t>
  </si>
  <si>
    <t>M10-4234</t>
  </si>
  <si>
    <t>Capital Regional District: 21 Land Use Constraints - Map Covers Parts of 92B/05, 92B/06, 92B/11, &amp; 92B/12</t>
  </si>
  <si>
    <t>M10-4235</t>
  </si>
  <si>
    <t>Capital Regional District: 23 Slope Classification - Map Covers Parts of 92B/05, 92B/06, 92B/11, &amp; 92B/12 (Mylar Overlay)</t>
  </si>
  <si>
    <t>M10-4236</t>
  </si>
  <si>
    <t>Capital Regional District: 3  Climate Capability For Agriculture &amp; Growing Season Temperature (April-Oct.) - Map Covers Parts of 92B/05, 92B/06, 92B/11, &amp; 92B/12 (Mylar Overlay)</t>
  </si>
  <si>
    <t>M10-4238</t>
  </si>
  <si>
    <t>Capital Regional District: 5  Hydrologic Significance of Landform Units - Map Covers Parts of 92B/05, 92B/06, 92B/11, &amp; 92B/12 (Mylar Overlay)</t>
  </si>
  <si>
    <t>M10-4240</t>
  </si>
  <si>
    <t>Capital Regional District: 7  Native Plant Communities - Map Covers Parts of 92B/05, 92B/06, 92B/11, &amp; 92B/12</t>
  </si>
  <si>
    <t>M10-5115</t>
  </si>
  <si>
    <t>Capital Regional District: 1  Annual Precipitation &amp; Runoff</t>
  </si>
  <si>
    <t>M10-5116</t>
  </si>
  <si>
    <t>Capital Regional District: 2  Evapotranspiration &amp; Water Deficit</t>
  </si>
  <si>
    <t>M10-5117</t>
  </si>
  <si>
    <t>Capital Regional District: 3  Climate Capability For Agriculture &amp; Growing Season Temperature (April-Oct.)</t>
  </si>
  <si>
    <t>M10-5118</t>
  </si>
  <si>
    <t>Capital Regional District: 5  Hydrologic Significance of Landform Units</t>
  </si>
  <si>
    <t>M10-5120</t>
  </si>
  <si>
    <t>Capital Regional District: 12 Surface Erosion Potential</t>
  </si>
  <si>
    <t>M10-5121</t>
  </si>
  <si>
    <t>Capital Regional District: 13 Soil Stability At Depths To Six Feet - Map Covers Parts of 92B/05, 92B/06, 92B/11, &amp; 92B/12 (Mylar Overlay With Base Map)</t>
  </si>
  <si>
    <t>M10-5122</t>
  </si>
  <si>
    <t>Capital Regional District: 14 Susceptability To Ponding &amp; Flooding</t>
  </si>
  <si>
    <t>M10-5123</t>
  </si>
  <si>
    <t>Capital Regional District: 15 Subsurface Septic Tank Absorption Fields</t>
  </si>
  <si>
    <t>M10-5124</t>
  </si>
  <si>
    <t>Capital Regional District: 23 Slope Classification</t>
  </si>
  <si>
    <t>M11-4263</t>
  </si>
  <si>
    <t>092F085</t>
  </si>
  <si>
    <t>Project - Comox - Oyster River</t>
  </si>
  <si>
    <t>Comox - Oyster River Soil Capability For Agriculture: 1 North Half - Map Covers Parts of 92F.075, 92F.076, 92F.084, &amp; 92F.085</t>
  </si>
  <si>
    <t>Land Use Report of an Area Between the 50th Parallel and the Oyster River, Comox Land District: Soil Survey and Recommendations</t>
  </si>
  <si>
    <t>M11-4264</t>
  </si>
  <si>
    <t>Comox - Oyster River Soil Capability For Agriculture: 2 South Half - Map Covers Parts of 92F.065, 92F.066, 92F.075, &amp; 92F.076</t>
  </si>
  <si>
    <t>M11-884</t>
  </si>
  <si>
    <t>083D</t>
  </si>
  <si>
    <t>Cummins River Resource Folio: 0 Cover - Key Map Covers Parts of 83C &amp; 83D</t>
  </si>
  <si>
    <t>M11-885</t>
  </si>
  <si>
    <t>Cummins River Resource Folio: 1 Terrain - Map Covers Parts of 83C/04 &amp; 83D/01</t>
  </si>
  <si>
    <t>M11-886</t>
  </si>
  <si>
    <t>Cummins River Resource Folio: 2 Soils - Map Covers Parts of 83C/04 &amp; 83D/01</t>
  </si>
  <si>
    <t>Cummins River Resource Folio: Soils</t>
  </si>
  <si>
    <t>M11-887</t>
  </si>
  <si>
    <t>Cummins River Resource Folio: 3A Geological Hazards - Map Covers Parts of 83C/04 &amp; 83D/01</t>
  </si>
  <si>
    <t>M11-888</t>
  </si>
  <si>
    <t>Cummins River Resource Folio: 4 Potential Mass Movement &amp; Surface Erosion - Map Covers Parts of 83C/04 &amp; 83D/01</t>
  </si>
  <si>
    <t>M12-4278</t>
  </si>
  <si>
    <t>082G052</t>
  </si>
  <si>
    <t>Project - Cranbrook</t>
  </si>
  <si>
    <t>Cranbrook Project: 10 Cross-Sections - Area Covers Parts of 82G.041, 82G.042, 82G.051, &amp; 82G.052</t>
  </si>
  <si>
    <t>M12-466</t>
  </si>
  <si>
    <t>Cranbrook Project: 1  Soil Interpretations For Settlement Suitability  (See Also Sheet 6)</t>
  </si>
  <si>
    <t>M12-469</t>
  </si>
  <si>
    <t>Cranbrook Project: 13 Biophysical Settlement Suitability</t>
  </si>
  <si>
    <t>M12-472</t>
  </si>
  <si>
    <t>Cranbrook Project: 6  Soil Interpretations For Settlement Suitability  (See Also Sheet 1)</t>
  </si>
  <si>
    <t>M12-473</t>
  </si>
  <si>
    <t>Cranbrook Project: 7  Soil Capability For Agriculture - Map Covers Parts of 82G.041, 82G.042, 82G.051, &amp; 82G.052</t>
  </si>
  <si>
    <t>M13-1980</t>
  </si>
  <si>
    <t>Earle Lake Project: 4 Agriculture Capability Ratings</t>
  </si>
  <si>
    <t>M13-1981</t>
  </si>
  <si>
    <t>Earle Lake Project: 6 Settlement Suitability</t>
  </si>
  <si>
    <t>M13-2133</t>
  </si>
  <si>
    <t>093B099</t>
  </si>
  <si>
    <t>Project - Dragon Mountain</t>
  </si>
  <si>
    <t>Dragon Mountain Planning Project: 4 Terrain - Map Covers Parts of 93B.079, 93B.089, &amp; 93B.099</t>
  </si>
  <si>
    <t>Dragon Mountain area near Quesnel, B.C. : a resource analysis of settlement suitability</t>
  </si>
  <si>
    <t>M13-2134</t>
  </si>
  <si>
    <t>Dragon Mountain Planning Project: 5 Soil Capability For Agriculture - Map Covers Parts of 93B.079, 93B.089, &amp; 93B.099</t>
  </si>
  <si>
    <t>M13-2135</t>
  </si>
  <si>
    <t>Dragon Mountain Planning Area: 6 Soils Interpretations For Settlement Suitability</t>
  </si>
  <si>
    <t>M14-5093</t>
  </si>
  <si>
    <t>093B030</t>
  </si>
  <si>
    <t>Project - Fox Mountain</t>
  </si>
  <si>
    <t>Fox Mountain (Planning Project): Soil - Map Covers Parts of 93A.011, 93A.021, 93B.020, &amp; 93B.030</t>
  </si>
  <si>
    <t>M15-4391</t>
  </si>
  <si>
    <t>Project - Fraser River Estuary Study</t>
  </si>
  <si>
    <t>Fraser River Estuary Study: 15  Major Habitat Zones 1860, Simple Base</t>
  </si>
  <si>
    <t>Fraser River Estuary Study</t>
  </si>
  <si>
    <t>M15-4392</t>
  </si>
  <si>
    <t>Fraser River Estuary Study: 16  Major Habitat Zones 1978, Simple Base</t>
  </si>
  <si>
    <t>M15-4398</t>
  </si>
  <si>
    <t>Project - Fraser River Estuary</t>
  </si>
  <si>
    <t>Fraser River Estuary Study: 21  Physiographic Constraints To Urban/Industrial Development, Detailed Base</t>
  </si>
  <si>
    <t>M15-4399</t>
  </si>
  <si>
    <t>Fraser River Estuary Study: 22  Physiographic Constraints To Urban/Industrial Development, Simple Base</t>
  </si>
  <si>
    <t>M15-4409</t>
  </si>
  <si>
    <t>Fraser River Estuary Study: 32  Physiographic Constraints To Urban/Industrial Development  Map 2.1</t>
  </si>
  <si>
    <t>M17-127</t>
  </si>
  <si>
    <t>Project - Graystokes</t>
  </si>
  <si>
    <t>Graystokes Resource Folio: 0  Cover - Map Covers Parts of 82E/14, 82E/15, 82L/02, &amp; 82L/03</t>
  </si>
  <si>
    <t>Resources of the Graystokes</t>
  </si>
  <si>
    <t>M17-129</t>
  </si>
  <si>
    <t>Graystokes Resource Folio: 10 Slope Aspect - Map Covers Parts of 82E/14, 82E/15, 82L/02, &amp; 82L/03</t>
  </si>
  <si>
    <t>M17-133</t>
  </si>
  <si>
    <t>Graystokes Resource Folio: 2  Soils - Map Covers Parts of 82E/14, 82E/15, 82L/02, &amp; 82L/03</t>
  </si>
  <si>
    <t>M17-134</t>
  </si>
  <si>
    <t>Graystokes Resource Folio: 3  Terrain - Map Covers Parts of 82E/14, 82E/15, 82L/02, &amp; 82L/03</t>
  </si>
  <si>
    <t>M17-137</t>
  </si>
  <si>
    <t>Graystokes Resource Folio: 7  Slope Failure &amp; Surface Erosion - Map Covers Parts of 82E/14, 82E/15, 82L/02, &amp; 82L/03</t>
  </si>
  <si>
    <t>M17-1397</t>
  </si>
  <si>
    <t>092G054</t>
  </si>
  <si>
    <t>Project - Gambier - Anvil</t>
  </si>
  <si>
    <t>Gambier-Anvil: 10 Terrain Hazards - Map Covers Parts of 92G.043, 92G.044, 92G.053, &amp; 92G.054</t>
  </si>
  <si>
    <t>M17-1400</t>
  </si>
  <si>
    <t>Gambier-Anvil: 9  Terrain - Map Covers Parts of 92G.043, 92G.044, 92G.053, &amp; 92G.054</t>
  </si>
  <si>
    <t>M17-4436</t>
  </si>
  <si>
    <t>Gambier-Anvil: 3  Ecosystem Associations - Map Covers Parts of 92G.043, 92G.044, 92G.053, &amp; 92G.054</t>
  </si>
  <si>
    <t>M17-4448</t>
  </si>
  <si>
    <t>Graystokes Resource Folio: 4  Forest Zonation &amp; Vegetation Landscapes</t>
  </si>
  <si>
    <t>M18-1404</t>
  </si>
  <si>
    <t>092G012</t>
  </si>
  <si>
    <t>Gulf Islands - Valdes: 3  Terrain Classification - Map Covers Parts of 92G.002, 92G.003, &amp; 92G.012</t>
  </si>
  <si>
    <t>M18-1405</t>
  </si>
  <si>
    <t>Gulf Islands - Valdes: 5  Soil Inventory - Map Covers Parts of 92G.002, 92G.003, &amp; 92G.012</t>
  </si>
  <si>
    <t>M18-4468</t>
  </si>
  <si>
    <t>Gulf Islands - Valdes Island: 4  Vegetation Inventory &amp; Interpretations</t>
  </si>
  <si>
    <t>M18-5103</t>
  </si>
  <si>
    <t>092G021</t>
  </si>
  <si>
    <t>Gulf Islands Soil Mapping  (5 Sheets) (Inc 92G) (Inventory): Gabriola Island (Interim Map) Covers Parts of 92G.011, 92G.012, &amp; 92G.21</t>
  </si>
  <si>
    <t>Soils of the Gulf Islands of British Columbia: Volume 4. Soils of Gabriola and lesser islands.</t>
  </si>
  <si>
    <t>M18-5104</t>
  </si>
  <si>
    <t>092B085</t>
  </si>
  <si>
    <t>Gulf Islands Soil Mapping  (5 Sheets) (Inc 92G) (Inventory): Mayne, Saturna, &amp; Lesser Islands (Interim Map) Covers Parts of 92B.074, 92B.075, 92B.084, 92B.085</t>
  </si>
  <si>
    <t>Soils of the Gulf Islands of British Columbia: Volume 2. Soils of North Pender, South Pender, Prevost, Mayne, Saturna and Lesser Islands</t>
  </si>
  <si>
    <t>M18-929</t>
  </si>
  <si>
    <t>Gulf Islands - Galiano: 3  Terrain Classification - Map Covers Parts of 92B.083, 92B.084, 92B.093, 92B.094, &amp; 92G.003</t>
  </si>
  <si>
    <t>M18-930</t>
  </si>
  <si>
    <t>Gulf Islands - Galiano: 5  Soil Inventory - Map Covers Parts of 92B.083, 92B.084, 92B.093, 92B.094, &amp; 92G.003</t>
  </si>
  <si>
    <t>Soils of the Gulf Islands of British Columbia: Volume 3. Soils of Galiano, Valdes, Thetis, Kuper, and lesser islands.</t>
  </si>
  <si>
    <t>M18-934</t>
  </si>
  <si>
    <t>Gulf Islands - Thetis: 3  Terrain Classification - Map Covers Parts of 92B.092, 92B.093, &amp; 92G.002</t>
  </si>
  <si>
    <t>M18-935</t>
  </si>
  <si>
    <t>Gulf Islands - Thetis Island and Selected Lesser Islands: 4  Vegetation Inventory &amp; Interpretations</t>
  </si>
  <si>
    <t>M18-936</t>
  </si>
  <si>
    <t>Gulf Islands - Thetis: 5  Soil Inventory - Map Covers Parts of 92B.092, 92B.093, &amp; 92G.002</t>
  </si>
  <si>
    <t>M18-939</t>
  </si>
  <si>
    <t>Gulf Islands Soil Mapping  (5 Sheets) (Inc 92G) (Inventory): North Pender, South Pender and Prevost Island (Interim Map) Covers Parts of 92B.074, 92B.075, 92B.083, &amp; 92B.084</t>
  </si>
  <si>
    <t>M19-4473</t>
  </si>
  <si>
    <t>Project - Saltstpring Island</t>
  </si>
  <si>
    <t>3 Saltspring Island Vegetation - North Sheet (Legend On North Part) Inc In "Vegetation of Saltspring"</t>
  </si>
  <si>
    <t>Vegetation of Saltspring Island : supplement to Vegetation Map.</t>
  </si>
  <si>
    <t>M19-4474</t>
  </si>
  <si>
    <t>092B083</t>
  </si>
  <si>
    <t>4 Saltspring Island Vegetation -South Sheet (Legend On North Part) Inc In "Vegetation of Saltspring"</t>
  </si>
  <si>
    <t>M20-4479</t>
  </si>
  <si>
    <t>Project - Howe Sound</t>
  </si>
  <si>
    <t>Howe Sound Overview Study: 1  Preliminary Geological Hazard Study - Map Covers Parts of 92G/05, 92G/06, 92G/11, &amp; 92G/12</t>
  </si>
  <si>
    <t>Howe Sound Overview Study</t>
  </si>
  <si>
    <t>M20-4486</t>
  </si>
  <si>
    <t>Howe Sound Overview Study: 2  Preliminary Snow Avalanche Study</t>
  </si>
  <si>
    <t>M20-4487</t>
  </si>
  <si>
    <t>Howe Sound Overview Study: 3  Settlement Suitability</t>
  </si>
  <si>
    <t>M20-4493</t>
  </si>
  <si>
    <t>Howe Sound Overview Study: 9  Mineral &amp; Aggregate Resources - Map Covers Parts of 92G/05, 92G/06, 92G/11, &amp; 92G/12</t>
  </si>
  <si>
    <t>M21-1985</t>
  </si>
  <si>
    <t>092P055</t>
  </si>
  <si>
    <t>Project - Jack Frost Lake</t>
  </si>
  <si>
    <t>Jack Frost Lake Planning Project: 10 Soil Associations Map No.5 West Half - Map Covers Parts of 92P.054 &amp; 92P.055</t>
  </si>
  <si>
    <t>M21-1986</t>
  </si>
  <si>
    <t>092P056</t>
  </si>
  <si>
    <t>Jack Frost Lake Planning Project: 11 Soil Capability For Agriculture Map No.6 East Half - Map Cover Parts of 92P.055 &amp; 92P.056</t>
  </si>
  <si>
    <t>M21-1987</t>
  </si>
  <si>
    <t>Jack Frost Lake Planning Project: 12 Soil Capability For Agriculture Map No.6 West Half - Map Covers Parts of 92P.054 &amp; 92P.055</t>
  </si>
  <si>
    <t>M21-1988</t>
  </si>
  <si>
    <t>Jack Frost Lake Planning Project (East Portion): 19 Soil Interpretations For Settlement Suitability Map No.10</t>
  </si>
  <si>
    <t>M21-1990</t>
  </si>
  <si>
    <t>Jack Frost Lake Planning Project (West Portion): 20 Soil Interpretations For Settlement Suitability Map No.10</t>
  </si>
  <si>
    <t>M21-1991</t>
  </si>
  <si>
    <t>Jack Frost Lake Planning Project: 7  Terrain Map No.4 East Half - Map Cover Parts of 92P.055 &amp; 92P.056</t>
  </si>
  <si>
    <t>M21-1992</t>
  </si>
  <si>
    <t>Jack Frost Lake Planning Project: 8  Terrain Map No.4 West Half - Map Covers Parts of 92P.054 &amp; 92P.055</t>
  </si>
  <si>
    <t>M21-1993</t>
  </si>
  <si>
    <t>Jack Frost Lake Planning Project: 9  Soil Associations Map No.5 East Half - Map Cover Parts of 92P.055 &amp; 92P.056</t>
  </si>
  <si>
    <t>M21-4504</t>
  </si>
  <si>
    <t>Project - Riske Creek</t>
  </si>
  <si>
    <t>Habitat Map Units (Vegetation Landscapes &amp; Soil Associations): Dog Creek</t>
  </si>
  <si>
    <t>M21-4505</t>
  </si>
  <si>
    <t>Habitat Map Units (Vegetation Landscapes &amp; Soil Associations): Gaspard Creek</t>
  </si>
  <si>
    <t>M21-4506</t>
  </si>
  <si>
    <t>Habitat Map Units (Vegetation Landscapes &amp; Soil Associations): Riske Creek</t>
  </si>
  <si>
    <t>M21-4507</t>
  </si>
  <si>
    <t>Habitat Map Units (Vegetation Landscapes &amp; Soil Associations): Springhouse</t>
  </si>
  <si>
    <t>M21-4508</t>
  </si>
  <si>
    <t>Habitat Map Units (Vegetation Landscapes &amp; Soil Associations): Williams Lake</t>
  </si>
  <si>
    <t>M21-4509</t>
  </si>
  <si>
    <t>Habitat Map Units (Vegetation Landscapes &amp; Soil Associations): Drummond Lake</t>
  </si>
  <si>
    <t>M22-305096</t>
  </si>
  <si>
    <t>Northeast Coal Study: Snow Avalanche Activity</t>
  </si>
  <si>
    <t>Regional Hydrology of the Northeast Coal Study Area: a Technical Supplement to the Northeast Coal Study Preliminary Environmental Report on Proposed Transportation Links and Townsites.</t>
  </si>
  <si>
    <t>M22-305097</t>
  </si>
  <si>
    <t>Northeast Coal Study: Average Maximum Snow Depth</t>
  </si>
  <si>
    <t>M22-305464</t>
  </si>
  <si>
    <t>Project - Vancouver North Shore</t>
  </si>
  <si>
    <t>Resource Analysis For Urban Suitability: Vancouver'S Northshore Area - Map 1: Terrain</t>
  </si>
  <si>
    <t>M22-305467</t>
  </si>
  <si>
    <t>Resource Analysis For Urban Suitability: Vancouver'S Northshore Area - Map 4: Slope Analysis</t>
  </si>
  <si>
    <t>M22-305967</t>
  </si>
  <si>
    <t>Coastal Resources Folio  Map Series 83-2-4: Generalized Terrain Limitations - Map Covers Parts of 92F/08 &amp; 92F/09</t>
  </si>
  <si>
    <t>M22-305989</t>
  </si>
  <si>
    <t>Project - Coastal Resources Folio 83-3</t>
  </si>
  <si>
    <t>Coastal Resources Folio  Map Series 83-3-4: Generalized Terrain Limitations - Map Covers Parts of 92F/09, 92F/10, 92F/15, &amp; 92F/16</t>
  </si>
  <si>
    <t>M22-306009</t>
  </si>
  <si>
    <t>Project - Coastal Resources Folio 83-4</t>
  </si>
  <si>
    <t>Coastal Resources Folio  Map Series 83-4-4: Generalized Terrain Limitations - Map Covers Parts of 92F/14, 92F/15, 92K/02, &amp; 92K/03</t>
  </si>
  <si>
    <t>M22-306039</t>
  </si>
  <si>
    <t>Coastal Resources Folio  Map Series 83-1-4: Generalized Terrain Limitations  - Map Covers Parts of 92G/05 &amp; 92G/12</t>
  </si>
  <si>
    <t>M22-308746</t>
  </si>
  <si>
    <t>Project - Sinclare Mills</t>
  </si>
  <si>
    <t>Sinclare Mills: Soil</t>
  </si>
  <si>
    <t>M22-308749</t>
  </si>
  <si>
    <t>Sinclare Mills: Stability</t>
  </si>
  <si>
    <t>R01-1008</t>
  </si>
  <si>
    <t>Soil Drainage  Part Sheet</t>
  </si>
  <si>
    <t>R01-1017</t>
  </si>
  <si>
    <t>092B081</t>
  </si>
  <si>
    <t>R01-1026</t>
  </si>
  <si>
    <t>092B082</t>
  </si>
  <si>
    <t>R01-1035</t>
  </si>
  <si>
    <t>R01-1043</t>
  </si>
  <si>
    <t>092B091</t>
  </si>
  <si>
    <t>R01-1051</t>
  </si>
  <si>
    <t>R01-1119</t>
  </si>
  <si>
    <t>092F010</t>
  </si>
  <si>
    <t>R01-1127</t>
  </si>
  <si>
    <t>092F017</t>
  </si>
  <si>
    <t>R01-1135</t>
  </si>
  <si>
    <t>092F020</t>
  </si>
  <si>
    <t>R01-1145</t>
  </si>
  <si>
    <t>092F026</t>
  </si>
  <si>
    <t>R01-1154</t>
  </si>
  <si>
    <t>092F027</t>
  </si>
  <si>
    <t>R01-1163</t>
  </si>
  <si>
    <t>092F028</t>
  </si>
  <si>
    <t>R01-1171</t>
  </si>
  <si>
    <t>092F029</t>
  </si>
  <si>
    <t>R01-1179</t>
  </si>
  <si>
    <t>092F030</t>
  </si>
  <si>
    <t>R01-1187</t>
  </si>
  <si>
    <t>092F035</t>
  </si>
  <si>
    <t>R01-1195</t>
  </si>
  <si>
    <t>092F036</t>
  </si>
  <si>
    <t>R01-1203</t>
  </si>
  <si>
    <t>092F037</t>
  </si>
  <si>
    <t>R01-1211</t>
  </si>
  <si>
    <t>092F038</t>
  </si>
  <si>
    <t>R01-1219</t>
  </si>
  <si>
    <t>092F039</t>
  </si>
  <si>
    <t>Soil Drainage</t>
  </si>
  <si>
    <t>R01-1233</t>
  </si>
  <si>
    <t>092F046</t>
  </si>
  <si>
    <t>R01-1241</t>
  </si>
  <si>
    <t>092F047</t>
  </si>
  <si>
    <t>R01-1249</t>
  </si>
  <si>
    <t>092F056</t>
  </si>
  <si>
    <t>Soil Drainage Part Sheet</t>
  </si>
  <si>
    <t>R01-1257</t>
  </si>
  <si>
    <t>092F065</t>
  </si>
  <si>
    <t>R01-1265</t>
  </si>
  <si>
    <t>R01-1273</t>
  </si>
  <si>
    <t>092F075</t>
  </si>
  <si>
    <t>R01-1281</t>
  </si>
  <si>
    <t>R01-1289</t>
  </si>
  <si>
    <t>092F084</t>
  </si>
  <si>
    <t>R01-1297</t>
  </si>
  <si>
    <t>R01-1446</t>
  </si>
  <si>
    <t>092G001</t>
  </si>
  <si>
    <t>R01-1454</t>
  </si>
  <si>
    <t>R01-1462</t>
  </si>
  <si>
    <t>R01-1472</t>
  </si>
  <si>
    <t>R01-153</t>
  </si>
  <si>
    <t>082E002</t>
  </si>
  <si>
    <t>R01-160</t>
  </si>
  <si>
    <t>082E003</t>
  </si>
  <si>
    <t>R01-166</t>
  </si>
  <si>
    <t>082E011</t>
  </si>
  <si>
    <t>R01-172</t>
  </si>
  <si>
    <t>082E012</t>
  </si>
  <si>
    <t>R01-179</t>
  </si>
  <si>
    <t>R01-185</t>
  </si>
  <si>
    <t>082E021</t>
  </si>
  <si>
    <t>R01-191</t>
  </si>
  <si>
    <t>082E022</t>
  </si>
  <si>
    <t>R01-198</t>
  </si>
  <si>
    <t>082E023</t>
  </si>
  <si>
    <t>R01-204</t>
  </si>
  <si>
    <t>082E031</t>
  </si>
  <si>
    <t>R01-211</t>
  </si>
  <si>
    <t>082E032</t>
  </si>
  <si>
    <t>R01-218</t>
  </si>
  <si>
    <t>082E033</t>
  </si>
  <si>
    <t>R01-225</t>
  </si>
  <si>
    <t>082E042</t>
  </si>
  <si>
    <t>R01-232</t>
  </si>
  <si>
    <t>082E043</t>
  </si>
  <si>
    <t>R01-239</t>
  </si>
  <si>
    <t>082E052</t>
  </si>
  <si>
    <t>R01-246</t>
  </si>
  <si>
    <t>082E053</t>
  </si>
  <si>
    <t>R01-253</t>
  </si>
  <si>
    <t>082E062</t>
  </si>
  <si>
    <t>R01-260</t>
  </si>
  <si>
    <t>082E063</t>
  </si>
  <si>
    <t>R01-267</t>
  </si>
  <si>
    <t>082E072</t>
  </si>
  <si>
    <t>R01-274</t>
  </si>
  <si>
    <t>082E073</t>
  </si>
  <si>
    <t>R01-281</t>
  </si>
  <si>
    <t>082E082</t>
  </si>
  <si>
    <t>R01-288</t>
  </si>
  <si>
    <t>082E083</t>
  </si>
  <si>
    <t>R01-296</t>
  </si>
  <si>
    <t>082E084</t>
  </si>
  <si>
    <t>R01-303</t>
  </si>
  <si>
    <t>R01-310</t>
  </si>
  <si>
    <t>082E094</t>
  </si>
  <si>
    <t>R01-653</t>
  </si>
  <si>
    <t>082L003</t>
  </si>
  <si>
    <t>R01-660</t>
  </si>
  <si>
    <t>082L004</t>
  </si>
  <si>
    <t>R01-667</t>
  </si>
  <si>
    <t>082L013</t>
  </si>
  <si>
    <t>R01-674</t>
  </si>
  <si>
    <t>082L014</t>
  </si>
  <si>
    <t>R01-681</t>
  </si>
  <si>
    <t>082L023</t>
  </si>
  <si>
    <t>R01-688</t>
  </si>
  <si>
    <t>082L024</t>
  </si>
  <si>
    <t>R01-695</t>
  </si>
  <si>
    <t>082L025</t>
  </si>
  <si>
    <t>R01-702</t>
  </si>
  <si>
    <t>R01-709</t>
  </si>
  <si>
    <t>082L035</t>
  </si>
  <si>
    <t>R01-717</t>
  </si>
  <si>
    <t>082L044</t>
  </si>
  <si>
    <t>R01-725</t>
  </si>
  <si>
    <t>R01-732</t>
  </si>
  <si>
    <t>082L054</t>
  </si>
  <si>
    <t>R01-739</t>
  </si>
  <si>
    <t>082L055</t>
  </si>
  <si>
    <t>R01-746</t>
  </si>
  <si>
    <t>082L064</t>
  </si>
  <si>
    <t>R01-946</t>
  </si>
  <si>
    <t>092B043</t>
  </si>
  <si>
    <t>R01-955</t>
  </si>
  <si>
    <t>092B052</t>
  </si>
  <si>
    <t>R01-963</t>
  </si>
  <si>
    <t>092B053</t>
  </si>
  <si>
    <t>R01-972</t>
  </si>
  <si>
    <t>092B062</t>
  </si>
  <si>
    <t>R01-981</t>
  </si>
  <si>
    <t>092B063</t>
  </si>
  <si>
    <t>Soil Drainage  Inc 85-124  Part Sheet</t>
  </si>
  <si>
    <t>R01-990</t>
  </si>
  <si>
    <t>092B071</t>
  </si>
  <si>
    <t>R01-999</t>
  </si>
  <si>
    <t>092B072</t>
  </si>
  <si>
    <t>R02-1501</t>
  </si>
  <si>
    <t>092G01a</t>
  </si>
  <si>
    <t>Soil Drainage Part Sheet: Yarrow</t>
  </si>
  <si>
    <t>R02-1506</t>
  </si>
  <si>
    <t>092G01b</t>
  </si>
  <si>
    <t>Soil Drainage Part Sheet: Kilgard</t>
  </si>
  <si>
    <t>R02-1511</t>
  </si>
  <si>
    <t>092G01c</t>
  </si>
  <si>
    <t>Soil Drainage Part Sheet: Abbotsford</t>
  </si>
  <si>
    <t>R02-1516</t>
  </si>
  <si>
    <t>092G01d</t>
  </si>
  <si>
    <t>Soil Drainage Part Sheet: Aldergrove</t>
  </si>
  <si>
    <t>R02-1521</t>
  </si>
  <si>
    <t>092G01e</t>
  </si>
  <si>
    <t>Soil Drainage Part Sheet: Whonnock</t>
  </si>
  <si>
    <t>R02-1526</t>
  </si>
  <si>
    <t>092G01f</t>
  </si>
  <si>
    <t>Soil Drainage Part Sheet: Mission</t>
  </si>
  <si>
    <t>R02-1531</t>
  </si>
  <si>
    <t>092G01g</t>
  </si>
  <si>
    <t>Soil Drainage Part Sheet: Dewdney</t>
  </si>
  <si>
    <t>R02-1536</t>
  </si>
  <si>
    <t>092G01h</t>
  </si>
  <si>
    <t>Soil Drainage Part Sheet: Deroche</t>
  </si>
  <si>
    <t>R02-1541</t>
  </si>
  <si>
    <t>092G02a</t>
  </si>
  <si>
    <t>Soil Drainage Part Sheet: Murrayville</t>
  </si>
  <si>
    <t>R02-1546</t>
  </si>
  <si>
    <t>092G02b</t>
  </si>
  <si>
    <t>Soil Drainage Part Sheet: Langley</t>
  </si>
  <si>
    <t>R02-1551</t>
  </si>
  <si>
    <t>092G02c</t>
  </si>
  <si>
    <t>Soil Drainage Part Sheet: White Rock</t>
  </si>
  <si>
    <t>R02-1556</t>
  </si>
  <si>
    <t>092G02d</t>
  </si>
  <si>
    <t>Soil Drainage Part Sheet: Crescent Beach</t>
  </si>
  <si>
    <t>R02-1561</t>
  </si>
  <si>
    <t>092G02e</t>
  </si>
  <si>
    <t>Soil Drainage Part Sheet: New Westminster</t>
  </si>
  <si>
    <t>R02-1566</t>
  </si>
  <si>
    <t>092G02f</t>
  </si>
  <si>
    <t>Soil Drainage Part Sheet: Port Mann</t>
  </si>
  <si>
    <t>R02-1571</t>
  </si>
  <si>
    <t>092G02g</t>
  </si>
  <si>
    <t>Soil Drainage Part Sheet: Port Hammond</t>
  </si>
  <si>
    <t>R02-1576</t>
  </si>
  <si>
    <t>092G02h</t>
  </si>
  <si>
    <t>Soil Drainage Part Sheet: Port Langley</t>
  </si>
  <si>
    <t>R02-1581</t>
  </si>
  <si>
    <t>092G03a</t>
  </si>
  <si>
    <t>Soil Drainage Part Sheet: Ladner</t>
  </si>
  <si>
    <t>R02-1586</t>
  </si>
  <si>
    <t>092G03b</t>
  </si>
  <si>
    <t>Soil Drainage Part Sheet: Westham Island</t>
  </si>
  <si>
    <t>R02-1591</t>
  </si>
  <si>
    <t>092G03g</t>
  </si>
  <si>
    <t>Soil Drainage Part Sheet: Sea Island</t>
  </si>
  <si>
    <t>R02-1596</t>
  </si>
  <si>
    <t>092G03h</t>
  </si>
  <si>
    <t>Soil Drainage Part Sheet: Mitchell Island</t>
  </si>
  <si>
    <t>R02-1611</t>
  </si>
  <si>
    <t>092G07a</t>
  </si>
  <si>
    <t>Soil Drainage Part Sheet: Lower Pitt Lake</t>
  </si>
  <si>
    <t>R02-1616</t>
  </si>
  <si>
    <t>092G07b</t>
  </si>
  <si>
    <t>Soil Drainage Part Sheet: Pitt River</t>
  </si>
  <si>
    <t>R02-1673</t>
  </si>
  <si>
    <t>092H04c</t>
  </si>
  <si>
    <t>Soil Drainage Part Sheet: Tamihi Creek</t>
  </si>
  <si>
    <t>R02-1677</t>
  </si>
  <si>
    <t>092H04d</t>
  </si>
  <si>
    <t>Soil Drainage Part Sheet: Vedder Crosssing</t>
  </si>
  <si>
    <t>R02-1681</t>
  </si>
  <si>
    <t>092H04e</t>
  </si>
  <si>
    <t>Soil Drainage Part Sheet: Chilliwack</t>
  </si>
  <si>
    <t>R02-1685</t>
  </si>
  <si>
    <t>092H04f</t>
  </si>
  <si>
    <t>Soil Drainage Part Sheet: Rosedale</t>
  </si>
  <si>
    <t>R02-1689</t>
  </si>
  <si>
    <t>092H04g</t>
  </si>
  <si>
    <t>R02-1693</t>
  </si>
  <si>
    <t>092H05a</t>
  </si>
  <si>
    <t>R02-1697</t>
  </si>
  <si>
    <t>092H05b</t>
  </si>
  <si>
    <t>R02-1701</t>
  </si>
  <si>
    <t>092H05c</t>
  </si>
  <si>
    <t>R02-1705</t>
  </si>
  <si>
    <t>092H05d</t>
  </si>
  <si>
    <t>R02-1709</t>
  </si>
  <si>
    <t>092H05h</t>
  </si>
  <si>
    <t>R02-1713</t>
  </si>
  <si>
    <t>092H06d</t>
  </si>
  <si>
    <t>R02-1717</t>
  </si>
  <si>
    <t>092H06e</t>
  </si>
  <si>
    <t>R02-4988</t>
  </si>
  <si>
    <t>092G08d</t>
  </si>
  <si>
    <t>R03-1006</t>
  </si>
  <si>
    <t>Irrigation Water Requirement</t>
  </si>
  <si>
    <t>R03-1015</t>
  </si>
  <si>
    <t>R03-1024</t>
  </si>
  <si>
    <t>R03-1033</t>
  </si>
  <si>
    <t>R03-1041</t>
  </si>
  <si>
    <t>R03-1049</t>
  </si>
  <si>
    <t>R03-1117</t>
  </si>
  <si>
    <t>R03-1125</t>
  </si>
  <si>
    <t>R03-1133</t>
  </si>
  <si>
    <t>R03-1143</t>
  </si>
  <si>
    <t>R03-1152</t>
  </si>
  <si>
    <t>R03-1161</t>
  </si>
  <si>
    <t>R03-1169</t>
  </si>
  <si>
    <t>R03-1177</t>
  </si>
  <si>
    <t>R03-1185</t>
  </si>
  <si>
    <t>R03-1193</t>
  </si>
  <si>
    <t>R03-1201</t>
  </si>
  <si>
    <t>R03-1209</t>
  </si>
  <si>
    <t>R03-1217</t>
  </si>
  <si>
    <t>R03-1225</t>
  </si>
  <si>
    <t>092F040</t>
  </si>
  <si>
    <t>R03-1231</t>
  </si>
  <si>
    <t>R03-1239</t>
  </si>
  <si>
    <t>R03-1247</t>
  </si>
  <si>
    <t>Irrigation Water Requirement  Missing Sw Area</t>
  </si>
  <si>
    <t>R03-1255</t>
  </si>
  <si>
    <t>R03-1263</t>
  </si>
  <si>
    <t>R03-1271</t>
  </si>
  <si>
    <t>R03-1279</t>
  </si>
  <si>
    <t>R03-1287</t>
  </si>
  <si>
    <t>R03-1295</t>
  </si>
  <si>
    <t>R03-1444</t>
  </si>
  <si>
    <t>R03-1452</t>
  </si>
  <si>
    <t>R03-1460</t>
  </si>
  <si>
    <t>R03-1470</t>
  </si>
  <si>
    <t>R03-953</t>
  </si>
  <si>
    <t>R03-961</t>
  </si>
  <si>
    <t>Irrigation Water Requirement  Inc 86-060</t>
  </si>
  <si>
    <t>R03-970</t>
  </si>
  <si>
    <t>R03-979</t>
  </si>
  <si>
    <t>Irrigation Water Requirement  Inc 85-152 Missing Sw &amp; Central Saanich</t>
  </si>
  <si>
    <t>R03-988</t>
  </si>
  <si>
    <t>R03-997</t>
  </si>
  <si>
    <t>R04-1004</t>
  </si>
  <si>
    <t>Surface Soil Erosion Potential  Part Sheet</t>
  </si>
  <si>
    <t>R04-1013</t>
  </si>
  <si>
    <t>Surface Soil Erosion Potential  Part Sheet (Van Is. Only)</t>
  </si>
  <si>
    <t>R04-1022</t>
  </si>
  <si>
    <t>R04-1031</t>
  </si>
  <si>
    <t>R04-1039</t>
  </si>
  <si>
    <t>R04-1047</t>
  </si>
  <si>
    <t>R04-1055</t>
  </si>
  <si>
    <t>R04-1123</t>
  </si>
  <si>
    <t>R04-1131</t>
  </si>
  <si>
    <t>R04-1141</t>
  </si>
  <si>
    <t>R04-1150</t>
  </si>
  <si>
    <t>R04-1159</t>
  </si>
  <si>
    <t>R04-1167</t>
  </si>
  <si>
    <t>R04-1175</t>
  </si>
  <si>
    <t>R04-207</t>
  </si>
  <si>
    <t>R04-214</t>
  </si>
  <si>
    <t>R04-221</t>
  </si>
  <si>
    <t>R04-228</t>
  </si>
  <si>
    <t>R07-1542</t>
  </si>
  <si>
    <t>Soil Sensitivity To Acidification: Murrayville</t>
  </si>
  <si>
    <t>Soils of the Langley - Vancouver Map Area. British Columbia Soil Survey Report No.15. Volume 1 Soil Map Mosaic and Legend, Lower Fraser Valley</t>
  </si>
  <si>
    <t>R07-1547</t>
  </si>
  <si>
    <t>Soil Sensitivity To Acidification: Langley</t>
  </si>
  <si>
    <t>R07-1552</t>
  </si>
  <si>
    <t>Soil Sensitivity To Acidification: White Rock</t>
  </si>
  <si>
    <t>R07-1557</t>
  </si>
  <si>
    <t>Soil Sensitivity To Acidification: Crescent Beach</t>
  </si>
  <si>
    <t>R07-1562</t>
  </si>
  <si>
    <t>Soil Sensitivity To Acidification: New Westminster</t>
  </si>
  <si>
    <t>R07-1567</t>
  </si>
  <si>
    <t>Soil Sensitivity To Acidification: Port Mann</t>
  </si>
  <si>
    <t>R08-659</t>
  </si>
  <si>
    <t>Phosphorus Transmission From Septic Tank Effluent</t>
  </si>
  <si>
    <t>R08-666</t>
  </si>
  <si>
    <t>R08-673</t>
  </si>
  <si>
    <t>R11-1174</t>
  </si>
  <si>
    <t>Soils of Southeast Vancouver Island: Parksville - Quallicum Beach</t>
  </si>
  <si>
    <t>Soils of Southeast Vancouver Island: Parksville, Qualicum Beach, Courtenay and Port Alberni Areas. British Columbia Soil Survey Report No. 57</t>
  </si>
  <si>
    <t>R11-1182</t>
  </si>
  <si>
    <t>Soils of Southeast Vancouver Island: Duncan - Nanaimo</t>
  </si>
  <si>
    <t>Soils of Southeast Vancouver Island: Duncan - Nanaimo Area. British Columbia Soil Surveys Report No. 57</t>
  </si>
  <si>
    <t>R12-1338</t>
  </si>
  <si>
    <t>Climatic Moisture Deficit/Surplus: Powell River</t>
  </si>
  <si>
    <t>R12-1345</t>
  </si>
  <si>
    <t>Climatic Moisture Deficit/Surplus: Buttle Lake</t>
  </si>
  <si>
    <t>R12-1353</t>
  </si>
  <si>
    <t>Climatic Moisture Deficit/Surplus: Port Alberni</t>
  </si>
  <si>
    <t>R12-1359</t>
  </si>
  <si>
    <t>Climatic Moisture Deficit/Surplus: Kennedy Lake</t>
  </si>
  <si>
    <t>R04-1183</t>
  </si>
  <si>
    <t>R04-1191</t>
  </si>
  <si>
    <t>R04-1199</t>
  </si>
  <si>
    <t>R04-1207</t>
  </si>
  <si>
    <t>R04-1215</t>
  </si>
  <si>
    <t>R04-1223</t>
  </si>
  <si>
    <t>Surface Soil Erosion Potential</t>
  </si>
  <si>
    <t>R04-1229</t>
  </si>
  <si>
    <t>R04-1237</t>
  </si>
  <si>
    <t>R04-1245</t>
  </si>
  <si>
    <t>R04-1253</t>
  </si>
  <si>
    <t>Surface Soil Erosion Potential  Part Sheet Missing Sw Area</t>
  </si>
  <si>
    <t>R04-1261</t>
  </si>
  <si>
    <t>R04-1269</t>
  </si>
  <si>
    <t>R04-1277</t>
  </si>
  <si>
    <t>R04-1285</t>
  </si>
  <si>
    <t>R04-1293</t>
  </si>
  <si>
    <t>R04-1301</t>
  </si>
  <si>
    <t>R04-1450</t>
  </si>
  <si>
    <t>R04-1458</t>
  </si>
  <si>
    <t>R04-1468</t>
  </si>
  <si>
    <t>R04-1478</t>
  </si>
  <si>
    <t>R04-156</t>
  </si>
  <si>
    <t>R04-163</t>
  </si>
  <si>
    <t>R04-169</t>
  </si>
  <si>
    <t>R04-175</t>
  </si>
  <si>
    <t>R04-182</t>
  </si>
  <si>
    <t>R04-188</t>
  </si>
  <si>
    <t>R04-194</t>
  </si>
  <si>
    <t>R04-201</t>
  </si>
  <si>
    <t>R04-235</t>
  </si>
  <si>
    <t>R04-242</t>
  </si>
  <si>
    <t>R04-249</t>
  </si>
  <si>
    <t>R04-256</t>
  </si>
  <si>
    <t>R04-263</t>
  </si>
  <si>
    <t>R04-270</t>
  </si>
  <si>
    <t>R04-277</t>
  </si>
  <si>
    <t>R04-284</t>
  </si>
  <si>
    <t>R04-291</t>
  </si>
  <si>
    <t>R04-299</t>
  </si>
  <si>
    <t>R04-306</t>
  </si>
  <si>
    <t>R04-313</t>
  </si>
  <si>
    <t>R04-656</t>
  </si>
  <si>
    <t>R04-663</t>
  </si>
  <si>
    <t>R04-670</t>
  </si>
  <si>
    <t>R04-677</t>
  </si>
  <si>
    <t>R04-684</t>
  </si>
  <si>
    <t>R04-691</t>
  </si>
  <si>
    <t>R04-698</t>
  </si>
  <si>
    <t>R04-705</t>
  </si>
  <si>
    <t>R04-712</t>
  </si>
  <si>
    <t>R04-720</t>
  </si>
  <si>
    <t>R04-728</t>
  </si>
  <si>
    <t>R04-735</t>
  </si>
  <si>
    <t>R04-742</t>
  </si>
  <si>
    <t>R04-749</t>
  </si>
  <si>
    <t>R04-951</t>
  </si>
  <si>
    <t>R04-959</t>
  </si>
  <si>
    <t>R04-968</t>
  </si>
  <si>
    <t>Surface Soil Erosion Potential  Inc 86-060  Part Sheet</t>
  </si>
  <si>
    <t>R04-977</t>
  </si>
  <si>
    <t>R04-986</t>
  </si>
  <si>
    <t>Surface Soil Erosion Potential  Inc 85-152  Pt Sh Missing Sw &amp; Central Saanich</t>
  </si>
  <si>
    <t>R04-995</t>
  </si>
  <si>
    <t>R05-1503</t>
  </si>
  <si>
    <t>Surface Soil Erosion Potential: Yarrow</t>
  </si>
  <si>
    <t>R05-1508</t>
  </si>
  <si>
    <t>Surface Soil Erosion Potential: Kilgard</t>
  </si>
  <si>
    <t>R05-1513</t>
  </si>
  <si>
    <t>Surface Soil Erosion Potential: Abbotsford</t>
  </si>
  <si>
    <t>R05-1518</t>
  </si>
  <si>
    <t>Surface Soil Erosion Potential: Aldergrove</t>
  </si>
  <si>
    <t>R05-1523</t>
  </si>
  <si>
    <t>Surface Soil Erosion Potential: Whonnock</t>
  </si>
  <si>
    <t>R05-1528</t>
  </si>
  <si>
    <t>Surface Soil Erosion Potential: Mission</t>
  </si>
  <si>
    <t>R05-1533</t>
  </si>
  <si>
    <t>Surface Soil Erosion Potential: Dewdney</t>
  </si>
  <si>
    <t>R05-1538</t>
  </si>
  <si>
    <t>Surface Soil Erosion Potential: Deroche</t>
  </si>
  <si>
    <t>R05-1543</t>
  </si>
  <si>
    <t>Surface Soil Erosion Potential: Murrayville</t>
  </si>
  <si>
    <t>R05-1548</t>
  </si>
  <si>
    <t>Surface Soil Erosion Potential: Langley</t>
  </si>
  <si>
    <t>R05-1553</t>
  </si>
  <si>
    <t>Surface Soil Erosion Potential: White Rock</t>
  </si>
  <si>
    <t>R05-1558</t>
  </si>
  <si>
    <t>Surface Soil Erosion Potential: Crescent Beach</t>
  </si>
  <si>
    <t>R05-1563</t>
  </si>
  <si>
    <t>Surface Soil Erosion Potential: New Westminster</t>
  </si>
  <si>
    <t>R05-1568</t>
  </si>
  <si>
    <t>Surface Soil Erosion Potential: Port Mann</t>
  </si>
  <si>
    <t>R05-1573</t>
  </si>
  <si>
    <t>Surface Soil Erosion Potential: Port Hammond</t>
  </si>
  <si>
    <t>R05-1578</t>
  </si>
  <si>
    <t>Surface Soil Erosion Potential: Port Langley</t>
  </si>
  <si>
    <t>R05-1583</t>
  </si>
  <si>
    <t>Surface Soil Erosion Potential: Ladner</t>
  </si>
  <si>
    <t>R05-1588</t>
  </si>
  <si>
    <t>Surface Soil Erosion Potential: Westham Island</t>
  </si>
  <si>
    <t>R05-1593</t>
  </si>
  <si>
    <t>Surface Soil Erosion Potential: Sea Island</t>
  </si>
  <si>
    <t>R05-1598</t>
  </si>
  <si>
    <t>Surface Soil Erosion Potential: Mitchell Island</t>
  </si>
  <si>
    <t>R05-1602</t>
  </si>
  <si>
    <t>R05-1605</t>
  </si>
  <si>
    <t>Surface Soil Erosion Potential: North Vancouver</t>
  </si>
  <si>
    <t>R05-1608</t>
  </si>
  <si>
    <t>Surface Soil Erosion Potential: Port Coquitlam</t>
  </si>
  <si>
    <t>R05-1613</t>
  </si>
  <si>
    <t>Surface Soil Erosion Potential: Lower Pitt Lake</t>
  </si>
  <si>
    <t>R05-1618</t>
  </si>
  <si>
    <t>Surface Soil Erosion Potential: Pitt River</t>
  </si>
  <si>
    <t>R05-1621</t>
  </si>
  <si>
    <t>Surface Soil Erosion Potential: Stave Lake</t>
  </si>
  <si>
    <t>R05-1625</t>
  </si>
  <si>
    <t>R05-1671</t>
  </si>
  <si>
    <t>092H04b</t>
  </si>
  <si>
    <t>R05-1675</t>
  </si>
  <si>
    <t>Surface Soil Erosion Potential: Tamihi Creek</t>
  </si>
  <si>
    <t>R05-1679</t>
  </si>
  <si>
    <t>Surface Soil Erosion Potential: Vedder Crossing</t>
  </si>
  <si>
    <t>R05-1683</t>
  </si>
  <si>
    <t>Surface Soil Erosion Potential: Chilliwack</t>
  </si>
  <si>
    <t>R05-1687</t>
  </si>
  <si>
    <t>Surface Soil Erosion Potential: Rosedale</t>
  </si>
  <si>
    <t>R05-1691</t>
  </si>
  <si>
    <t>R05-1695</t>
  </si>
  <si>
    <t>R05-1699</t>
  </si>
  <si>
    <t>R05-1703</t>
  </si>
  <si>
    <t>R05-1707</t>
  </si>
  <si>
    <t>R05-1711</t>
  </si>
  <si>
    <t>R05-1715</t>
  </si>
  <si>
    <t>R05-1719</t>
  </si>
  <si>
    <t>R05-5055</t>
  </si>
  <si>
    <t>R06-1003</t>
  </si>
  <si>
    <t>Soils Susceptible To Innudation and/Or High Watertales</t>
  </si>
  <si>
    <t>R06-1012</t>
  </si>
  <si>
    <t>R06-1021</t>
  </si>
  <si>
    <t>R06-1030</t>
  </si>
  <si>
    <t>R06-1140</t>
  </si>
  <si>
    <t>R06-1467</t>
  </si>
  <si>
    <t>R06-1477</t>
  </si>
  <si>
    <t>R06-976</t>
  </si>
  <si>
    <t>R06-985</t>
  </si>
  <si>
    <t>R06-994</t>
  </si>
  <si>
    <t>R07-1136</t>
  </si>
  <si>
    <t>Soil Sensitivity To Acidification</t>
  </si>
  <si>
    <t>R07-1463</t>
  </si>
  <si>
    <t>R07-1473</t>
  </si>
  <si>
    <t>R07-1502</t>
  </si>
  <si>
    <t>Soil Sensitivity To Acidification: Yarrow</t>
  </si>
  <si>
    <t>R07-1507</t>
  </si>
  <si>
    <t>Soil Sensitivity To Acidification: Kilgard</t>
  </si>
  <si>
    <t>R07-1512</t>
  </si>
  <si>
    <t>Soil Sensitivity To Acidification: Abbotsford</t>
  </si>
  <si>
    <t>R07-1517</t>
  </si>
  <si>
    <t>Soil Sensitivity To Acidification: Aldergrove</t>
  </si>
  <si>
    <t>R07-1522</t>
  </si>
  <si>
    <t>Soil Sensitivity To Acidification: Whonnock</t>
  </si>
  <si>
    <t>R07-1527</t>
  </si>
  <si>
    <t>Soil Sensitivity To Acidification: Mission</t>
  </si>
  <si>
    <t>R07-1532</t>
  </si>
  <si>
    <t>Soil Sensitivity To Acidification: Dewdney</t>
  </si>
  <si>
    <t>R07-1537</t>
  </si>
  <si>
    <t>Soil Sensitivity To Acidification: Deroche</t>
  </si>
  <si>
    <t>R07-1572</t>
  </si>
  <si>
    <t>Soil Sensitivity To Acidification: Port Hammond</t>
  </si>
  <si>
    <t>R07-1577</t>
  </si>
  <si>
    <t>Soil Sensitivity To Acidification: Port Langley</t>
  </si>
  <si>
    <t>R07-1582</t>
  </si>
  <si>
    <t>Soil Sensitivity To Acidification: Ladner</t>
  </si>
  <si>
    <t>R07-1587</t>
  </si>
  <si>
    <t>Soil Sensitivity To Acidification: Westham Island</t>
  </si>
  <si>
    <t>R07-1592</t>
  </si>
  <si>
    <t>Soil Sensitivity To Acidification: Sea Island</t>
  </si>
  <si>
    <t>R07-1597</t>
  </si>
  <si>
    <t>Soil Sensitivity To Acidification: Mitchell Island</t>
  </si>
  <si>
    <t>R07-1612</t>
  </si>
  <si>
    <t>Soil Sensitivity To Acidification: Lower Pitt Lake</t>
  </si>
  <si>
    <t>R07-1617</t>
  </si>
  <si>
    <t>Soil Sensitivity To Acidification: Pitt River</t>
  </si>
  <si>
    <t>R07-1624</t>
  </si>
  <si>
    <t>R07-1670</t>
  </si>
  <si>
    <t>Soil Survey of Chilliwack Area. Preliminary Report No. 4 of the Lower Fraser Valley Soil Survey</t>
  </si>
  <si>
    <t>R07-1674</t>
  </si>
  <si>
    <t>Soil Sensitivity To Acidification: Tamihi Creek</t>
  </si>
  <si>
    <t>R07-1678</t>
  </si>
  <si>
    <t>Soil Sensitivity To Acidification: Vedder Crossing</t>
  </si>
  <si>
    <t>R07-1682</t>
  </si>
  <si>
    <t>Soil Sensitivity To Acidification: Chilliwack</t>
  </si>
  <si>
    <t>R07-1686</t>
  </si>
  <si>
    <t>Soil Sensitivity To Acidification: Rosedale</t>
  </si>
  <si>
    <t>R07-1690</t>
  </si>
  <si>
    <t>R07-1694</t>
  </si>
  <si>
    <t>R07-1698</t>
  </si>
  <si>
    <t>R07-1702</t>
  </si>
  <si>
    <t>R07-1706</t>
  </si>
  <si>
    <t>R07-1710</t>
  </si>
  <si>
    <t>R07-1714</t>
  </si>
  <si>
    <t>R07-1718</t>
  </si>
  <si>
    <t>R08-159</t>
  </si>
  <si>
    <t>R08-178</t>
  </si>
  <si>
    <t>R08-197</t>
  </si>
  <si>
    <t>R08-210</t>
  </si>
  <si>
    <t>R08-217</t>
  </si>
  <si>
    <t>R08-224</t>
  </si>
  <si>
    <t>R08-231</t>
  </si>
  <si>
    <t>R08-238</t>
  </si>
  <si>
    <t>R08-245</t>
  </si>
  <si>
    <t>R08-252</t>
  </si>
  <si>
    <t>R08-259</t>
  </si>
  <si>
    <t>R08-266</t>
  </si>
  <si>
    <t>R08-273</t>
  </si>
  <si>
    <t>R08-280</t>
  </si>
  <si>
    <t>R08-287</t>
  </si>
  <si>
    <t>R08-295</t>
  </si>
  <si>
    <t>R08-302</t>
  </si>
  <si>
    <t>R08-309</t>
  </si>
  <si>
    <t>R08-652</t>
  </si>
  <si>
    <t>R08-680</t>
  </si>
  <si>
    <t>R08-687</t>
  </si>
  <si>
    <t>R08-694</t>
  </si>
  <si>
    <t>R08-701</t>
  </si>
  <si>
    <t>R08-708</t>
  </si>
  <si>
    <t>R08-716</t>
  </si>
  <si>
    <t>R08-724</t>
  </si>
  <si>
    <t>R08-731</t>
  </si>
  <si>
    <t>R08-738</t>
  </si>
  <si>
    <t>R08-745</t>
  </si>
  <si>
    <t>R09-155</t>
  </si>
  <si>
    <t>Soil - Okanagan - Similkameen</t>
  </si>
  <si>
    <t>Soils of Okanagan, Similkameen and North Okanagan</t>
  </si>
  <si>
    <t>Soils of the Okanagan and Similkameen Valleys. British Columbia Soil Survey Report No. 52</t>
  </si>
  <si>
    <t>R09-162</t>
  </si>
  <si>
    <t>R09-168</t>
  </si>
  <si>
    <t>R09-174</t>
  </si>
  <si>
    <t>R09-181</t>
  </si>
  <si>
    <t>R09-187</t>
  </si>
  <si>
    <t>R09-193</t>
  </si>
  <si>
    <t>R09-200</t>
  </si>
  <si>
    <t>R09-206</t>
  </si>
  <si>
    <t>R09-213</t>
  </si>
  <si>
    <t>R09-220</t>
  </si>
  <si>
    <t>R09-227</t>
  </si>
  <si>
    <t>R09-234</t>
  </si>
  <si>
    <t>R09-241</t>
  </si>
  <si>
    <t>R09-248</t>
  </si>
  <si>
    <t>R09-255</t>
  </si>
  <si>
    <t>R09-262</t>
  </si>
  <si>
    <t>R09-269</t>
  </si>
  <si>
    <t>R09-276</t>
  </si>
  <si>
    <t>R09-283</t>
  </si>
  <si>
    <t>R09-290</t>
  </si>
  <si>
    <t>R09-298</t>
  </si>
  <si>
    <t>R09-305</t>
  </si>
  <si>
    <t>R09-312</t>
  </si>
  <si>
    <t>R09-655</t>
  </si>
  <si>
    <t>R09-662</t>
  </si>
  <si>
    <t>R09-669</t>
  </si>
  <si>
    <t>R09-676</t>
  </si>
  <si>
    <t>R09-683</t>
  </si>
  <si>
    <t>R09-690</t>
  </si>
  <si>
    <t>R09-697</t>
  </si>
  <si>
    <t>R09-704</t>
  </si>
  <si>
    <t>R09-711</t>
  </si>
  <si>
    <t>R09-719</t>
  </si>
  <si>
    <t>R09-727</t>
  </si>
  <si>
    <t>R09-734</t>
  </si>
  <si>
    <t>R09-741</t>
  </si>
  <si>
    <t>R09-748</t>
  </si>
  <si>
    <t>R10-1001</t>
  </si>
  <si>
    <t>Soils Affected By Flooding and/Or Watertable  Part Sheet</t>
  </si>
  <si>
    <t>R10-1010</t>
  </si>
  <si>
    <t>R10-1019</t>
  </si>
  <si>
    <t>R10-1028</t>
  </si>
  <si>
    <t>R10-1037</t>
  </si>
  <si>
    <t>R10-1045</t>
  </si>
  <si>
    <t>R10-1053</t>
  </si>
  <si>
    <t>R10-1121</t>
  </si>
  <si>
    <t>R10-1129</t>
  </si>
  <si>
    <t>R10-1138</t>
  </si>
  <si>
    <t>R10-1148</t>
  </si>
  <si>
    <t>R10-1157</t>
  </si>
  <si>
    <t>R10-1165</t>
  </si>
  <si>
    <t>1987?</t>
  </si>
  <si>
    <t>R10-1173</t>
  </si>
  <si>
    <t>R10-1181</t>
  </si>
  <si>
    <t>R10-1189</t>
  </si>
  <si>
    <t>R10-1197</t>
  </si>
  <si>
    <t>R10-1205</t>
  </si>
  <si>
    <t>R10-1213</t>
  </si>
  <si>
    <t>Soils Affected By Flooding and/Or Watertable  Part Sheet Missing Sw Corner</t>
  </si>
  <si>
    <t>R10-1221</t>
  </si>
  <si>
    <t>Soils Affected By Flooding and/Or Watertable</t>
  </si>
  <si>
    <t>R10-1235</t>
  </si>
  <si>
    <t>R10-1243</t>
  </si>
  <si>
    <t>R10-1251</t>
  </si>
  <si>
    <t>Soils Affected By Flooding and/Or Watertable  Part Sheet Missing Sw Area</t>
  </si>
  <si>
    <t>R10-1259</t>
  </si>
  <si>
    <t>R10-1267</t>
  </si>
  <si>
    <t>R10-1275</t>
  </si>
  <si>
    <t>R10-1283</t>
  </si>
  <si>
    <t>R10-1291</t>
  </si>
  <si>
    <t>R10-1299</t>
  </si>
  <si>
    <t>R10-1448</t>
  </si>
  <si>
    <t>R10-1456</t>
  </si>
  <si>
    <t>R10-1465</t>
  </si>
  <si>
    <t>R10-1475</t>
  </si>
  <si>
    <t>R10-949</t>
  </si>
  <si>
    <t>R10-957</t>
  </si>
  <si>
    <t>R10-966</t>
  </si>
  <si>
    <t>R10-974</t>
  </si>
  <si>
    <t>R10-983</t>
  </si>
  <si>
    <t>R10-992</t>
  </si>
  <si>
    <t>R11-1002</t>
  </si>
  <si>
    <t>R11-1011</t>
  </si>
  <si>
    <t>R11-1020</t>
  </si>
  <si>
    <t>R11-1029</t>
  </si>
  <si>
    <t>R11-1038</t>
  </si>
  <si>
    <t>R11-1046</t>
  </si>
  <si>
    <t>R11-1054</t>
  </si>
  <si>
    <t>R11-1122</t>
  </si>
  <si>
    <t>R11-1130</t>
  </si>
  <si>
    <t>Soils of Southeast Vancouver Island: Port Alberni</t>
  </si>
  <si>
    <t>R11-1139</t>
  </si>
  <si>
    <t>R11-1149</t>
  </si>
  <si>
    <t>R11-1158</t>
  </si>
  <si>
    <t>R11-1166</t>
  </si>
  <si>
    <t>R11-1190</t>
  </si>
  <si>
    <t>R11-1198</t>
  </si>
  <si>
    <t>R11-1206</t>
  </si>
  <si>
    <t>R11-1214</t>
  </si>
  <si>
    <t>R11-1222</t>
  </si>
  <si>
    <t>R11-1228</t>
  </si>
  <si>
    <t>R11-1236</t>
  </si>
  <si>
    <t>R11-1244</t>
  </si>
  <si>
    <t>R11-1252</t>
  </si>
  <si>
    <t>R11-1260</t>
  </si>
  <si>
    <t>R11-1268</t>
  </si>
  <si>
    <t>Soils of Southeast Vancouver Island: Courtenay</t>
  </si>
  <si>
    <t>R11-1276</t>
  </si>
  <si>
    <t>R11-1284</t>
  </si>
  <si>
    <t>R11-1292</t>
  </si>
  <si>
    <t>R11-1300</t>
  </si>
  <si>
    <t>R11-1449</t>
  </si>
  <si>
    <t>R11-1457</t>
  </si>
  <si>
    <t>R11-1466</t>
  </si>
  <si>
    <t>R11-1476</t>
  </si>
  <si>
    <t>R11-950</t>
  </si>
  <si>
    <t>Soils of Southeast Vancouver Island: Highland</t>
  </si>
  <si>
    <t>Soils of Southeast Vancouver Island: Highland Area</t>
  </si>
  <si>
    <t>R11-958</t>
  </si>
  <si>
    <t>R11-967</t>
  </si>
  <si>
    <t>Soils of Southeast Vancouver Island</t>
  </si>
  <si>
    <t>Soils of Southwest Vancouver Island: Highland Area</t>
  </si>
  <si>
    <t>R11-975</t>
  </si>
  <si>
    <t>R11-984</t>
  </si>
  <si>
    <t>Soils of Southeast Vancouver Island: Duncan - Nanaimo - North Saanich</t>
  </si>
  <si>
    <t>R11-993</t>
  </si>
  <si>
    <t>R12-1071</t>
  </si>
  <si>
    <t>Climatic Moisture Deficit/Surplus: Victoria</t>
  </si>
  <si>
    <t>R12-1094</t>
  </si>
  <si>
    <t>Climatic Moisture Deficit/Surplus: Nitinat Lake</t>
  </si>
  <si>
    <t>R12-1631</t>
  </si>
  <si>
    <t>Climatic Moisture Deficit/Surplus: Squamish</t>
  </si>
  <si>
    <t>R12-1637</t>
  </si>
  <si>
    <t>Climatic Moisture Deficit/Surplus: Langley</t>
  </si>
  <si>
    <t>R12-1644</t>
  </si>
  <si>
    <t>Climatic Moisture Deficit/Surplus: Vancouver</t>
  </si>
  <si>
    <t>R12-1724</t>
  </si>
  <si>
    <t>Climatic Moisture Deficit/Surplus: Yale</t>
  </si>
  <si>
    <t>R12-1734</t>
  </si>
  <si>
    <t>Climatic Moisture Deficit/Surplus: Chilliwack Lake</t>
  </si>
  <si>
    <t>R12-1792</t>
  </si>
  <si>
    <t>Climatic Moisture Deficit/Surplus: Kamloops</t>
  </si>
  <si>
    <t>R12-1798</t>
  </si>
  <si>
    <t>Climatic Moisture Deficit/Surplus: Ashcroft</t>
  </si>
  <si>
    <t>R12-1804</t>
  </si>
  <si>
    <t>Climatic Moisture Deficit/Surplus: Merritt</t>
  </si>
  <si>
    <t>R12-1810</t>
  </si>
  <si>
    <t>Climatic Moisture Deficit/Surplus: Lytton</t>
  </si>
  <si>
    <t>R12-1838</t>
  </si>
  <si>
    <t>Climatic Moisture Deficit/Surplus: Bridge River</t>
  </si>
  <si>
    <t>R12-1843</t>
  </si>
  <si>
    <t>Climatic Moisture Deficit/Surplus: Pemberton</t>
  </si>
  <si>
    <t>R12-1868</t>
  </si>
  <si>
    <t>Climatic Moisture Deficit/Surplus: Cambell River</t>
  </si>
  <si>
    <t>R12-1901</t>
  </si>
  <si>
    <t>Climatic Moisture Deficit/Surplus: Gilford Island</t>
  </si>
  <si>
    <t>R12-1906</t>
  </si>
  <si>
    <t>Climatic Moisture Deficit/Surplus: Port Hardy</t>
  </si>
  <si>
    <t>R12-1912</t>
  </si>
  <si>
    <t>Climatic Moisture Deficit/Surplus: Nimpkish River</t>
  </si>
  <si>
    <t>R12-2042</t>
  </si>
  <si>
    <t>Climatic Moisture Deficit/Surplus: Canim Lake</t>
  </si>
  <si>
    <t>R12-2056</t>
  </si>
  <si>
    <t>Climatic Moisture Deficit/Surplus: Bonaparte Lake</t>
  </si>
  <si>
    <t>R12-2339</t>
  </si>
  <si>
    <t>Climatic Moisture Deficit/Surplus: Morkill River</t>
  </si>
  <si>
    <t>R12-2344</t>
  </si>
  <si>
    <t>Climatic Moisture Deficit/Surplus: Bowron River</t>
  </si>
  <si>
    <t>R12-2349</t>
  </si>
  <si>
    <t>Climatic Moisture Deficit/Surplus: Mcbride</t>
  </si>
  <si>
    <t>R12-792</t>
  </si>
  <si>
    <t>Climatic Moisture Deficit/Surplus: Shuswap Lake</t>
  </si>
  <si>
    <t>R12-802</t>
  </si>
  <si>
    <t>Climatic Moisture Deficit/Surplus: Vernon</t>
  </si>
  <si>
    <t>R12-848</t>
  </si>
  <si>
    <t>Climatic Moisture Deficit/Surplus: Avola</t>
  </si>
  <si>
    <t>R12-863</t>
  </si>
  <si>
    <t>Climatic Moisture Deficit/Surplus: Adams Lake</t>
  </si>
  <si>
    <t>R12-893</t>
  </si>
  <si>
    <t>Climatic Moisture Deficit/Surplus: Premier Range</t>
  </si>
  <si>
    <t>R12-896</t>
  </si>
  <si>
    <t>Climatic Moisture Deficit/Surplus: Murtle Lake</t>
  </si>
  <si>
    <t>R12-903</t>
  </si>
  <si>
    <t>Climatic Moisture Deficit/Surplus: Mount Robson</t>
  </si>
  <si>
    <t>R13-1072</t>
  </si>
  <si>
    <t>Freeze Free Period (Days): Victoria</t>
  </si>
  <si>
    <t>R13-1095</t>
  </si>
  <si>
    <t>Freeze Free Period (Days): Nitinat Lake</t>
  </si>
  <si>
    <t>R13-1339</t>
  </si>
  <si>
    <t>Freeze Free Period (Days): Powell River</t>
  </si>
  <si>
    <t>R13-1346</t>
  </si>
  <si>
    <t>Freeze Free Period (Days): Buttle Lake</t>
  </si>
  <si>
    <t>R13-1354</t>
  </si>
  <si>
    <t>Freeze Free Period (Days): Port Alberni</t>
  </si>
  <si>
    <t>R13-1360</t>
  </si>
  <si>
    <t>Freeze Free Period (Days): Kennedy Lake</t>
  </si>
  <si>
    <t>R13-1632</t>
  </si>
  <si>
    <t>Freeze Free Period (Days): Squamish</t>
  </si>
  <si>
    <t>R13-1638</t>
  </si>
  <si>
    <t>Freeze Free Period (Days): Langley</t>
  </si>
  <si>
    <t>R13-1645</t>
  </si>
  <si>
    <t>Freeze Free Period (Days): Vancouver</t>
  </si>
  <si>
    <t>R13-1725</t>
  </si>
  <si>
    <t>Freeze Free Period (Days): Yale</t>
  </si>
  <si>
    <t>R13-1735</t>
  </si>
  <si>
    <t>Freeze Free Period (Days): Chilliwack Lake</t>
  </si>
  <si>
    <t>R13-1793</t>
  </si>
  <si>
    <t>Freeze Free Period (Days): Kamloops</t>
  </si>
  <si>
    <t>R13-1799</t>
  </si>
  <si>
    <t>Freeze Free Period (Days): Ashcroft</t>
  </si>
  <si>
    <t>R13-1805</t>
  </si>
  <si>
    <t>Freeze Free Period (Days): Merritt</t>
  </si>
  <si>
    <t>R13-1811</t>
  </si>
  <si>
    <t>Freeze Free Period (Days): Lytton</t>
  </si>
  <si>
    <t>R13-1839</t>
  </si>
  <si>
    <t>Freeze Free Period (Days): Bridge River</t>
  </si>
  <si>
    <t>R13-1844</t>
  </si>
  <si>
    <t>Freeze Free Period (Days): Pemberton</t>
  </si>
  <si>
    <t>R13-1869</t>
  </si>
  <si>
    <t>Freeze Free Period (Days): Campbell River</t>
  </si>
  <si>
    <t>R13-1902</t>
  </si>
  <si>
    <t>Freeze Free Period (Days): Gilford Island</t>
  </si>
  <si>
    <t>R13-1907</t>
  </si>
  <si>
    <t>Freeze Free Period (Days): Port Hardy</t>
  </si>
  <si>
    <t>R13-1913</t>
  </si>
  <si>
    <t>Freeze Free Period (Days): Nimpkish River</t>
  </si>
  <si>
    <t>R13-2043</t>
  </si>
  <si>
    <t>Freeze Free Period (Days): Canim Lake</t>
  </si>
  <si>
    <t>R13-2057</t>
  </si>
  <si>
    <t>Freeze Free Period (Days): Bonaparte Lake</t>
  </si>
  <si>
    <t>R13-793</t>
  </si>
  <si>
    <t>Freeze Free Period (Days): Shuswap Lake</t>
  </si>
  <si>
    <t>R13-803</t>
  </si>
  <si>
    <t>Freeze Free Period (Days): Vernon</t>
  </si>
  <si>
    <t>R13-849</t>
  </si>
  <si>
    <t>Freeze Free Period (Days): Avola</t>
  </si>
  <si>
    <t>R13-864</t>
  </si>
  <si>
    <t>Freeze Free Period (Days): Adams Lake</t>
  </si>
  <si>
    <t>R14-1073</t>
  </si>
  <si>
    <t>Growing Degree Days: Victoria</t>
  </si>
  <si>
    <t>R14-1096</t>
  </si>
  <si>
    <t>Growing Degree Days: Nitinat Lake</t>
  </si>
  <si>
    <t>R14-1110</t>
  </si>
  <si>
    <t>Growing Degree Days: Nootka Island</t>
  </si>
  <si>
    <t>R14-1112</t>
  </si>
  <si>
    <t>092E/SE</t>
  </si>
  <si>
    <t>Growing Degree Days: Flores Island</t>
  </si>
  <si>
    <t>R14-1340</t>
  </si>
  <si>
    <t>Growing Degree Days: Powell River</t>
  </si>
  <si>
    <t>R14-1347</t>
  </si>
  <si>
    <t>Growing Degree Days: Buttle Lake</t>
  </si>
  <si>
    <t>R14-1355</t>
  </si>
  <si>
    <t>Growing Degree Days: Port Alberni</t>
  </si>
  <si>
    <t>R14-1361</t>
  </si>
  <si>
    <t>Growing Degree Days: Kennedy Lake</t>
  </si>
  <si>
    <t>R14-1633</t>
  </si>
  <si>
    <t>Growing Degree Days: Squamish</t>
  </si>
  <si>
    <t>R14-1639</t>
  </si>
  <si>
    <t>Growing Degree Days: Langley</t>
  </si>
  <si>
    <t>R14-1646</t>
  </si>
  <si>
    <t>Growing Degree Days: Vancouver</t>
  </si>
  <si>
    <t>R14-1726</t>
  </si>
  <si>
    <t>Growing Degree Days: Yale</t>
  </si>
  <si>
    <t>R14-1736</t>
  </si>
  <si>
    <t>Growing Degree Days: Chilliwack Lake</t>
  </si>
  <si>
    <t>R14-1794</t>
  </si>
  <si>
    <t>Growing Degree Days: Kamloops</t>
  </si>
  <si>
    <t>R14-1800</t>
  </si>
  <si>
    <t>Growing Degree Days: Ashcroft</t>
  </si>
  <si>
    <t>R14-1806</t>
  </si>
  <si>
    <t>Growing Degree Days: Merritt</t>
  </si>
  <si>
    <t>R14-1812</t>
  </si>
  <si>
    <t>Growing Degree Days: Lytton</t>
  </si>
  <si>
    <t>R14-1840</t>
  </si>
  <si>
    <t>Growing Degree Days: Bridge River</t>
  </si>
  <si>
    <t>R14-1845</t>
  </si>
  <si>
    <t>092J/SW</t>
  </si>
  <si>
    <t>Growing Degree Days: Pemberton - Map Covers Parts of 92J/Se &amp; 92J/Sw</t>
  </si>
  <si>
    <t>R14-1870</t>
  </si>
  <si>
    <t>Growing Degree Days: Campbell River</t>
  </si>
  <si>
    <t>R14-1903</t>
  </si>
  <si>
    <t>Growing Degree Days: Gilford Island</t>
  </si>
  <si>
    <t>R14-1908</t>
  </si>
  <si>
    <t>Growing Degree Days: Port Hardy</t>
  </si>
  <si>
    <t>R14-1914</t>
  </si>
  <si>
    <t>Growing Degree Days: Nimpkish River</t>
  </si>
  <si>
    <t>R14-1917</t>
  </si>
  <si>
    <t>Growing Degree Days: Port Alice</t>
  </si>
  <si>
    <t>R14-2044</t>
  </si>
  <si>
    <t>Growing Degree Days: Canim Lake</t>
  </si>
  <si>
    <t>R14-2058</t>
  </si>
  <si>
    <t>Growing Degree Days: Bonaparte Lake</t>
  </si>
  <si>
    <t>R14-2124</t>
  </si>
  <si>
    <t>Growing Degree Days</t>
  </si>
  <si>
    <t>R14-2128</t>
  </si>
  <si>
    <t>R14-2340</t>
  </si>
  <si>
    <t>Growing Degree Days: Morkill River</t>
  </si>
  <si>
    <t>R14-2345</t>
  </si>
  <si>
    <t>Growing Degree Days: Bowron River</t>
  </si>
  <si>
    <t>R14-2350</t>
  </si>
  <si>
    <t>Growing Degree Days: Mcbride</t>
  </si>
  <si>
    <t>R14-5</t>
  </si>
  <si>
    <t>Growing Degree Days: Cape Scott</t>
  </si>
  <si>
    <t>R14-5105</t>
  </si>
  <si>
    <t>R14-794</t>
  </si>
  <si>
    <t>Growing Degree Days: Shuswap Lake</t>
  </si>
  <si>
    <t>R14-804</t>
  </si>
  <si>
    <t>Growing Degree Days: Vernon</t>
  </si>
  <si>
    <t>R14-850</t>
  </si>
  <si>
    <t>Growing Degree Days: Avola</t>
  </si>
  <si>
    <t>R14-865</t>
  </si>
  <si>
    <t>Growing Degree Days: Adams Lake</t>
  </si>
  <si>
    <t>R14-894</t>
  </si>
  <si>
    <t>Growing Degree Days: Premier Range</t>
  </si>
  <si>
    <t>R14-897</t>
  </si>
  <si>
    <t>Growing Degree Days: Murtle Lake</t>
  </si>
  <si>
    <t>R14-904</t>
  </si>
  <si>
    <t>Growing Degree Days: Mount Robson</t>
  </si>
  <si>
    <t>R15-1499</t>
  </si>
  <si>
    <t>Agricultural Soil Management Groups: Yarrow</t>
  </si>
  <si>
    <t>Soils of the Langley - Vancouver map area: Volume 5: Agricultural soil management groups</t>
  </si>
  <si>
    <t>R15-1504</t>
  </si>
  <si>
    <t>Agricultural Soil Management Groups: Kilgard</t>
  </si>
  <si>
    <t>R15-1509</t>
  </si>
  <si>
    <t>Agricultural Soil Management Groups: Abbotsford</t>
  </si>
  <si>
    <t>R15-1514</t>
  </si>
  <si>
    <t>Agricultural Soil Management Groups: Aldergrove</t>
  </si>
  <si>
    <t>R15-1519</t>
  </si>
  <si>
    <t>Agricultural Soil Management Groups: Whonnock</t>
  </si>
  <si>
    <t>R15-1524</t>
  </si>
  <si>
    <t>Agricultural Soil Management Groups: Mission</t>
  </si>
  <si>
    <t>R15-1529</t>
  </si>
  <si>
    <t>Agricultural Soil Management Groups: Dewdney</t>
  </si>
  <si>
    <t>R15-1534</t>
  </si>
  <si>
    <t>Agricultural Soil Management Groups: Deroche</t>
  </si>
  <si>
    <t>R15-1539</t>
  </si>
  <si>
    <t>Agricultural Soil Management Groups: Murrayville</t>
  </si>
  <si>
    <t>R15-1544</t>
  </si>
  <si>
    <t>Agricultural Soil Management Groups: Langley</t>
  </si>
  <si>
    <t>R15-1549</t>
  </si>
  <si>
    <t>Agricultural Soil Management Groups: White Rock</t>
  </si>
  <si>
    <t>R15-1554</t>
  </si>
  <si>
    <t>Agricultural Soil Management Groups: Crescent Beach</t>
  </si>
  <si>
    <t>R15-1559</t>
  </si>
  <si>
    <t>Agricultural Soil Management Groups: New Westminster</t>
  </si>
  <si>
    <t>R15-1564</t>
  </si>
  <si>
    <t>Agricultural Soil Management Groups: Port Mann</t>
  </si>
  <si>
    <t>R15-1569</t>
  </si>
  <si>
    <t>Agricultural Soil Management Groups: Port Hammond</t>
  </si>
  <si>
    <t>R15-1574</t>
  </si>
  <si>
    <t>Agricultural Soil Management Groups: Port Langley</t>
  </si>
  <si>
    <t>R15-1579</t>
  </si>
  <si>
    <t>Agricultural Soil Management Groups: Ladner</t>
  </si>
  <si>
    <t>R15-1584</t>
  </si>
  <si>
    <t>Agricultural Soil Management Groups: Westham Island</t>
  </si>
  <si>
    <t>R15-1589</t>
  </si>
  <si>
    <t>Agricultural Soil Management Groups: Sea Island</t>
  </si>
  <si>
    <t>R15-1594</t>
  </si>
  <si>
    <t>Agricultural Soil Management Groups: Michell Island</t>
  </si>
  <si>
    <t>R15-1600</t>
  </si>
  <si>
    <t>Agricultural Soil Management Groups</t>
  </si>
  <si>
    <t>R15-1603</t>
  </si>
  <si>
    <t>Agricultural Soil Management Groups: North Vancouver</t>
  </si>
  <si>
    <t>R15-1606</t>
  </si>
  <si>
    <t>Agricultural Soil Management Groups: Port Coquitlam</t>
  </si>
  <si>
    <t>R15-1609</t>
  </si>
  <si>
    <t>Agricultural Soil Management Groups: Lower Pitt Lake</t>
  </si>
  <si>
    <t>R15-1614</t>
  </si>
  <si>
    <t>Agricultural Soil Management Groups: Pitt River</t>
  </si>
  <si>
    <t>R15-1619</t>
  </si>
  <si>
    <t>Agricultural Soil Management Groups: Stave Lake</t>
  </si>
  <si>
    <t>R15-1622</t>
  </si>
  <si>
    <t>R15-395</t>
  </si>
  <si>
    <t>082F008</t>
  </si>
  <si>
    <t>Spring Frost Risk Zone - Creston</t>
  </si>
  <si>
    <t>R15-396</t>
  </si>
  <si>
    <t>082F018</t>
  </si>
  <si>
    <t>R16-1005</t>
  </si>
  <si>
    <t>Agricultural Soil Management Groups  Part Sheet</t>
  </si>
  <si>
    <t>R16-1014</t>
  </si>
  <si>
    <t>R16-1023</t>
  </si>
  <si>
    <t>R16-1032</t>
  </si>
  <si>
    <t>R16-1040</t>
  </si>
  <si>
    <t>R16-1048</t>
  </si>
  <si>
    <t>R16-1116</t>
  </si>
  <si>
    <t>R16-1124</t>
  </si>
  <si>
    <t>R16-1132</t>
  </si>
  <si>
    <t>R16-1142</t>
  </si>
  <si>
    <t>R16-1151</t>
  </si>
  <si>
    <t>R16-1160</t>
  </si>
  <si>
    <t>R16-1168</t>
  </si>
  <si>
    <t>R16-1176</t>
  </si>
  <si>
    <t>R16-1184</t>
  </si>
  <si>
    <t>R16-1192</t>
  </si>
  <si>
    <t>R16-1200</t>
  </si>
  <si>
    <t>R16-1208</t>
  </si>
  <si>
    <t>R16-1216</t>
  </si>
  <si>
    <t>R16-1224</t>
  </si>
  <si>
    <t>R16-1230</t>
  </si>
  <si>
    <t>R16-1238</t>
  </si>
  <si>
    <t>R16-1246</t>
  </si>
  <si>
    <t>Agricultural Soil Management Groups  Part Sheet Missing Sw Area</t>
  </si>
  <si>
    <t>R16-1254</t>
  </si>
  <si>
    <t>R16-1262</t>
  </si>
  <si>
    <t>R16-1270</t>
  </si>
  <si>
    <t>R16-1278</t>
  </si>
  <si>
    <t>R16-1286</t>
  </si>
  <si>
    <t>R16-1294</t>
  </si>
  <si>
    <t>R16-1443</t>
  </si>
  <si>
    <t>R16-1451</t>
  </si>
  <si>
    <t>R16-1459</t>
  </si>
  <si>
    <t>R16-1469</t>
  </si>
  <si>
    <t>R16-952</t>
  </si>
  <si>
    <t>R16-960</t>
  </si>
  <si>
    <t>Agricultural Soil Management Groups  Inc 86-060  Part Sheet           Revised</t>
  </si>
  <si>
    <t>R16-969</t>
  </si>
  <si>
    <t>R16-978</t>
  </si>
  <si>
    <t>Agricultural Soil Management Groups  Inc 85-152  Pt Sh Missing Sw &amp; Cent Saan</t>
  </si>
  <si>
    <t>R16-987</t>
  </si>
  <si>
    <t>R16-996</t>
  </si>
  <si>
    <t>R17-157</t>
  </si>
  <si>
    <t>Surficial Materials  Part Sheet</t>
  </si>
  <si>
    <t>R17-164</t>
  </si>
  <si>
    <t>R17-170</t>
  </si>
  <si>
    <t>R17-176</t>
  </si>
  <si>
    <t>R17-183</t>
  </si>
  <si>
    <t>R17-189</t>
  </si>
  <si>
    <t>R17-195</t>
  </si>
  <si>
    <t>R17-202</t>
  </si>
  <si>
    <t>R17-208</t>
  </si>
  <si>
    <t>R17-215</t>
  </si>
  <si>
    <t>R17-222</t>
  </si>
  <si>
    <t>R17-229</t>
  </si>
  <si>
    <t>R17-236</t>
  </si>
  <si>
    <t>R17-243</t>
  </si>
  <si>
    <t>R17-250</t>
  </si>
  <si>
    <t>R17-257</t>
  </si>
  <si>
    <t>R17-264</t>
  </si>
  <si>
    <t>R17-271</t>
  </si>
  <si>
    <t>R17-278</t>
  </si>
  <si>
    <t>R17-285</t>
  </si>
  <si>
    <t>R17-292</t>
  </si>
  <si>
    <t>R17-300</t>
  </si>
  <si>
    <t>R17-307</t>
  </si>
  <si>
    <t>R17-314</t>
  </si>
  <si>
    <t>R17-657</t>
  </si>
  <si>
    <t>R17-664</t>
  </si>
  <si>
    <t>R17-671</t>
  </si>
  <si>
    <t>R17-678</t>
  </si>
  <si>
    <t>R17-685</t>
  </si>
  <si>
    <t>R17-692</t>
  </si>
  <si>
    <t>R17-699</t>
  </si>
  <si>
    <t>R17-706</t>
  </si>
  <si>
    <t>R17-713</t>
  </si>
  <si>
    <t>R17-721</t>
  </si>
  <si>
    <t>R17-729</t>
  </si>
  <si>
    <t>R17-736</t>
  </si>
  <si>
    <t>R17-743</t>
  </si>
  <si>
    <t>R17-750</t>
  </si>
  <si>
    <t>R18-1146</t>
  </si>
  <si>
    <t>Soil Suitability For Residential Settlement</t>
  </si>
  <si>
    <t>R18-1155</t>
  </si>
  <si>
    <t>R18-947</t>
  </si>
  <si>
    <t>Soil Suitability For Residential Settlements  Includes 85-124</t>
  </si>
  <si>
    <t>R18-964</t>
  </si>
  <si>
    <t>Soil Suitability For Residential Settlements</t>
  </si>
  <si>
    <t>R19-1007</t>
  </si>
  <si>
    <t>Land Capability For Agriculture  Part Sheet</t>
  </si>
  <si>
    <t>R19-1016</t>
  </si>
  <si>
    <t>R19-1025</t>
  </si>
  <si>
    <t>R19-1034</t>
  </si>
  <si>
    <t>R19-1042</t>
  </si>
  <si>
    <t>R19-1050</t>
  </si>
  <si>
    <t>R19-1118</t>
  </si>
  <si>
    <t>R19-1126</t>
  </si>
  <si>
    <t>R19-1134</t>
  </si>
  <si>
    <t>R19-1144</t>
  </si>
  <si>
    <t>R19-1153</t>
  </si>
  <si>
    <t>R19-1162</t>
  </si>
  <si>
    <t>R19-1170</t>
  </si>
  <si>
    <t>R19-1178</t>
  </si>
  <si>
    <t>R19-1186</t>
  </si>
  <si>
    <t>R19-1194</t>
  </si>
  <si>
    <t>R19-1202</t>
  </si>
  <si>
    <t>R19-1210</t>
  </si>
  <si>
    <t>Land Capability For Agriculture  Part Sheet Missing Sw Corner</t>
  </si>
  <si>
    <t>R19-1218</t>
  </si>
  <si>
    <t>R19-1226</t>
  </si>
  <si>
    <t>R19-1232</t>
  </si>
  <si>
    <t>R19-1240</t>
  </si>
  <si>
    <t>R19-1248</t>
  </si>
  <si>
    <t>Land Capability For Agriculture  Part Sheet Missing Sw Area</t>
  </si>
  <si>
    <t>R19-1256</t>
  </si>
  <si>
    <t>Land Capability For Agriculture Part Sheet</t>
  </si>
  <si>
    <t>R19-1264</t>
  </si>
  <si>
    <t>R19-1272</t>
  </si>
  <si>
    <t>R19-1280</t>
  </si>
  <si>
    <t>R19-1288</t>
  </si>
  <si>
    <t>R19-1296</t>
  </si>
  <si>
    <t>R19-1445</t>
  </si>
  <si>
    <t>R19-1453</t>
  </si>
  <si>
    <t>R19-1461</t>
  </si>
  <si>
    <t>R19-1471</t>
  </si>
  <si>
    <t>R19-945</t>
  </si>
  <si>
    <t>R19-954</t>
  </si>
  <si>
    <t>R19-962</t>
  </si>
  <si>
    <t>R19-971</t>
  </si>
  <si>
    <t>R19-980</t>
  </si>
  <si>
    <t>R19-989</t>
  </si>
  <si>
    <t>R19-998</t>
  </si>
  <si>
    <t>R20-152</t>
  </si>
  <si>
    <t>R20-158</t>
  </si>
  <si>
    <t>R20-165</t>
  </si>
  <si>
    <t>R20-171</t>
  </si>
  <si>
    <t>R20-177</t>
  </si>
  <si>
    <t>R20-184</t>
  </si>
  <si>
    <t>R20-190</t>
  </si>
  <si>
    <t>R20-196</t>
  </si>
  <si>
    <t>R20-203</t>
  </si>
  <si>
    <t>R20-209</t>
  </si>
  <si>
    <t>R20-216</t>
  </si>
  <si>
    <t>R20-223</t>
  </si>
  <si>
    <t>R20-230</t>
  </si>
  <si>
    <t>R20-237</t>
  </si>
  <si>
    <t>R20-244</t>
  </si>
  <si>
    <t>R20-251</t>
  </si>
  <si>
    <t>R20-258</t>
  </si>
  <si>
    <t>R20-265</t>
  </si>
  <si>
    <t>R20-272</t>
  </si>
  <si>
    <t>R20-279</t>
  </si>
  <si>
    <t>R20-286</t>
  </si>
  <si>
    <t>R20-294</t>
  </si>
  <si>
    <t>R20-301</t>
  </si>
  <si>
    <t>R20-308</t>
  </si>
  <si>
    <t>R20-651</t>
  </si>
  <si>
    <t>R20-658</t>
  </si>
  <si>
    <t>R20-665</t>
  </si>
  <si>
    <t>R20-672</t>
  </si>
  <si>
    <t>R20-679</t>
  </si>
  <si>
    <t>R20-686</t>
  </si>
  <si>
    <t>R20-693</t>
  </si>
  <si>
    <t>R20-700</t>
  </si>
  <si>
    <t>R20-707</t>
  </si>
  <si>
    <t>R20-715</t>
  </si>
  <si>
    <t>R20-723</t>
  </si>
  <si>
    <t>R20-730</t>
  </si>
  <si>
    <t>R20-737</t>
  </si>
  <si>
    <t>R20-744</t>
  </si>
  <si>
    <t>R21-1500</t>
  </si>
  <si>
    <t>Land Capability For Agriculture - Yarrow</t>
  </si>
  <si>
    <t>R21-1505</t>
  </si>
  <si>
    <t>Land Capability For Agriculture - Kilgard</t>
  </si>
  <si>
    <t>R21-1510</t>
  </si>
  <si>
    <t>Land Capability For Agriculture - Abbotsford</t>
  </si>
  <si>
    <t>R21-1515</t>
  </si>
  <si>
    <t>Land Capability For Agriculture - Aldergrove</t>
  </si>
  <si>
    <t>R21-1520</t>
  </si>
  <si>
    <t>Land Capability For Agriculture - Whonnock</t>
  </si>
  <si>
    <t>R21-1525</t>
  </si>
  <si>
    <t>Land Capability For Agriculture - Misison</t>
  </si>
  <si>
    <t>R21-1530</t>
  </si>
  <si>
    <t>Land Capability For Agriculture - Dewdney</t>
  </si>
  <si>
    <t>R21-1535</t>
  </si>
  <si>
    <t>Land Capability For Agriculture - Deroche</t>
  </si>
  <si>
    <t>R21-1540</t>
  </si>
  <si>
    <t>Land Capability For Agriculture - Murrayville</t>
  </si>
  <si>
    <t>T07-2467</t>
  </si>
  <si>
    <t>Project - Houston</t>
  </si>
  <si>
    <t>Houston Study: 4 Terrain Suitability For Urban Development</t>
  </si>
  <si>
    <t>T15-4631</t>
  </si>
  <si>
    <t>093C14</t>
  </si>
  <si>
    <t>Project - Upper Dean River</t>
  </si>
  <si>
    <t>Upper Dean River: 1  Vegetation - Forest Zonation &amp; Present Ecological Condition  (North Half)</t>
  </si>
  <si>
    <t>T15-4632</t>
  </si>
  <si>
    <t>093C12</t>
  </si>
  <si>
    <t>Upper Dean River: 2  Vegetation - Forest Zonation &amp; Present Ecological Condition  (South Half)</t>
  </si>
  <si>
    <t>R21-1545</t>
  </si>
  <si>
    <t>Land Capability For Agriculture - Langley</t>
  </si>
  <si>
    <t>R21-1550</t>
  </si>
  <si>
    <t>Land Capability For Agriculture - White Rock</t>
  </si>
  <si>
    <t>R21-1555</t>
  </si>
  <si>
    <t>Land Capability For Agriculture - Crescent Beach</t>
  </si>
  <si>
    <t>R21-1560</t>
  </si>
  <si>
    <t>Land Capability For Agriculture - New Westminster</t>
  </si>
  <si>
    <t>R21-1565</t>
  </si>
  <si>
    <t>Land Capability For Agriculture - Port Mann</t>
  </si>
  <si>
    <t>R21-1570</t>
  </si>
  <si>
    <t>Land Capability For Agriculture - Port Hammong</t>
  </si>
  <si>
    <t>R21-1575</t>
  </si>
  <si>
    <t>Land Capability For Agriculture - Fort Langley</t>
  </si>
  <si>
    <t>R21-1580</t>
  </si>
  <si>
    <t>Land Capability For Agriculture - Ladner</t>
  </si>
  <si>
    <t>R21-1585</t>
  </si>
  <si>
    <t>Land Capability For Agriculture - Westham Island</t>
  </si>
  <si>
    <t>R21-1590</t>
  </si>
  <si>
    <t>Land Capability For Agriculture - Sea Island</t>
  </si>
  <si>
    <t>R21-1595</t>
  </si>
  <si>
    <t>Land Capability For Agriculture - Mitchell Island</t>
  </si>
  <si>
    <t>R21-1601</t>
  </si>
  <si>
    <t>Land Capability For Agriculture</t>
  </si>
  <si>
    <t>R21-1604</t>
  </si>
  <si>
    <t>Land Capability For Agriculture - North Vancouver</t>
  </si>
  <si>
    <t>R21-1607</t>
  </si>
  <si>
    <t>Land Capability For Agriculture - Port Coquitlam</t>
  </si>
  <si>
    <t>R21-1610</t>
  </si>
  <si>
    <t>Land Capability For Agriculture - Lower Pitt Lake</t>
  </si>
  <si>
    <t>R21-1615</t>
  </si>
  <si>
    <t>Land Capability For Agriculture - Pitt River</t>
  </si>
  <si>
    <t>R21-1620</t>
  </si>
  <si>
    <t>Land Capability For Agriculture - Stave Lake</t>
  </si>
  <si>
    <t>R21-1623</t>
  </si>
  <si>
    <t>Land Capability For Agriculture - Langley-Vancouver Map Area (Golden Ears)</t>
  </si>
  <si>
    <t>R21-1669</t>
  </si>
  <si>
    <t>Land Capability For Agriculture - Chilliwack-Agassiz Map Area</t>
  </si>
  <si>
    <t>R21-1672</t>
  </si>
  <si>
    <t>Land Capability For Agriculture - Tamihi Creek</t>
  </si>
  <si>
    <t>R21-1676</t>
  </si>
  <si>
    <t>Land Capability For Agriculture - Vedder Crossing</t>
  </si>
  <si>
    <t>R21-1680</t>
  </si>
  <si>
    <t>Land Capability For Agriculture - Chilliwack</t>
  </si>
  <si>
    <t>R21-1684</t>
  </si>
  <si>
    <t>Land Capability For Agriculture - Rosedale</t>
  </si>
  <si>
    <t>R21-1688</t>
  </si>
  <si>
    <t>R21-1692</t>
  </si>
  <si>
    <t>R21-1696</t>
  </si>
  <si>
    <t>R21-1700</t>
  </si>
  <si>
    <t>R21-1704</t>
  </si>
  <si>
    <t>R21-1708</t>
  </si>
  <si>
    <t>R21-1712</t>
  </si>
  <si>
    <t>R21-1716</t>
  </si>
  <si>
    <t>R21-5058</t>
  </si>
  <si>
    <t>Soil Survey of South Vancouver Agriculture Land Reserve - Sea Island</t>
  </si>
  <si>
    <t>R22-154</t>
  </si>
  <si>
    <t>Soil Suitability For Septic Tank Effluent Absorption  Part Sheet</t>
  </si>
  <si>
    <t>R22-161</t>
  </si>
  <si>
    <t>R22-167</t>
  </si>
  <si>
    <t>R22-173</t>
  </si>
  <si>
    <t>R22-180</t>
  </si>
  <si>
    <t>R22-186</t>
  </si>
  <si>
    <t>R22-192</t>
  </si>
  <si>
    <t>R22-199</t>
  </si>
  <si>
    <t>R22-205</t>
  </si>
  <si>
    <t>R22-212</t>
  </si>
  <si>
    <t>R22-219</t>
  </si>
  <si>
    <t>R22-226</t>
  </si>
  <si>
    <t>R22-233</t>
  </si>
  <si>
    <t>R22-240</t>
  </si>
  <si>
    <t>R22-247</t>
  </si>
  <si>
    <t>R22-254</t>
  </si>
  <si>
    <t>R22-261</t>
  </si>
  <si>
    <t>R22-268</t>
  </si>
  <si>
    <t>R22-275</t>
  </si>
  <si>
    <t>R22-282</t>
  </si>
  <si>
    <t>R22-289</t>
  </si>
  <si>
    <t>R22-297</t>
  </si>
  <si>
    <t>R22-304</t>
  </si>
  <si>
    <t>R22-311</t>
  </si>
  <si>
    <t>R22-654</t>
  </si>
  <si>
    <t>R22-661</t>
  </si>
  <si>
    <t>R22-668</t>
  </si>
  <si>
    <t>R22-675</t>
  </si>
  <si>
    <t>R22-682</t>
  </si>
  <si>
    <t>R22-689</t>
  </si>
  <si>
    <t>R22-696</t>
  </si>
  <si>
    <t>R22-703</t>
  </si>
  <si>
    <t>R22-710</t>
  </si>
  <si>
    <t>R22-718</t>
  </si>
  <si>
    <t>R22-726</t>
  </si>
  <si>
    <t>R22-733</t>
  </si>
  <si>
    <t>R22-740</t>
  </si>
  <si>
    <t>R22-747</t>
  </si>
  <si>
    <t>R22-948</t>
  </si>
  <si>
    <t>R22-956</t>
  </si>
  <si>
    <t>R22-965</t>
  </si>
  <si>
    <t>T01-4510</t>
  </si>
  <si>
    <t>082L093</t>
  </si>
  <si>
    <t>Project - Adams River</t>
  </si>
  <si>
    <t>Adams River: 3-2 Vegetation Types - Map Includes Parts of 82L.082, 82L.083, 82L.092, &amp; 82L.093</t>
  </si>
  <si>
    <t>Adams River - A Resource Analysis, 1977 and Supplement</t>
  </si>
  <si>
    <t>T01-4513</t>
  </si>
  <si>
    <t>Adams River: 3-1 Present Vegetation</t>
  </si>
  <si>
    <t>T01-614</t>
  </si>
  <si>
    <t>Adams River: 1-1 Landforms of Huihill Creek &amp; Nikwikwaia Creek Drainage Basin</t>
  </si>
  <si>
    <t>T01-615</t>
  </si>
  <si>
    <t>Adams River: 1-2 Landforms of Adams River Valley - Map Includes Parts of 82L.082, 82L.083, 82L.092, &amp; 82L.093</t>
  </si>
  <si>
    <t>T02-4516</t>
  </si>
  <si>
    <t>Project - Coldstream Creek</t>
  </si>
  <si>
    <t>Erosion Potential For Coldstream Creek Watershed: 4  Aquatic Biophysical - Map Contains Parts of 82L/03 &amp; 82L/06</t>
  </si>
  <si>
    <t>T02-4517</t>
  </si>
  <si>
    <t>Erosion Potential For Coldstream Creek Watershed: 5  Land Status - Map Contains Parts of 82L/03 &amp; 82L/06</t>
  </si>
  <si>
    <t>T02-616</t>
  </si>
  <si>
    <t>Erosion Potential For Coldstream Creek Watershed: 1  Cover - Map Contains Parts of 82L/03 &amp; 82L/06</t>
  </si>
  <si>
    <t>Soils and Soil Erosion Ratings of the Coldstream and Vaseux Creek Watersheds</t>
  </si>
  <si>
    <t>T02-617</t>
  </si>
  <si>
    <t>Erosion Potential For Coldstream Creek Watershed: 10 Potential Soil Erosion Map 4 - Map Contains Parts of 82L/03 &amp; 82L/06</t>
  </si>
  <si>
    <t>T02-618</t>
  </si>
  <si>
    <t>Erosion Potential For Coldstream Creek Watershed: 11 Potential Soil Erosion Map 5 - Map Contains Parts of 82L/03 &amp; 82L/06</t>
  </si>
  <si>
    <t>T02-619</t>
  </si>
  <si>
    <t>Erosion Potential For Coldstream Creek Watershed: 12 Potential Soil Erosion Map 6 - Map Contains Parts of 82L/03 &amp; 82L/06</t>
  </si>
  <si>
    <t>T02-620</t>
  </si>
  <si>
    <t>Erosion Potential For Coldstream Creek Watershed: 2  Soils - Map Contains Parts of 82L/03 &amp; 82L/06</t>
  </si>
  <si>
    <t>T02-621</t>
  </si>
  <si>
    <t>Erosion Potential For Coldstream Creek Watershed: 3  Stream Channel Stability - Map Contains Parts of 82L/03 &amp; 82L/06</t>
  </si>
  <si>
    <t>T02-623</t>
  </si>
  <si>
    <t>Erosion Potential For Coldstream Creek Watershed: 7  Potential Soil Erosion Map 1 - Map Contains Parts of 82L/03 &amp; 82L/06</t>
  </si>
  <si>
    <t>T02-624</t>
  </si>
  <si>
    <t>Erosion Potential For Coldstream Creek Watershed: 8  Potential Soil Erosion Map 2 - Map Contains Parts of 82L/03 &amp; 82L/06</t>
  </si>
  <si>
    <t>T02-625</t>
  </si>
  <si>
    <t>Erosion Potential For Coldstream Creek Watershed: 9  Potential Soil Erosion Map 3 - Map Contains Parts of 82L/03 &amp; 82L/06</t>
  </si>
  <si>
    <t>T03-5106</t>
  </si>
  <si>
    <t>092G028</t>
  </si>
  <si>
    <t>Project - Constraints to land use</t>
  </si>
  <si>
    <t>Constraints To Land Use Imposed By The Slope of The Land: Area 1 - Pitt Meadows Highland; Area 2 &amp; 3 - Maple Ridge &amp; North Maple Ridge. Map Contains Parts of 92G.027 &amp; 92G.028</t>
  </si>
  <si>
    <t>T03-5107</t>
  </si>
  <si>
    <t>Constraints To Land Use Imposed By The Slope of The Land: Area 4 &amp; 5 - Whonnock Lake &amp; Thornhill. Map Contains Parts of 92G.018 &amp; 92G.028</t>
  </si>
  <si>
    <t>T03-5108</t>
  </si>
  <si>
    <t>092G029</t>
  </si>
  <si>
    <t>Constraints To Land Use Imposed By The Slope of The Land: Area 6 - Stave Lake. Map Contains Parts of 92G.019 &amp; 92G.029</t>
  </si>
  <si>
    <t>T03-5109</t>
  </si>
  <si>
    <t>092G019</t>
  </si>
  <si>
    <t>Constraints To Land Use Imposed By The Slope of The Land: Area 7 &amp; 8 - Silverhill &amp; Mission</t>
  </si>
  <si>
    <t>T03-5110</t>
  </si>
  <si>
    <t>Constraints To Land Use Imposed By The Slope of The Land: Area 9 - Steelhead; Area 10 - Mcconnell</t>
  </si>
  <si>
    <t>T03-5111</t>
  </si>
  <si>
    <t>092G030</t>
  </si>
  <si>
    <t>Constraints To Land Use Imposed By The Slope of The Land: Area 11 - Deroche - Lake Errock. Map Contains Parts of 92G.020 &amp; 92G.030</t>
  </si>
  <si>
    <t>T05-115</t>
  </si>
  <si>
    <t>Project - Vaseux Creek</t>
  </si>
  <si>
    <t>Erosion Potential For Vaseux Creek Watershed: 1  Cover -  Map Contains Parts of 82E/03 &amp; 82E/06</t>
  </si>
  <si>
    <t>T05-116</t>
  </si>
  <si>
    <t>Erosion Potential For Vaseux Creek Watershed: 10 Potential Soil Erosion Map 4 - Map Contains Parts of 82E/03 &amp; 82E/06</t>
  </si>
  <si>
    <t>T05-117</t>
  </si>
  <si>
    <t>Erosion Potential For Vaseux Creek Watershed: 11 Potential Soil Erosion Map 5 - Map Contains Parts of 82E/03 &amp; 82E/06</t>
  </si>
  <si>
    <t>T05-118</t>
  </si>
  <si>
    <t>Erosion Potential For Vaseux Creek Watershed: 12 Potential Soil Erosion Map 6 - Map Contains Parts of 82E/03 &amp; 82E/06</t>
  </si>
  <si>
    <t>T05-119</t>
  </si>
  <si>
    <t>Erosion Potential For Vaseux Creek Watershed: 2  Soils - Map Contains Parts of 82E/03 &amp; 82E/06</t>
  </si>
  <si>
    <t>T05-120</t>
  </si>
  <si>
    <t>Erosion Potential For Vaseux Creek Watershed: 3  Stream Channel Stability - Map Contains Parts of 82E/03 &amp; 82E/06</t>
  </si>
  <si>
    <t>T05-121</t>
  </si>
  <si>
    <t>Erosion Potential For Vaseux Creek Watershed: 4  Aquatic Biophysical - Map Contains Parts of 82E/03 &amp; 82E/06</t>
  </si>
  <si>
    <t>T05-122</t>
  </si>
  <si>
    <t>Erosion Potential For Vaseux Creek Watershed: 5  Land Status - Map Contains Parts of 82E/03 &amp; 82E/06</t>
  </si>
  <si>
    <t>T05-124</t>
  </si>
  <si>
    <t>Erosion Potential For Vaseux Creek Watershed: 7  Potential Soil Erosion Map 1 - Map Contains Parts of 82E/03 &amp; 82E/06</t>
  </si>
  <si>
    <t>T05-125</t>
  </si>
  <si>
    <t>Erosion Potential For Vaseux Creek Watershed: 8  Potential Soil Erosion Map 2 - Map Contains Parts of 82E/03 &amp; 82E/06</t>
  </si>
  <si>
    <t>T05-126</t>
  </si>
  <si>
    <t>Erosion Potential For Vaseux Creek Watershed: 9  Potential Soil Erosion Map 3 - Map Contains Parts of 82E/03 &amp; 82E/06</t>
  </si>
  <si>
    <t>T06-2619</t>
  </si>
  <si>
    <t>Project - Groundbirch</t>
  </si>
  <si>
    <t>Groundbirch Pasture Reserve Study: 0  Cover: Map Contains Parts of 93P/10 &amp; 93P/11</t>
  </si>
  <si>
    <t>T06-2621</t>
  </si>
  <si>
    <t>Groundbirch Pasture Reserve Study: Climate Capability For Agriculture - Map 6: Map Contains Parts of 93P/10 &amp; 93P/11</t>
  </si>
  <si>
    <t>T06-2622</t>
  </si>
  <si>
    <t>Groundbirch Pasture Reserve Study: Climate Capability Legend For Map 6: Map Contains Parts of 93P/10 &amp; 93P/11</t>
  </si>
  <si>
    <t>T06-2623</t>
  </si>
  <si>
    <t>Groundbirch Pasture Reserve Study:  Agriculture Capability - Map 1: Map Contains Parts of 93P/10 &amp; 93P/11</t>
  </si>
  <si>
    <t>T06-2625</t>
  </si>
  <si>
    <t>Groundbirch Pasture Reserve Study:  Agriculture Capability Legend For Map 1: Map Contains Parts of 93P/10 &amp; 93P/11</t>
  </si>
  <si>
    <t>T08-1743</t>
  </si>
  <si>
    <t>Project - Kamloops</t>
  </si>
  <si>
    <t>Kamloops Effluent Irrigation Project: 2C Irrigable Area &amp; Average Seasonal Irrigation Requirements: Ashcroft</t>
  </si>
  <si>
    <t>Soil Suitability for Effluent Irrigation, Kamloops Area</t>
  </si>
  <si>
    <t>T08-2201</t>
  </si>
  <si>
    <t>093D14</t>
  </si>
  <si>
    <t>Project - Kimsquit</t>
  </si>
  <si>
    <t>Kimsquit Study - Landform-Slope-Soil/Vegetation: Kimsquit River No Legend</t>
  </si>
  <si>
    <t>Landform, Topography and Soils / Vegetation, Kimsquit Watershed</t>
  </si>
  <si>
    <t>T08-2202</t>
  </si>
  <si>
    <t>093D15</t>
  </si>
  <si>
    <t>Kimsquit Study - Landform-Slope-Soil/Vegetation: Kimsquit No Legend</t>
  </si>
  <si>
    <t>T08-2205</t>
  </si>
  <si>
    <t>093E03</t>
  </si>
  <si>
    <t>Kimsquit Study - Landform-Slope-Soil/Vegetation: Foresight Mountain No Legend</t>
  </si>
  <si>
    <t>T08-2206</t>
  </si>
  <si>
    <t>093E06</t>
  </si>
  <si>
    <t>Kimsquit Study - Landform-Slope-Soil/Vegetation: Chikamin Mountain No Legend</t>
  </si>
  <si>
    <t>T08-2635</t>
  </si>
  <si>
    <t>093E02</t>
  </si>
  <si>
    <t>Kimsquit Study - Landform-Slope-Soil/Vegetation: Tesla Lake No Legend</t>
  </si>
  <si>
    <t>T09-1385</t>
  </si>
  <si>
    <t>Project - Cypress - Lawson</t>
  </si>
  <si>
    <t>Cypress Creek To Lawson Creek Area: 1 Surficial Topography &amp; Deposits</t>
  </si>
  <si>
    <t>T09-1386</t>
  </si>
  <si>
    <t>Cypress Creek To Lawson Creek Area: 2 Slope</t>
  </si>
  <si>
    <t>T09-1388</t>
  </si>
  <si>
    <t>Cypress Creek To Lawson Creek Area: 3 Natural Drainage</t>
  </si>
  <si>
    <t>T09-1390</t>
  </si>
  <si>
    <t>Cypress Creek To Lawson Creek Area: Map 2  Slope Overlay</t>
  </si>
  <si>
    <t>T09-4541</t>
  </si>
  <si>
    <t>Lower Cypress Bowl Road Study - Slope  (1 Sheet)</t>
  </si>
  <si>
    <t>T09-4543</t>
  </si>
  <si>
    <t>Project - Cypress Bowl</t>
  </si>
  <si>
    <t>Cypress Bowl Park  (4 Themes, All Overlays) Map 3 Natural Drainage</t>
  </si>
  <si>
    <t>Cypress Park special planning process : background information / prepared by: Land Use Coordination Office : for Cypress Inter-Ministry Advisory Committee.</t>
  </si>
  <si>
    <t>T09-5114</t>
  </si>
  <si>
    <t>Cypress Bowl Park  (4 Themes, All Overlays) Map 1 Surficial Topography and Deposits</t>
  </si>
  <si>
    <t>T11-1998</t>
  </si>
  <si>
    <t>Project - Louis Creek</t>
  </si>
  <si>
    <t>Louis Creek Project: 10 Climate Capability For Agriculture - Dryland Ratings</t>
  </si>
  <si>
    <t>T11-1999</t>
  </si>
  <si>
    <t>Louis Creek Project: 11 Climate Capability For Agriculture - Improved Ratings</t>
  </si>
  <si>
    <t>T11-2004</t>
  </si>
  <si>
    <t>Louis Creek Project: 17 Agriculture Capability (1975 Edition)</t>
  </si>
  <si>
    <t>T11-2005</t>
  </si>
  <si>
    <t>Louis Creek Project: 2  Terrain Hazards</t>
  </si>
  <si>
    <t>T13-2218</t>
  </si>
  <si>
    <t>Project - Northwest Study</t>
  </si>
  <si>
    <t>Northwest Study: 14 Mass Movement Hazard - 3 Class</t>
  </si>
  <si>
    <t>T13-2219</t>
  </si>
  <si>
    <t>Northwest Study: 23 Slope</t>
  </si>
  <si>
    <t>T13-2220</t>
  </si>
  <si>
    <t>Northwest Study: 32 Soil Erosion Hazard - 3 Class</t>
  </si>
  <si>
    <t>T13-2221</t>
  </si>
  <si>
    <t>Northwest Study: 41 Terrain Suitability For Urban Development</t>
  </si>
  <si>
    <t>T13-2246</t>
  </si>
  <si>
    <t>Northwest Study: 15 Mass Movement Hazard - 3 Class</t>
  </si>
  <si>
    <t>T13-2247</t>
  </si>
  <si>
    <t>Northwest Study: 24 Slope</t>
  </si>
  <si>
    <t>T13-2248</t>
  </si>
  <si>
    <t>Northwest Study: 33 Soil Erosion Hazard - 3 Class</t>
  </si>
  <si>
    <t>T13-2255</t>
  </si>
  <si>
    <t>Northwest Study: 16 Mass Movement Hazard - 5 Class</t>
  </si>
  <si>
    <t>T13-2256</t>
  </si>
  <si>
    <t>Northwest Study: 25 Slope</t>
  </si>
  <si>
    <t>T13-2257</t>
  </si>
  <si>
    <t>Northwest Study: 34 Soil Erosion Hazard - 5 Class</t>
  </si>
  <si>
    <t>T13-2258</t>
  </si>
  <si>
    <t>Northwest Study: 42 Terrain Suitability For Urban Development</t>
  </si>
  <si>
    <t>T13-2449</t>
  </si>
  <si>
    <t>Northwest Study: 17 Mass Movement Hazard - 3 Class</t>
  </si>
  <si>
    <t>T13-2450</t>
  </si>
  <si>
    <t>Northwest Study: 26 Slope</t>
  </si>
  <si>
    <t>T13-2451</t>
  </si>
  <si>
    <t>Northwest Study: 35 Soil Erosion Hazard - 3 Class</t>
  </si>
  <si>
    <t>T13-2458</t>
  </si>
  <si>
    <t>Northwest Study: 18 Mass Movement Hazard - 3 Class</t>
  </si>
  <si>
    <t>T13-2459</t>
  </si>
  <si>
    <t>Northwest Study: 27 Slope</t>
  </si>
  <si>
    <t>T13-2460</t>
  </si>
  <si>
    <t>Northwest Study: 36 Soil Erosion Hazard - 3 Class</t>
  </si>
  <si>
    <t>T13-2461</t>
  </si>
  <si>
    <t>Northwest Study: 43 Terrain Suitability For Urban Development</t>
  </si>
  <si>
    <t>T13-2514</t>
  </si>
  <si>
    <t>Northwest Study: 19 Mass Movement Hazard - 3 Class</t>
  </si>
  <si>
    <t>T13-2515</t>
  </si>
  <si>
    <t>Northwest Study: 28 Slope</t>
  </si>
  <si>
    <t>T13-2516</t>
  </si>
  <si>
    <t>Northwest Study: 37 Soil Erosion Hazard - 3 Class</t>
  </si>
  <si>
    <t>T13-2517</t>
  </si>
  <si>
    <t>Northwest Study: 44 Terrain Suitability For Urban Development</t>
  </si>
  <si>
    <t>T13-2524</t>
  </si>
  <si>
    <t>Northwest Study: 20 Mass Movement Hazard - 3 Class</t>
  </si>
  <si>
    <t>T13-2525</t>
  </si>
  <si>
    <t>Northwest Study: 29 Slope</t>
  </si>
  <si>
    <t>T13-2526</t>
  </si>
  <si>
    <t>Northwest Study: 38 Soil Erosion Hazard - 3 Class</t>
  </si>
  <si>
    <t>T13-2527</t>
  </si>
  <si>
    <t>Northwest Study: 45 Terrain Suitability For Urban Development</t>
  </si>
  <si>
    <t>T13-2534</t>
  </si>
  <si>
    <t>Northwest Study: Houston Terrain Suitability For Urban Development</t>
  </si>
  <si>
    <t>T13-2536</t>
  </si>
  <si>
    <t>Northwest Study: 21 Mass Movement Hazard - 3 Class</t>
  </si>
  <si>
    <t>T13-2537</t>
  </si>
  <si>
    <t>Northwest Study: 30 Slope</t>
  </si>
  <si>
    <t>T13-2538</t>
  </si>
  <si>
    <t>Northwest Study: 39 Soil Erosion Hazard - 3 Class</t>
  </si>
  <si>
    <t>T13-2539</t>
  </si>
  <si>
    <t>Northwest Study: 46 Terrain Suitability For Urban Development</t>
  </si>
  <si>
    <t>T13-2575</t>
  </si>
  <si>
    <t>Northwest Study: 22 Mass Movement Hazard - 3 Class</t>
  </si>
  <si>
    <t>T13-2576</t>
  </si>
  <si>
    <t>Northwest Study: 31 Slope</t>
  </si>
  <si>
    <t>T13-2577</t>
  </si>
  <si>
    <t>Northwest Study: 40 Soil Erosion Hazard - 3 Class</t>
  </si>
  <si>
    <t>T13-2578</t>
  </si>
  <si>
    <t>Northwest Study: 47 Terrain Suitability For Urban Development</t>
  </si>
  <si>
    <t>T15-2191</t>
  </si>
  <si>
    <t>Upper Dean River Resource Folio: 1  Terrain  (North Half)</t>
  </si>
  <si>
    <t>T15-2192</t>
  </si>
  <si>
    <t>Upper Dean River Resource Folio: 2  Terrain  (South Half)</t>
  </si>
  <si>
    <t>T15-2195</t>
  </si>
  <si>
    <t>Upper Dean River Resource Folio: 3  Agriculture Capability  (North Half)</t>
  </si>
  <si>
    <t>T15-2196</t>
  </si>
  <si>
    <t>Upper Dean River Resource Folio: 4  Agriculture Capability  (South Half)</t>
  </si>
  <si>
    <t>T17-4637</t>
  </si>
  <si>
    <t>Project - Williston</t>
  </si>
  <si>
    <t>Williston: Soil Erosion Hazard-Anticipated Extent of Reservoir Bank Caving Above 2215"</t>
  </si>
  <si>
    <t>T17-4638</t>
  </si>
  <si>
    <t>093O/NW</t>
  </si>
  <si>
    <t>T17-4639</t>
  </si>
  <si>
    <t>093O/SW</t>
  </si>
  <si>
    <t>T17-4640</t>
  </si>
  <si>
    <t>094B/SW</t>
  </si>
  <si>
    <t>T17-4641</t>
  </si>
  <si>
    <t>094C/NE</t>
  </si>
  <si>
    <t>T17-4642</t>
  </si>
  <si>
    <t>094C/NW</t>
  </si>
  <si>
    <t>T17-4643</t>
  </si>
  <si>
    <t>094C/SE</t>
  </si>
  <si>
    <t>T18-2476</t>
  </si>
  <si>
    <t>Project - Smithers</t>
  </si>
  <si>
    <t>Smithers Study Area: 4  Terrain Suitability For Urban Development</t>
  </si>
  <si>
    <t>Smithers Study Area Atlas</t>
  </si>
  <si>
    <t>The report is available from the Pacific Northwest Community College Library at the following URL:</t>
  </si>
  <si>
    <t>T18-2479</t>
  </si>
  <si>
    <t>Smithers Study Area: 7  Agriculture Capability Map Covers Parts of 93L/Ne, 93L/Nw, 93M/Se &amp; 93M/Sw</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</si>
</sst>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font>
    <font>
      <b/>
      <sz val="11"/>
      <name val="Calibri"/>
      <family val="2"/>
    </font>
    <font>
      <b/>
      <sz val="12"/>
      <color theme="1"/>
      <name val="Calibri"/>
      <family val="2"/>
      <scheme val="minor"/>
    </font>
  </fonts>
  <fills count="3">
    <fill>
      <patternFill patternType="none"/>
    </fill>
    <fill>
      <patternFill patternType="gray125"/>
    </fill>
    <fill>
      <patternFill patternType="solid">
        <fgColor indexed="2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0" borderId="1" xfId="0" applyFont="1" applyBorder="1"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3" fillId="0" borderId="1" xfId="1" applyBorder="1" applyAlignment="1" applyProtection="1">
      <alignment vertical="center"/>
    </xf>
    <xf numFmtId="0" fontId="3" fillId="0" borderId="1" xfId="1" applyBorder="1" applyAlignment="1" applyProtection="1">
      <alignment vertical="center" wrapText="1"/>
    </xf>
    <xf numFmtId="0" fontId="0" fillId="0" borderId="0" xfId="0" applyAlignment="1">
      <alignment vertical="center"/>
    </xf>
    <xf numFmtId="0" fontId="0" fillId="0" borderId="0" xfId="0" applyAlignment="1">
      <alignment vertical="center" wrapText="1"/>
    </xf>
    <xf numFmtId="0" fontId="5" fillId="2" borderId="2" xfId="0" applyFont="1" applyFill="1" applyBorder="1" applyAlignment="1">
      <alignment vertical="center"/>
    </xf>
    <xf numFmtId="0" fontId="0" fillId="0" borderId="0" xfId="0" quotePrefix="1"/>
    <xf numFmtId="0" fontId="3" fillId="0" borderId="0" xfId="1" applyAlignment="1" applyProtection="1"/>
    <xf numFmtId="0" fontId="1"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ebmaps.gov.bc.ca/imfz/imf.jsp?site=imapbc"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ebmaps.gov.bc.ca/imfx/imf.jsp?site=imapbc" TargetMode="External"/><Relationship Id="rId1" Type="http://schemas.openxmlformats.org/officeDocument/2006/relationships/hyperlink" Target="https://apps.gov.bc.ca/pub/geometadata/metadataDetail.do?from=search&amp;edit=true&amp;showall=showall&amp;recordSet=ISO19115&amp;recordUID=55919" TargetMode="External"/></Relationships>
</file>

<file path=xl/worksheets/sheet1.xml><?xml version="1.0" encoding="utf-8"?>
<worksheet xmlns="http://schemas.openxmlformats.org/spreadsheetml/2006/main" xmlns:r="http://schemas.openxmlformats.org/officeDocument/2006/relationships">
  <dimension ref="A1:D14"/>
  <sheetViews>
    <sheetView workbookViewId="0"/>
  </sheetViews>
  <sheetFormatPr defaultRowHeight="15"/>
  <cols>
    <col min="1" max="1" width="20.7109375" customWidth="1"/>
    <col min="2" max="2" width="25.7109375" customWidth="1"/>
    <col min="3" max="3" width="50.7109375" customWidth="1"/>
    <col min="4" max="4" width="65.7109375" customWidth="1"/>
  </cols>
  <sheetData>
    <row r="1" spans="1:4" ht="18.75">
      <c r="A1" s="1"/>
      <c r="B1" s="2" t="s">
        <v>0</v>
      </c>
      <c r="C1" s="2" t="s">
        <v>1</v>
      </c>
      <c r="D1" s="3"/>
    </row>
    <row r="2" spans="1:4" ht="75">
      <c r="A2" s="12" t="s">
        <v>15</v>
      </c>
      <c r="B2" s="4" t="s">
        <v>3</v>
      </c>
      <c r="C2" s="4" t="s">
        <v>4</v>
      </c>
      <c r="D2" s="5" t="s">
        <v>16</v>
      </c>
    </row>
    <row r="3" spans="1:4" ht="45">
      <c r="A3" s="12"/>
      <c r="B3" s="4" t="s">
        <v>17</v>
      </c>
      <c r="C3" s="4" t="s">
        <v>18</v>
      </c>
      <c r="D3" s="4"/>
    </row>
    <row r="4" spans="1:4" ht="75">
      <c r="A4" s="12"/>
      <c r="B4" s="4" t="s">
        <v>9</v>
      </c>
      <c r="C4" s="4" t="s">
        <v>19</v>
      </c>
      <c r="D4" s="4"/>
    </row>
    <row r="5" spans="1:4" ht="60">
      <c r="A5" s="12"/>
      <c r="B5" s="4" t="s">
        <v>11</v>
      </c>
      <c r="C5" s="4" t="s">
        <v>20</v>
      </c>
      <c r="D5" s="4"/>
    </row>
    <row r="6" spans="1:4" ht="60">
      <c r="A6" s="12"/>
      <c r="B6" s="4" t="s">
        <v>13</v>
      </c>
      <c r="C6" s="4" t="s">
        <v>14</v>
      </c>
      <c r="D6" s="4"/>
    </row>
    <row r="7" spans="1:4">
      <c r="A7" s="7"/>
      <c r="B7" s="8"/>
      <c r="C7" s="8"/>
      <c r="D7" s="8"/>
    </row>
    <row r="8" spans="1:4">
      <c r="A8" s="7"/>
      <c r="B8" s="8"/>
      <c r="C8" s="8"/>
      <c r="D8" s="8"/>
    </row>
    <row r="9" spans="1:4">
      <c r="A9" s="7"/>
      <c r="B9" s="8"/>
      <c r="C9" s="8"/>
      <c r="D9" s="8"/>
    </row>
    <row r="10" spans="1:4">
      <c r="A10" s="7"/>
      <c r="B10" s="8"/>
      <c r="C10" s="8"/>
      <c r="D10" s="8"/>
    </row>
    <row r="11" spans="1:4">
      <c r="A11" s="7"/>
      <c r="B11" s="8"/>
      <c r="C11" s="8"/>
      <c r="D11" s="8"/>
    </row>
    <row r="12" spans="1:4">
      <c r="A12" s="7"/>
      <c r="B12" s="8"/>
      <c r="C12" s="8"/>
      <c r="D12" s="8"/>
    </row>
    <row r="13" spans="1:4">
      <c r="A13" s="7"/>
      <c r="B13" s="8"/>
      <c r="C13" s="8"/>
      <c r="D13" s="8"/>
    </row>
    <row r="14" spans="1:4">
      <c r="A14" s="7"/>
      <c r="B14" s="8"/>
      <c r="C14" s="8"/>
      <c r="D14" s="8"/>
    </row>
  </sheetData>
  <mergeCells count="1">
    <mergeCell ref="A2:A6"/>
  </mergeCells>
  <hyperlinks>
    <hyperlink ref="D2" r:id="rId1" display="https://webmaps.gov.bc.ca/imfz/imf.jsp?site=imapbc"/>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6"/>
  <sheetViews>
    <sheetView workbookViewId="0"/>
  </sheetViews>
  <sheetFormatPr defaultRowHeight="15"/>
  <cols>
    <col min="1" max="1" width="20.7109375" customWidth="1"/>
    <col min="2" max="2" width="25.7109375" customWidth="1"/>
    <col min="3" max="3" width="50.7109375" customWidth="1"/>
    <col min="4" max="4" width="65.7109375" customWidth="1"/>
  </cols>
  <sheetData>
    <row r="1" spans="1:4" ht="18.75">
      <c r="A1" s="1"/>
      <c r="B1" s="2" t="s">
        <v>0</v>
      </c>
      <c r="C1" s="2" t="s">
        <v>1</v>
      </c>
      <c r="D1" s="3"/>
    </row>
    <row r="2" spans="1:4" ht="75">
      <c r="A2" s="12" t="s">
        <v>2</v>
      </c>
      <c r="B2" s="4" t="s">
        <v>3</v>
      </c>
      <c r="C2" s="4" t="s">
        <v>4</v>
      </c>
      <c r="D2" s="5" t="s">
        <v>5</v>
      </c>
    </row>
    <row r="3" spans="1:4" ht="75">
      <c r="A3" s="12"/>
      <c r="B3" s="4" t="s">
        <v>6</v>
      </c>
      <c r="C3" s="4" t="s">
        <v>7</v>
      </c>
      <c r="D3" s="6" t="s">
        <v>8</v>
      </c>
    </row>
    <row r="4" spans="1:4" ht="75">
      <c r="A4" s="12"/>
      <c r="B4" s="4" t="s">
        <v>9</v>
      </c>
      <c r="C4" s="4" t="s">
        <v>10</v>
      </c>
      <c r="D4" s="4"/>
    </row>
    <row r="5" spans="1:4" ht="45">
      <c r="A5" s="12"/>
      <c r="B5" s="4" t="s">
        <v>11</v>
      </c>
      <c r="C5" s="4" t="s">
        <v>12</v>
      </c>
      <c r="D5" s="4"/>
    </row>
    <row r="6" spans="1:4" ht="60">
      <c r="A6" s="12"/>
      <c r="B6" s="4" t="s">
        <v>13</v>
      </c>
      <c r="C6" s="4" t="s">
        <v>14</v>
      </c>
      <c r="D6" s="4"/>
    </row>
  </sheetData>
  <mergeCells count="1">
    <mergeCell ref="A2:A6"/>
  </mergeCells>
  <hyperlinks>
    <hyperlink ref="D3" r:id="rId1" display="https://apps.gov.bc.ca/pub/geometadata/metadataDetail.do?from=search&amp;edit=true&amp;showall=showall&amp;recordSet=ISO19115&amp;recordUID=55919"/>
    <hyperlink ref="D2" r:id="rId2" display="http://webmaps.gov.bc.ca/imfx/imf.jsp?site=imapbc"/>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H3236"/>
  <sheetViews>
    <sheetView tabSelected="1" workbookViewId="0">
      <pane xSplit="1" ySplit="1" topLeftCell="B2" activePane="bottomRight" state="frozenSplit"/>
      <selection pane="topRight" activeCell="B1" sqref="B1"/>
      <selection pane="bottomLeft" activeCell="A2" sqref="A2"/>
      <selection pane="bottomRight"/>
    </sheetView>
  </sheetViews>
  <sheetFormatPr defaultRowHeight="15"/>
  <cols>
    <col min="1" max="1" width="17.28515625" bestFit="1" customWidth="1"/>
    <col min="2" max="2" width="12.140625" bestFit="1" customWidth="1"/>
    <col min="3" max="3" width="19.5703125" bestFit="1" customWidth="1"/>
    <col min="4" max="4" width="22.5703125" bestFit="1" customWidth="1"/>
    <col min="5" max="5" width="58" bestFit="1" customWidth="1"/>
    <col min="6" max="6" width="180.85546875" bestFit="1" customWidth="1"/>
    <col min="7" max="7" width="11" bestFit="1" customWidth="1"/>
    <col min="8" max="8" width="48.28515625" bestFit="1" customWidth="1"/>
    <col min="9" max="9" width="173.85546875" bestFit="1" customWidth="1"/>
    <col min="10" max="11" width="12.42578125" bestFit="1" customWidth="1"/>
    <col min="12" max="12" width="9.85546875" bestFit="1" customWidth="1"/>
    <col min="13" max="13" width="16.5703125" bestFit="1" customWidth="1"/>
    <col min="14" max="14" width="19.42578125" bestFit="1" customWidth="1"/>
    <col min="15" max="15" width="23.42578125" bestFit="1" customWidth="1"/>
    <col min="16" max="16" width="19.5703125" bestFit="1" customWidth="1"/>
    <col min="17" max="17" width="94.5703125" bestFit="1" customWidth="1"/>
    <col min="18" max="18" width="86" bestFit="1" customWidth="1"/>
    <col min="19" max="19" width="89.42578125" bestFit="1" customWidth="1"/>
    <col min="20" max="20" width="83.28515625" bestFit="1" customWidth="1"/>
    <col min="21" max="21" width="90.42578125" bestFit="1" customWidth="1"/>
    <col min="22" max="22" width="68" bestFit="1" customWidth="1"/>
    <col min="23" max="23" width="80.42578125" bestFit="1" customWidth="1"/>
    <col min="24" max="24" width="65.7109375" bestFit="1" customWidth="1"/>
    <col min="25" max="25" width="79" bestFit="1" customWidth="1"/>
    <col min="26" max="26" width="65.7109375" bestFit="1" customWidth="1"/>
    <col min="27" max="27" width="75.7109375" bestFit="1" customWidth="1"/>
    <col min="28" max="28" width="65.7109375" bestFit="1" customWidth="1"/>
    <col min="29" max="29" width="75.7109375" bestFit="1" customWidth="1"/>
    <col min="30" max="30" width="48.7109375" bestFit="1" customWidth="1"/>
    <col min="31" max="31" width="75.7109375" bestFit="1" customWidth="1"/>
    <col min="32" max="32" width="37.28515625" bestFit="1" customWidth="1"/>
    <col min="33" max="33" width="93.42578125" bestFit="1" customWidth="1"/>
    <col min="34" max="34" width="35.85546875" bestFit="1" customWidth="1"/>
  </cols>
  <sheetData>
    <row r="1" spans="1:34" s="7" customFormat="1" ht="50.1" customHeight="1" thickBot="1">
      <c r="A1" s="9" t="s">
        <v>21</v>
      </c>
      <c r="B1" s="9" t="s">
        <v>22</v>
      </c>
      <c r="C1" s="9" t="s">
        <v>23</v>
      </c>
      <c r="D1" s="9" t="s">
        <v>24</v>
      </c>
      <c r="E1" s="9" t="s">
        <v>25</v>
      </c>
      <c r="F1" s="9" t="s">
        <v>26</v>
      </c>
      <c r="G1" s="9" t="s">
        <v>27</v>
      </c>
      <c r="H1" s="9" t="s">
        <v>28</v>
      </c>
      <c r="I1" s="9" t="s">
        <v>29</v>
      </c>
      <c r="J1" s="9" t="s">
        <v>30</v>
      </c>
      <c r="K1" s="9" t="s">
        <v>31</v>
      </c>
      <c r="L1" s="9" t="s">
        <v>32</v>
      </c>
      <c r="M1" s="9" t="s">
        <v>33</v>
      </c>
      <c r="N1" s="9" t="s">
        <v>34</v>
      </c>
      <c r="O1" s="9" t="s">
        <v>35</v>
      </c>
      <c r="P1" s="9" t="s">
        <v>36</v>
      </c>
      <c r="Q1" s="9" t="s">
        <v>37</v>
      </c>
      <c r="R1" s="9" t="s">
        <v>38</v>
      </c>
      <c r="S1" s="9" t="s">
        <v>39</v>
      </c>
      <c r="T1" s="9" t="s">
        <v>40</v>
      </c>
      <c r="U1" s="9" t="s">
        <v>41</v>
      </c>
      <c r="V1" s="9" t="s">
        <v>42</v>
      </c>
      <c r="W1" s="9" t="s">
        <v>43</v>
      </c>
      <c r="X1" s="9" t="s">
        <v>44</v>
      </c>
      <c r="Y1" s="9" t="s">
        <v>45</v>
      </c>
      <c r="Z1" s="9" t="s">
        <v>46</v>
      </c>
      <c r="AA1" s="9" t="s">
        <v>47</v>
      </c>
      <c r="AB1" s="9" t="s">
        <v>48</v>
      </c>
      <c r="AC1" s="9" t="s">
        <v>49</v>
      </c>
      <c r="AD1" s="9" t="s">
        <v>50</v>
      </c>
      <c r="AE1" s="9" t="s">
        <v>51</v>
      </c>
      <c r="AF1" s="9" t="s">
        <v>52</v>
      </c>
      <c r="AG1" s="9" t="s">
        <v>53</v>
      </c>
      <c r="AH1" s="9" t="s">
        <v>54</v>
      </c>
    </row>
    <row r="2" spans="1:34">
      <c r="A2" t="s">
        <v>55</v>
      </c>
      <c r="B2" t="s">
        <v>56</v>
      </c>
      <c r="C2" s="10" t="s">
        <v>57</v>
      </c>
      <c r="D2" t="s">
        <v>58</v>
      </c>
      <c r="E2" t="s">
        <v>59</v>
      </c>
      <c r="F2" t="s">
        <v>60</v>
      </c>
      <c r="G2">
        <v>1000000</v>
      </c>
      <c r="H2">
        <v>1984</v>
      </c>
      <c r="I2" t="s">
        <v>58</v>
      </c>
      <c r="J2" t="s">
        <v>58</v>
      </c>
      <c r="K2" t="s">
        <v>61</v>
      </c>
      <c r="L2" t="s">
        <v>58</v>
      </c>
      <c r="M2" t="s">
        <v>58</v>
      </c>
      <c r="Q2" t="s">
        <v>58</v>
      </c>
      <c r="R2" s="11" t="str">
        <f>HYPERLINK("\\imagefiles.bcgov\imagery\scanned_maps\moe_terrain_maps\Scanned_T_maps_all\B01\B01-4700","\\imagefiles.bcgov\imagery\scanned_maps\moe_terrain_maps\Scanned_T_maps_all\B01\B01-4700")</f>
        <v>\\imagefiles.bcgov\imagery\scanned_maps\moe_terrain_maps\Scanned_T_maps_all\B01\B01-4700</v>
      </c>
      <c r="S2" t="s">
        <v>62</v>
      </c>
      <c r="T2" s="11" t="str">
        <f>HYPERLINK("http://www.env.gov.bc.ca/esd/distdata/ecosystems/TEI_Scanned_Maps/B01/B01-4700","http://www.env.gov.bc.ca/esd/distdata/ecosystems/TEI_Scanned_Maps/B01/B01-4700")</f>
        <v>http://www.env.gov.bc.ca/esd/distdata/ecosystems/TEI_Scanned_Maps/B01/B01-4700</v>
      </c>
      <c r="U2" t="s">
        <v>58</v>
      </c>
      <c r="V2" t="s">
        <v>58</v>
      </c>
      <c r="W2" t="s">
        <v>58</v>
      </c>
      <c r="X2" t="s">
        <v>58</v>
      </c>
      <c r="Y2" t="s">
        <v>58</v>
      </c>
      <c r="Z2" t="s">
        <v>58</v>
      </c>
      <c r="AA2" t="s">
        <v>58</v>
      </c>
      <c r="AC2" t="s">
        <v>58</v>
      </c>
      <c r="AE2" t="s">
        <v>58</v>
      </c>
      <c r="AG2" t="s">
        <v>63</v>
      </c>
      <c r="AH2" s="11" t="str">
        <f t="shared" ref="AH2:AH65" si="0">HYPERLINK("mailto: soilterrain@victoria1.gov.bc.ca","mailto: soilterrain@victoria1.gov.bc.ca")</f>
        <v>mailto: soilterrain@victoria1.gov.bc.ca</v>
      </c>
    </row>
    <row r="3" spans="1:34">
      <c r="A3" t="s">
        <v>64</v>
      </c>
      <c r="B3" t="s">
        <v>56</v>
      </c>
      <c r="C3" s="10" t="s">
        <v>65</v>
      </c>
      <c r="D3" t="s">
        <v>58</v>
      </c>
      <c r="E3" t="s">
        <v>59</v>
      </c>
      <c r="F3" t="s">
        <v>66</v>
      </c>
      <c r="G3">
        <v>1000000</v>
      </c>
      <c r="H3">
        <v>1982</v>
      </c>
      <c r="I3" t="s">
        <v>58</v>
      </c>
      <c r="J3" t="s">
        <v>58</v>
      </c>
      <c r="K3" t="s">
        <v>61</v>
      </c>
      <c r="L3" t="s">
        <v>58</v>
      </c>
      <c r="M3" t="s">
        <v>58</v>
      </c>
      <c r="Q3" t="s">
        <v>58</v>
      </c>
      <c r="R3" s="11" t="str">
        <f>HYPERLINK("\\imagefiles.bcgov\imagery\scanned_maps\moe_terrain_maps\Scanned_T_maps_all\B01\B01-4701","\\imagefiles.bcgov\imagery\scanned_maps\moe_terrain_maps\Scanned_T_maps_all\B01\B01-4701")</f>
        <v>\\imagefiles.bcgov\imagery\scanned_maps\moe_terrain_maps\Scanned_T_maps_all\B01\B01-4701</v>
      </c>
      <c r="S3" t="s">
        <v>62</v>
      </c>
      <c r="T3" s="11" t="str">
        <f>HYPERLINK("http://www.env.gov.bc.ca/esd/distdata/ecosystems/TEI_Scanned_Maps/B01/B01-4701","http://www.env.gov.bc.ca/esd/distdata/ecosystems/TEI_Scanned_Maps/B01/B01-4701")</f>
        <v>http://www.env.gov.bc.ca/esd/distdata/ecosystems/TEI_Scanned_Maps/B01/B01-4701</v>
      </c>
      <c r="U3" t="s">
        <v>58</v>
      </c>
      <c r="V3" t="s">
        <v>58</v>
      </c>
      <c r="W3" t="s">
        <v>58</v>
      </c>
      <c r="X3" t="s">
        <v>58</v>
      </c>
      <c r="Y3" t="s">
        <v>58</v>
      </c>
      <c r="Z3" t="s">
        <v>58</v>
      </c>
      <c r="AA3" t="s">
        <v>58</v>
      </c>
      <c r="AC3" t="s">
        <v>58</v>
      </c>
      <c r="AE3" t="s">
        <v>58</v>
      </c>
      <c r="AG3" t="s">
        <v>63</v>
      </c>
      <c r="AH3" s="11" t="str">
        <f t="shared" si="0"/>
        <v>mailto: soilterrain@victoria1.gov.bc.ca</v>
      </c>
    </row>
    <row r="4" spans="1:34">
      <c r="A4" t="s">
        <v>67</v>
      </c>
      <c r="B4" t="s">
        <v>56</v>
      </c>
      <c r="C4" s="10" t="s">
        <v>68</v>
      </c>
      <c r="D4" t="s">
        <v>58</v>
      </c>
      <c r="E4" t="s">
        <v>59</v>
      </c>
      <c r="F4" t="s">
        <v>69</v>
      </c>
      <c r="G4">
        <v>50000</v>
      </c>
      <c r="H4" t="s">
        <v>70</v>
      </c>
      <c r="I4" t="s">
        <v>58</v>
      </c>
      <c r="J4" t="s">
        <v>58</v>
      </c>
      <c r="K4" t="s">
        <v>61</v>
      </c>
      <c r="L4" t="s">
        <v>58</v>
      </c>
      <c r="M4" t="s">
        <v>58</v>
      </c>
      <c r="Q4" t="s">
        <v>58</v>
      </c>
      <c r="R4" s="11" t="str">
        <f>HYPERLINK("\\imagefiles.bcgov\imagery\scanned_maps\moe_terrain_maps\Scanned_T_maps_all\B01\B01-4702","\\imagefiles.bcgov\imagery\scanned_maps\moe_terrain_maps\Scanned_T_maps_all\B01\B01-4702")</f>
        <v>\\imagefiles.bcgov\imagery\scanned_maps\moe_terrain_maps\Scanned_T_maps_all\B01\B01-4702</v>
      </c>
      <c r="S4" t="s">
        <v>62</v>
      </c>
      <c r="T4" s="11" t="str">
        <f>HYPERLINK("http://www.env.gov.bc.ca/esd/distdata/ecosystems/TEI_Scanned_Maps/B01/B01-4702","http://www.env.gov.bc.ca/esd/distdata/ecosystems/TEI_Scanned_Maps/B01/B01-4702")</f>
        <v>http://www.env.gov.bc.ca/esd/distdata/ecosystems/TEI_Scanned_Maps/B01/B01-4702</v>
      </c>
      <c r="U4" t="s">
        <v>58</v>
      </c>
      <c r="V4" t="s">
        <v>58</v>
      </c>
      <c r="W4" t="s">
        <v>58</v>
      </c>
      <c r="X4" t="s">
        <v>58</v>
      </c>
      <c r="Y4" t="s">
        <v>58</v>
      </c>
      <c r="Z4" t="s">
        <v>58</v>
      </c>
      <c r="AA4" t="s">
        <v>58</v>
      </c>
      <c r="AC4" t="s">
        <v>58</v>
      </c>
      <c r="AE4" t="s">
        <v>58</v>
      </c>
      <c r="AG4" t="s">
        <v>63</v>
      </c>
      <c r="AH4" s="11" t="str">
        <f t="shared" si="0"/>
        <v>mailto: soilterrain@victoria1.gov.bc.ca</v>
      </c>
    </row>
    <row r="5" spans="1:34">
      <c r="A5" t="s">
        <v>71</v>
      </c>
      <c r="B5" t="s">
        <v>56</v>
      </c>
      <c r="C5" s="10" t="s">
        <v>68</v>
      </c>
      <c r="D5" t="s">
        <v>58</v>
      </c>
      <c r="E5" t="s">
        <v>59</v>
      </c>
      <c r="F5" t="s">
        <v>72</v>
      </c>
      <c r="G5">
        <v>50000</v>
      </c>
      <c r="H5" t="s">
        <v>70</v>
      </c>
      <c r="I5" t="s">
        <v>58</v>
      </c>
      <c r="J5" t="s">
        <v>58</v>
      </c>
      <c r="K5" t="s">
        <v>58</v>
      </c>
      <c r="L5" t="s">
        <v>58</v>
      </c>
      <c r="M5" t="s">
        <v>58</v>
      </c>
      <c r="P5" t="s">
        <v>61</v>
      </c>
      <c r="Q5" t="s">
        <v>58</v>
      </c>
      <c r="R5" s="11" t="str">
        <f>HYPERLINK("\\imagefiles.bcgov\imagery\scanned_maps\moe_terrain_maps\Scanned_T_maps_all\B01\B01-4703","\\imagefiles.bcgov\imagery\scanned_maps\moe_terrain_maps\Scanned_T_maps_all\B01\B01-4703")</f>
        <v>\\imagefiles.bcgov\imagery\scanned_maps\moe_terrain_maps\Scanned_T_maps_all\B01\B01-4703</v>
      </c>
      <c r="S5" t="s">
        <v>62</v>
      </c>
      <c r="T5" s="11" t="str">
        <f>HYPERLINK("http://www.env.gov.bc.ca/esd/distdata/ecosystems/TEI_Scanned_Maps/B01/B01-4703","http://www.env.gov.bc.ca/esd/distdata/ecosystems/TEI_Scanned_Maps/B01/B01-4703")</f>
        <v>http://www.env.gov.bc.ca/esd/distdata/ecosystems/TEI_Scanned_Maps/B01/B01-4703</v>
      </c>
      <c r="U5" t="s">
        <v>58</v>
      </c>
      <c r="V5" t="s">
        <v>58</v>
      </c>
      <c r="W5" t="s">
        <v>58</v>
      </c>
      <c r="X5" t="s">
        <v>58</v>
      </c>
      <c r="Y5" t="s">
        <v>58</v>
      </c>
      <c r="Z5" t="s">
        <v>58</v>
      </c>
      <c r="AA5" t="s">
        <v>58</v>
      </c>
      <c r="AC5" t="s">
        <v>58</v>
      </c>
      <c r="AE5" t="s">
        <v>58</v>
      </c>
      <c r="AG5" t="s">
        <v>63</v>
      </c>
      <c r="AH5" s="11" t="str">
        <f t="shared" si="0"/>
        <v>mailto: soilterrain@victoria1.gov.bc.ca</v>
      </c>
    </row>
    <row r="6" spans="1:34">
      <c r="A6" t="s">
        <v>73</v>
      </c>
      <c r="B6" t="s">
        <v>56</v>
      </c>
      <c r="C6" s="10" t="s">
        <v>74</v>
      </c>
      <c r="D6" t="s">
        <v>58</v>
      </c>
      <c r="E6" t="s">
        <v>59</v>
      </c>
      <c r="F6" t="s">
        <v>75</v>
      </c>
      <c r="G6">
        <v>50000</v>
      </c>
      <c r="H6" t="s">
        <v>70</v>
      </c>
      <c r="I6" t="s">
        <v>58</v>
      </c>
      <c r="J6" t="s">
        <v>58</v>
      </c>
      <c r="K6" t="s">
        <v>58</v>
      </c>
      <c r="L6" t="s">
        <v>58</v>
      </c>
      <c r="M6" t="s">
        <v>58</v>
      </c>
      <c r="P6" t="s">
        <v>61</v>
      </c>
      <c r="Q6" t="s">
        <v>58</v>
      </c>
      <c r="R6" s="11" t="str">
        <f>HYPERLINK("\\imagefiles.bcgov\imagery\scanned_maps\moe_terrain_maps\Scanned_T_maps_all\B01\B01-4704","\\imagefiles.bcgov\imagery\scanned_maps\moe_terrain_maps\Scanned_T_maps_all\B01\B01-4704")</f>
        <v>\\imagefiles.bcgov\imagery\scanned_maps\moe_terrain_maps\Scanned_T_maps_all\B01\B01-4704</v>
      </c>
      <c r="S6" t="s">
        <v>62</v>
      </c>
      <c r="T6" s="11" t="str">
        <f>HYPERLINK("http://www.env.gov.bc.ca/esd/distdata/ecosystems/TEI_Scanned_Maps/B01/B01-4704","http://www.env.gov.bc.ca/esd/distdata/ecosystems/TEI_Scanned_Maps/B01/B01-4704")</f>
        <v>http://www.env.gov.bc.ca/esd/distdata/ecosystems/TEI_Scanned_Maps/B01/B01-4704</v>
      </c>
      <c r="U6" t="s">
        <v>58</v>
      </c>
      <c r="V6" t="s">
        <v>58</v>
      </c>
      <c r="W6" t="s">
        <v>58</v>
      </c>
      <c r="X6" t="s">
        <v>58</v>
      </c>
      <c r="Y6" t="s">
        <v>58</v>
      </c>
      <c r="Z6" t="s">
        <v>58</v>
      </c>
      <c r="AA6" t="s">
        <v>58</v>
      </c>
      <c r="AC6" t="s">
        <v>58</v>
      </c>
      <c r="AE6" t="s">
        <v>58</v>
      </c>
      <c r="AG6" t="s">
        <v>63</v>
      </c>
      <c r="AH6" s="11" t="str">
        <f t="shared" si="0"/>
        <v>mailto: soilterrain@victoria1.gov.bc.ca</v>
      </c>
    </row>
    <row r="7" spans="1:34">
      <c r="A7" t="s">
        <v>76</v>
      </c>
      <c r="B7" t="s">
        <v>56</v>
      </c>
      <c r="C7" s="10" t="s">
        <v>74</v>
      </c>
      <c r="D7" t="s">
        <v>58</v>
      </c>
      <c r="E7" t="s">
        <v>59</v>
      </c>
      <c r="F7" t="s">
        <v>77</v>
      </c>
      <c r="G7">
        <v>50000</v>
      </c>
      <c r="H7" t="s">
        <v>70</v>
      </c>
      <c r="I7" t="s">
        <v>58</v>
      </c>
      <c r="J7" t="s">
        <v>58</v>
      </c>
      <c r="K7" t="s">
        <v>61</v>
      </c>
      <c r="L7" t="s">
        <v>58</v>
      </c>
      <c r="M7" t="s">
        <v>58</v>
      </c>
      <c r="Q7" t="s">
        <v>58</v>
      </c>
      <c r="R7" s="11" t="str">
        <f>HYPERLINK("\\imagefiles.bcgov\imagery\scanned_maps\moe_terrain_maps\Scanned_T_maps_all\B01\B01-4705","\\imagefiles.bcgov\imagery\scanned_maps\moe_terrain_maps\Scanned_T_maps_all\B01\B01-4705")</f>
        <v>\\imagefiles.bcgov\imagery\scanned_maps\moe_terrain_maps\Scanned_T_maps_all\B01\B01-4705</v>
      </c>
      <c r="S7" t="s">
        <v>62</v>
      </c>
      <c r="T7" s="11" t="str">
        <f>HYPERLINK("http://www.env.gov.bc.ca/esd/distdata/ecosystems/TEI_Scanned_Maps/B01/B01-4705","http://www.env.gov.bc.ca/esd/distdata/ecosystems/TEI_Scanned_Maps/B01/B01-4705")</f>
        <v>http://www.env.gov.bc.ca/esd/distdata/ecosystems/TEI_Scanned_Maps/B01/B01-4705</v>
      </c>
      <c r="U7" t="s">
        <v>58</v>
      </c>
      <c r="V7" t="s">
        <v>58</v>
      </c>
      <c r="W7" t="s">
        <v>58</v>
      </c>
      <c r="X7" t="s">
        <v>58</v>
      </c>
      <c r="Y7" t="s">
        <v>58</v>
      </c>
      <c r="Z7" t="s">
        <v>58</v>
      </c>
      <c r="AA7" t="s">
        <v>58</v>
      </c>
      <c r="AC7" t="s">
        <v>58</v>
      </c>
      <c r="AE7" t="s">
        <v>58</v>
      </c>
      <c r="AG7" t="s">
        <v>63</v>
      </c>
      <c r="AH7" s="11" t="str">
        <f t="shared" si="0"/>
        <v>mailto: soilterrain@victoria1.gov.bc.ca</v>
      </c>
    </row>
    <row r="8" spans="1:34">
      <c r="A8" t="s">
        <v>78</v>
      </c>
      <c r="B8" t="s">
        <v>56</v>
      </c>
      <c r="C8" s="10" t="s">
        <v>79</v>
      </c>
      <c r="D8" t="s">
        <v>58</v>
      </c>
      <c r="E8" t="s">
        <v>59</v>
      </c>
      <c r="F8" t="s">
        <v>80</v>
      </c>
      <c r="G8">
        <v>50000</v>
      </c>
      <c r="H8" t="s">
        <v>70</v>
      </c>
      <c r="I8" t="s">
        <v>58</v>
      </c>
      <c r="J8" t="s">
        <v>58</v>
      </c>
      <c r="K8" t="s">
        <v>61</v>
      </c>
      <c r="L8" t="s">
        <v>58</v>
      </c>
      <c r="M8" t="s">
        <v>58</v>
      </c>
      <c r="Q8" t="s">
        <v>58</v>
      </c>
      <c r="R8" s="11" t="str">
        <f>HYPERLINK("\\imagefiles.bcgov\imagery\scanned_maps\moe_terrain_maps\Scanned_T_maps_all\B01\B01-4706","\\imagefiles.bcgov\imagery\scanned_maps\moe_terrain_maps\Scanned_T_maps_all\B01\B01-4706")</f>
        <v>\\imagefiles.bcgov\imagery\scanned_maps\moe_terrain_maps\Scanned_T_maps_all\B01\B01-4706</v>
      </c>
      <c r="S8" t="s">
        <v>62</v>
      </c>
      <c r="T8" s="11" t="str">
        <f>HYPERLINK("http://www.env.gov.bc.ca/esd/distdata/ecosystems/TEI_Scanned_Maps/B01/B01-4706","http://www.env.gov.bc.ca/esd/distdata/ecosystems/TEI_Scanned_Maps/B01/B01-4706")</f>
        <v>http://www.env.gov.bc.ca/esd/distdata/ecosystems/TEI_Scanned_Maps/B01/B01-4706</v>
      </c>
      <c r="U8" t="s">
        <v>58</v>
      </c>
      <c r="V8" t="s">
        <v>58</v>
      </c>
      <c r="W8" t="s">
        <v>58</v>
      </c>
      <c r="X8" t="s">
        <v>58</v>
      </c>
      <c r="Y8" t="s">
        <v>58</v>
      </c>
      <c r="Z8" t="s">
        <v>58</v>
      </c>
      <c r="AA8" t="s">
        <v>58</v>
      </c>
      <c r="AC8" t="s">
        <v>58</v>
      </c>
      <c r="AE8" t="s">
        <v>58</v>
      </c>
      <c r="AG8" t="s">
        <v>63</v>
      </c>
      <c r="AH8" s="11" t="str">
        <f t="shared" si="0"/>
        <v>mailto: soilterrain@victoria1.gov.bc.ca</v>
      </c>
    </row>
    <row r="9" spans="1:34">
      <c r="A9" t="s">
        <v>81</v>
      </c>
      <c r="B9" t="s">
        <v>56</v>
      </c>
      <c r="C9" s="10" t="s">
        <v>79</v>
      </c>
      <c r="D9" t="s">
        <v>58</v>
      </c>
      <c r="E9" t="s">
        <v>59</v>
      </c>
      <c r="F9" t="s">
        <v>82</v>
      </c>
      <c r="G9">
        <v>50000</v>
      </c>
      <c r="H9" t="s">
        <v>70</v>
      </c>
      <c r="I9" t="s">
        <v>58</v>
      </c>
      <c r="J9" t="s">
        <v>58</v>
      </c>
      <c r="K9" t="s">
        <v>58</v>
      </c>
      <c r="L9" t="s">
        <v>58</v>
      </c>
      <c r="M9" t="s">
        <v>58</v>
      </c>
      <c r="P9" t="s">
        <v>61</v>
      </c>
      <c r="Q9" t="s">
        <v>58</v>
      </c>
      <c r="R9" s="11" t="str">
        <f>HYPERLINK("\\imagefiles.bcgov\imagery\scanned_maps\moe_terrain_maps\Scanned_T_maps_all\B01\B01-4707","\\imagefiles.bcgov\imagery\scanned_maps\moe_terrain_maps\Scanned_T_maps_all\B01\B01-4707")</f>
        <v>\\imagefiles.bcgov\imagery\scanned_maps\moe_terrain_maps\Scanned_T_maps_all\B01\B01-4707</v>
      </c>
      <c r="S9" t="s">
        <v>62</v>
      </c>
      <c r="T9" s="11" t="str">
        <f>HYPERLINK("http://www.env.gov.bc.ca/esd/distdata/ecosystems/TEI_Scanned_Maps/B01/B01-4707","http://www.env.gov.bc.ca/esd/distdata/ecosystems/TEI_Scanned_Maps/B01/B01-4707")</f>
        <v>http://www.env.gov.bc.ca/esd/distdata/ecosystems/TEI_Scanned_Maps/B01/B01-4707</v>
      </c>
      <c r="U9" t="s">
        <v>58</v>
      </c>
      <c r="V9" t="s">
        <v>58</v>
      </c>
      <c r="W9" t="s">
        <v>58</v>
      </c>
      <c r="X9" t="s">
        <v>58</v>
      </c>
      <c r="Y9" t="s">
        <v>58</v>
      </c>
      <c r="Z9" t="s">
        <v>58</v>
      </c>
      <c r="AA9" t="s">
        <v>58</v>
      </c>
      <c r="AC9" t="s">
        <v>58</v>
      </c>
      <c r="AE9" t="s">
        <v>58</v>
      </c>
      <c r="AG9" t="s">
        <v>63</v>
      </c>
      <c r="AH9" s="11" t="str">
        <f t="shared" si="0"/>
        <v>mailto: soilterrain@victoria1.gov.bc.ca</v>
      </c>
    </row>
    <row r="10" spans="1:34">
      <c r="A10" t="s">
        <v>83</v>
      </c>
      <c r="B10" t="s">
        <v>56</v>
      </c>
      <c r="C10" s="10" t="s">
        <v>84</v>
      </c>
      <c r="D10" t="s">
        <v>58</v>
      </c>
      <c r="E10" t="s">
        <v>59</v>
      </c>
      <c r="F10" t="s">
        <v>85</v>
      </c>
      <c r="G10">
        <v>50000</v>
      </c>
      <c r="H10" t="s">
        <v>70</v>
      </c>
      <c r="I10" t="s">
        <v>58</v>
      </c>
      <c r="J10" t="s">
        <v>58</v>
      </c>
      <c r="K10" t="s">
        <v>61</v>
      </c>
      <c r="L10" t="s">
        <v>58</v>
      </c>
      <c r="M10" t="s">
        <v>58</v>
      </c>
      <c r="Q10" t="s">
        <v>58</v>
      </c>
      <c r="R10" s="11" t="str">
        <f>HYPERLINK("\\imagefiles.bcgov\imagery\scanned_maps\moe_terrain_maps\Scanned_T_maps_all\B01\B01-4708","\\imagefiles.bcgov\imagery\scanned_maps\moe_terrain_maps\Scanned_T_maps_all\B01\B01-4708")</f>
        <v>\\imagefiles.bcgov\imagery\scanned_maps\moe_terrain_maps\Scanned_T_maps_all\B01\B01-4708</v>
      </c>
      <c r="S10" t="s">
        <v>62</v>
      </c>
      <c r="T10" s="11" t="str">
        <f>HYPERLINK("http://www.env.gov.bc.ca/esd/distdata/ecosystems/TEI_Scanned_Maps/B01/B01-4708","http://www.env.gov.bc.ca/esd/distdata/ecosystems/TEI_Scanned_Maps/B01/B01-4708")</f>
        <v>http://www.env.gov.bc.ca/esd/distdata/ecosystems/TEI_Scanned_Maps/B01/B01-4708</v>
      </c>
      <c r="U10" t="s">
        <v>58</v>
      </c>
      <c r="V10" t="s">
        <v>58</v>
      </c>
      <c r="W10" t="s">
        <v>58</v>
      </c>
      <c r="X10" t="s">
        <v>58</v>
      </c>
      <c r="Y10" t="s">
        <v>58</v>
      </c>
      <c r="Z10" t="s">
        <v>58</v>
      </c>
      <c r="AA10" t="s">
        <v>58</v>
      </c>
      <c r="AC10" t="s">
        <v>58</v>
      </c>
      <c r="AE10" t="s">
        <v>58</v>
      </c>
      <c r="AG10" t="s">
        <v>63</v>
      </c>
      <c r="AH10" s="11" t="str">
        <f t="shared" si="0"/>
        <v>mailto: soilterrain@victoria1.gov.bc.ca</v>
      </c>
    </row>
    <row r="11" spans="1:34">
      <c r="A11" t="s">
        <v>86</v>
      </c>
      <c r="B11" t="s">
        <v>56</v>
      </c>
      <c r="C11" s="10" t="s">
        <v>84</v>
      </c>
      <c r="D11" t="s">
        <v>58</v>
      </c>
      <c r="E11" t="s">
        <v>59</v>
      </c>
      <c r="F11" t="s">
        <v>87</v>
      </c>
      <c r="G11">
        <v>50000</v>
      </c>
      <c r="H11" t="s">
        <v>70</v>
      </c>
      <c r="I11" t="s">
        <v>58</v>
      </c>
      <c r="J11" t="s">
        <v>58</v>
      </c>
      <c r="K11" t="s">
        <v>58</v>
      </c>
      <c r="L11" t="s">
        <v>58</v>
      </c>
      <c r="M11" t="s">
        <v>58</v>
      </c>
      <c r="P11" t="s">
        <v>61</v>
      </c>
      <c r="Q11" t="s">
        <v>58</v>
      </c>
      <c r="R11" s="11" t="str">
        <f>HYPERLINK("\\imagefiles.bcgov\imagery\scanned_maps\moe_terrain_maps\Scanned_T_maps_all\B01\B01-4709","\\imagefiles.bcgov\imagery\scanned_maps\moe_terrain_maps\Scanned_T_maps_all\B01\B01-4709")</f>
        <v>\\imagefiles.bcgov\imagery\scanned_maps\moe_terrain_maps\Scanned_T_maps_all\B01\B01-4709</v>
      </c>
      <c r="S11" t="s">
        <v>62</v>
      </c>
      <c r="T11" s="11" t="str">
        <f>HYPERLINK("http://www.env.gov.bc.ca/esd/distdata/ecosystems/TEI_Scanned_Maps/B01/B01-4709","http://www.env.gov.bc.ca/esd/distdata/ecosystems/TEI_Scanned_Maps/B01/B01-4709")</f>
        <v>http://www.env.gov.bc.ca/esd/distdata/ecosystems/TEI_Scanned_Maps/B01/B01-4709</v>
      </c>
      <c r="U11" t="s">
        <v>58</v>
      </c>
      <c r="V11" t="s">
        <v>58</v>
      </c>
      <c r="W11" t="s">
        <v>58</v>
      </c>
      <c r="X11" t="s">
        <v>58</v>
      </c>
      <c r="Y11" t="s">
        <v>58</v>
      </c>
      <c r="Z11" t="s">
        <v>58</v>
      </c>
      <c r="AA11" t="s">
        <v>58</v>
      </c>
      <c r="AC11" t="s">
        <v>58</v>
      </c>
      <c r="AE11" t="s">
        <v>58</v>
      </c>
      <c r="AG11" t="s">
        <v>63</v>
      </c>
      <c r="AH11" s="11" t="str">
        <f t="shared" si="0"/>
        <v>mailto: soilterrain@victoria1.gov.bc.ca</v>
      </c>
    </row>
    <row r="12" spans="1:34">
      <c r="A12" t="s">
        <v>88</v>
      </c>
      <c r="B12" t="s">
        <v>56</v>
      </c>
      <c r="C12" s="10" t="s">
        <v>89</v>
      </c>
      <c r="D12" t="s">
        <v>58</v>
      </c>
      <c r="E12" t="s">
        <v>59</v>
      </c>
      <c r="F12" t="s">
        <v>90</v>
      </c>
      <c r="G12">
        <v>50000</v>
      </c>
      <c r="H12" t="s">
        <v>70</v>
      </c>
      <c r="I12" t="s">
        <v>58</v>
      </c>
      <c r="J12" t="s">
        <v>58</v>
      </c>
      <c r="K12" t="s">
        <v>61</v>
      </c>
      <c r="L12" t="s">
        <v>58</v>
      </c>
      <c r="M12" t="s">
        <v>58</v>
      </c>
      <c r="Q12" t="s">
        <v>58</v>
      </c>
      <c r="R12" s="11" t="str">
        <f>HYPERLINK("\\imagefiles.bcgov\imagery\scanned_maps\moe_terrain_maps\Scanned_T_maps_all\B01\B01-4710","\\imagefiles.bcgov\imagery\scanned_maps\moe_terrain_maps\Scanned_T_maps_all\B01\B01-4710")</f>
        <v>\\imagefiles.bcgov\imagery\scanned_maps\moe_terrain_maps\Scanned_T_maps_all\B01\B01-4710</v>
      </c>
      <c r="S12" t="s">
        <v>62</v>
      </c>
      <c r="T12" s="11" t="str">
        <f>HYPERLINK("http://www.env.gov.bc.ca/esd/distdata/ecosystems/TEI_Scanned_Maps/B01/B01-4710","http://www.env.gov.bc.ca/esd/distdata/ecosystems/TEI_Scanned_Maps/B01/B01-4710")</f>
        <v>http://www.env.gov.bc.ca/esd/distdata/ecosystems/TEI_Scanned_Maps/B01/B01-4710</v>
      </c>
      <c r="U12" t="s">
        <v>58</v>
      </c>
      <c r="V12" t="s">
        <v>58</v>
      </c>
      <c r="W12" t="s">
        <v>58</v>
      </c>
      <c r="X12" t="s">
        <v>58</v>
      </c>
      <c r="Y12" t="s">
        <v>58</v>
      </c>
      <c r="Z12" t="s">
        <v>58</v>
      </c>
      <c r="AA12" t="s">
        <v>58</v>
      </c>
      <c r="AC12" t="s">
        <v>58</v>
      </c>
      <c r="AE12" t="s">
        <v>58</v>
      </c>
      <c r="AG12" t="s">
        <v>63</v>
      </c>
      <c r="AH12" s="11" t="str">
        <f t="shared" si="0"/>
        <v>mailto: soilterrain@victoria1.gov.bc.ca</v>
      </c>
    </row>
    <row r="13" spans="1:34">
      <c r="A13" t="s">
        <v>91</v>
      </c>
      <c r="B13" t="s">
        <v>56</v>
      </c>
      <c r="C13" s="10" t="s">
        <v>89</v>
      </c>
      <c r="D13" t="s">
        <v>58</v>
      </c>
      <c r="E13" t="s">
        <v>59</v>
      </c>
      <c r="F13" t="s">
        <v>92</v>
      </c>
      <c r="G13">
        <v>50000</v>
      </c>
      <c r="H13" t="s">
        <v>70</v>
      </c>
      <c r="I13" t="s">
        <v>58</v>
      </c>
      <c r="J13" t="s">
        <v>58</v>
      </c>
      <c r="K13" t="s">
        <v>58</v>
      </c>
      <c r="L13" t="s">
        <v>58</v>
      </c>
      <c r="M13" t="s">
        <v>58</v>
      </c>
      <c r="P13" t="s">
        <v>61</v>
      </c>
      <c r="Q13" t="s">
        <v>58</v>
      </c>
      <c r="R13" s="11" t="str">
        <f>HYPERLINK("\\imagefiles.bcgov\imagery\scanned_maps\moe_terrain_maps\Scanned_T_maps_all\B01\B01-4711","\\imagefiles.bcgov\imagery\scanned_maps\moe_terrain_maps\Scanned_T_maps_all\B01\B01-4711")</f>
        <v>\\imagefiles.bcgov\imagery\scanned_maps\moe_terrain_maps\Scanned_T_maps_all\B01\B01-4711</v>
      </c>
      <c r="S13" t="s">
        <v>62</v>
      </c>
      <c r="T13" s="11" t="str">
        <f>HYPERLINK("http://www.env.gov.bc.ca/esd/distdata/ecosystems/TEI_Scanned_Maps/B01/B01-4711","http://www.env.gov.bc.ca/esd/distdata/ecosystems/TEI_Scanned_Maps/B01/B01-4711")</f>
        <v>http://www.env.gov.bc.ca/esd/distdata/ecosystems/TEI_Scanned_Maps/B01/B01-4711</v>
      </c>
      <c r="U13" t="s">
        <v>58</v>
      </c>
      <c r="V13" t="s">
        <v>58</v>
      </c>
      <c r="W13" t="s">
        <v>58</v>
      </c>
      <c r="X13" t="s">
        <v>58</v>
      </c>
      <c r="Y13" t="s">
        <v>58</v>
      </c>
      <c r="Z13" t="s">
        <v>58</v>
      </c>
      <c r="AA13" t="s">
        <v>58</v>
      </c>
      <c r="AC13" t="s">
        <v>58</v>
      </c>
      <c r="AE13" t="s">
        <v>58</v>
      </c>
      <c r="AG13" t="s">
        <v>63</v>
      </c>
      <c r="AH13" s="11" t="str">
        <f t="shared" si="0"/>
        <v>mailto: soilterrain@victoria1.gov.bc.ca</v>
      </c>
    </row>
    <row r="14" spans="1:34">
      <c r="A14" t="s">
        <v>93</v>
      </c>
      <c r="B14" t="s">
        <v>56</v>
      </c>
      <c r="C14" s="10" t="s">
        <v>94</v>
      </c>
      <c r="D14" t="s">
        <v>58</v>
      </c>
      <c r="E14" t="s">
        <v>59</v>
      </c>
      <c r="F14" t="s">
        <v>95</v>
      </c>
      <c r="G14">
        <v>50000</v>
      </c>
      <c r="H14" t="s">
        <v>70</v>
      </c>
      <c r="I14" t="s">
        <v>58</v>
      </c>
      <c r="J14" t="s">
        <v>58</v>
      </c>
      <c r="K14" t="s">
        <v>61</v>
      </c>
      <c r="L14" t="s">
        <v>58</v>
      </c>
      <c r="M14" t="s">
        <v>58</v>
      </c>
      <c r="Q14" t="s">
        <v>58</v>
      </c>
      <c r="R14" s="11" t="str">
        <f>HYPERLINK("\\imagefiles.bcgov\imagery\scanned_maps\moe_terrain_maps\Scanned_T_maps_all\B01\B01-4712","\\imagefiles.bcgov\imagery\scanned_maps\moe_terrain_maps\Scanned_T_maps_all\B01\B01-4712")</f>
        <v>\\imagefiles.bcgov\imagery\scanned_maps\moe_terrain_maps\Scanned_T_maps_all\B01\B01-4712</v>
      </c>
      <c r="S14" t="s">
        <v>62</v>
      </c>
      <c r="T14" s="11" t="str">
        <f>HYPERLINK("http://www.env.gov.bc.ca/esd/distdata/ecosystems/TEI_Scanned_Maps/B01/B01-4712","http://www.env.gov.bc.ca/esd/distdata/ecosystems/TEI_Scanned_Maps/B01/B01-4712")</f>
        <v>http://www.env.gov.bc.ca/esd/distdata/ecosystems/TEI_Scanned_Maps/B01/B01-4712</v>
      </c>
      <c r="U14" t="s">
        <v>58</v>
      </c>
      <c r="V14" t="s">
        <v>58</v>
      </c>
      <c r="W14" t="s">
        <v>58</v>
      </c>
      <c r="X14" t="s">
        <v>58</v>
      </c>
      <c r="Y14" t="s">
        <v>58</v>
      </c>
      <c r="Z14" t="s">
        <v>58</v>
      </c>
      <c r="AA14" t="s">
        <v>58</v>
      </c>
      <c r="AC14" t="s">
        <v>58</v>
      </c>
      <c r="AE14" t="s">
        <v>58</v>
      </c>
      <c r="AG14" t="s">
        <v>63</v>
      </c>
      <c r="AH14" s="11" t="str">
        <f t="shared" si="0"/>
        <v>mailto: soilterrain@victoria1.gov.bc.ca</v>
      </c>
    </row>
    <row r="15" spans="1:34">
      <c r="A15" t="s">
        <v>96</v>
      </c>
      <c r="B15" t="s">
        <v>56</v>
      </c>
      <c r="C15" s="10" t="s">
        <v>94</v>
      </c>
      <c r="D15" t="s">
        <v>58</v>
      </c>
      <c r="E15" t="s">
        <v>59</v>
      </c>
      <c r="F15" t="s">
        <v>97</v>
      </c>
      <c r="G15">
        <v>50000</v>
      </c>
      <c r="H15" t="s">
        <v>70</v>
      </c>
      <c r="I15" t="s">
        <v>58</v>
      </c>
      <c r="J15" t="s">
        <v>58</v>
      </c>
      <c r="K15" t="s">
        <v>58</v>
      </c>
      <c r="L15" t="s">
        <v>58</v>
      </c>
      <c r="M15" t="s">
        <v>58</v>
      </c>
      <c r="P15" t="s">
        <v>61</v>
      </c>
      <c r="Q15" t="s">
        <v>58</v>
      </c>
      <c r="R15" s="11" t="str">
        <f>HYPERLINK("\\imagefiles.bcgov\imagery\scanned_maps\moe_terrain_maps\Scanned_T_maps_all\B01\B01-4713","\\imagefiles.bcgov\imagery\scanned_maps\moe_terrain_maps\Scanned_T_maps_all\B01\B01-4713")</f>
        <v>\\imagefiles.bcgov\imagery\scanned_maps\moe_terrain_maps\Scanned_T_maps_all\B01\B01-4713</v>
      </c>
      <c r="S15" t="s">
        <v>62</v>
      </c>
      <c r="T15" s="11" t="str">
        <f>HYPERLINK("http://www.env.gov.bc.ca/esd/distdata/ecosystems/TEI_Scanned_Maps/B01/B01-4713","http://www.env.gov.bc.ca/esd/distdata/ecosystems/TEI_Scanned_Maps/B01/B01-4713")</f>
        <v>http://www.env.gov.bc.ca/esd/distdata/ecosystems/TEI_Scanned_Maps/B01/B01-4713</v>
      </c>
      <c r="U15" t="s">
        <v>58</v>
      </c>
      <c r="V15" t="s">
        <v>58</v>
      </c>
      <c r="W15" t="s">
        <v>58</v>
      </c>
      <c r="X15" t="s">
        <v>58</v>
      </c>
      <c r="Y15" t="s">
        <v>58</v>
      </c>
      <c r="Z15" t="s">
        <v>58</v>
      </c>
      <c r="AA15" t="s">
        <v>58</v>
      </c>
      <c r="AC15" t="s">
        <v>58</v>
      </c>
      <c r="AE15" t="s">
        <v>58</v>
      </c>
      <c r="AG15" t="s">
        <v>63</v>
      </c>
      <c r="AH15" s="11" t="str">
        <f t="shared" si="0"/>
        <v>mailto: soilterrain@victoria1.gov.bc.ca</v>
      </c>
    </row>
    <row r="16" spans="1:34">
      <c r="A16" t="s">
        <v>98</v>
      </c>
      <c r="B16" t="s">
        <v>56</v>
      </c>
      <c r="C16" s="10" t="s">
        <v>99</v>
      </c>
      <c r="D16" t="s">
        <v>58</v>
      </c>
      <c r="E16" t="s">
        <v>100</v>
      </c>
      <c r="F16" t="s">
        <v>101</v>
      </c>
      <c r="G16">
        <v>50000</v>
      </c>
      <c r="H16" t="s">
        <v>102</v>
      </c>
      <c r="I16" t="s">
        <v>58</v>
      </c>
      <c r="J16" t="s">
        <v>58</v>
      </c>
      <c r="K16" t="s">
        <v>61</v>
      </c>
      <c r="L16" t="s">
        <v>58</v>
      </c>
      <c r="M16" t="s">
        <v>58</v>
      </c>
      <c r="Q16" t="s">
        <v>58</v>
      </c>
      <c r="R16" s="11" t="str">
        <f>HYPERLINK("\\imagefiles.bcgov\imagery\scanned_maps\moe_terrain_maps\Scanned_T_maps_all\B01\B01-4714","\\imagefiles.bcgov\imagery\scanned_maps\moe_terrain_maps\Scanned_T_maps_all\B01\B01-4714")</f>
        <v>\\imagefiles.bcgov\imagery\scanned_maps\moe_terrain_maps\Scanned_T_maps_all\B01\B01-4714</v>
      </c>
      <c r="S16" t="s">
        <v>62</v>
      </c>
      <c r="T16" s="11" t="str">
        <f>HYPERLINK("http://www.env.gov.bc.ca/esd/distdata/ecosystems/TEI_Scanned_Maps/B01/B01-4714","http://www.env.gov.bc.ca/esd/distdata/ecosystems/TEI_Scanned_Maps/B01/B01-4714")</f>
        <v>http://www.env.gov.bc.ca/esd/distdata/ecosystems/TEI_Scanned_Maps/B01/B01-4714</v>
      </c>
      <c r="U16" t="s">
        <v>58</v>
      </c>
      <c r="V16" t="s">
        <v>58</v>
      </c>
      <c r="W16" t="s">
        <v>58</v>
      </c>
      <c r="X16" t="s">
        <v>58</v>
      </c>
      <c r="Y16" t="s">
        <v>58</v>
      </c>
      <c r="Z16" t="s">
        <v>58</v>
      </c>
      <c r="AA16" t="s">
        <v>58</v>
      </c>
      <c r="AC16" t="s">
        <v>58</v>
      </c>
      <c r="AE16" t="s">
        <v>58</v>
      </c>
      <c r="AG16" t="s">
        <v>63</v>
      </c>
      <c r="AH16" s="11" t="str">
        <f t="shared" si="0"/>
        <v>mailto: soilterrain@victoria1.gov.bc.ca</v>
      </c>
    </row>
    <row r="17" spans="1:34">
      <c r="A17" t="s">
        <v>103</v>
      </c>
      <c r="B17" t="s">
        <v>56</v>
      </c>
      <c r="C17" s="10" t="s">
        <v>104</v>
      </c>
      <c r="D17" t="s">
        <v>58</v>
      </c>
      <c r="E17" t="s">
        <v>100</v>
      </c>
      <c r="F17" t="s">
        <v>105</v>
      </c>
      <c r="G17">
        <v>50000</v>
      </c>
      <c r="H17" t="s">
        <v>102</v>
      </c>
      <c r="I17" t="s">
        <v>58</v>
      </c>
      <c r="J17" t="s">
        <v>58</v>
      </c>
      <c r="K17" t="s">
        <v>61</v>
      </c>
      <c r="L17" t="s">
        <v>58</v>
      </c>
      <c r="M17" t="s">
        <v>58</v>
      </c>
      <c r="Q17" t="s">
        <v>58</v>
      </c>
      <c r="R17" s="11" t="str">
        <f>HYPERLINK("\\imagefiles.bcgov\imagery\scanned_maps\moe_terrain_maps\Scanned_T_maps_all\B01\B01-4715","\\imagefiles.bcgov\imagery\scanned_maps\moe_terrain_maps\Scanned_T_maps_all\B01\B01-4715")</f>
        <v>\\imagefiles.bcgov\imagery\scanned_maps\moe_terrain_maps\Scanned_T_maps_all\B01\B01-4715</v>
      </c>
      <c r="S17" t="s">
        <v>62</v>
      </c>
      <c r="T17" s="11" t="str">
        <f>HYPERLINK("http://www.env.gov.bc.ca/esd/distdata/ecosystems/TEI_Scanned_Maps/B01/B01-4715","http://www.env.gov.bc.ca/esd/distdata/ecosystems/TEI_Scanned_Maps/B01/B01-4715")</f>
        <v>http://www.env.gov.bc.ca/esd/distdata/ecosystems/TEI_Scanned_Maps/B01/B01-4715</v>
      </c>
      <c r="U17" t="s">
        <v>58</v>
      </c>
      <c r="V17" t="s">
        <v>58</v>
      </c>
      <c r="W17" t="s">
        <v>58</v>
      </c>
      <c r="X17" t="s">
        <v>58</v>
      </c>
      <c r="Y17" t="s">
        <v>58</v>
      </c>
      <c r="Z17" t="s">
        <v>58</v>
      </c>
      <c r="AA17" t="s">
        <v>58</v>
      </c>
      <c r="AC17" t="s">
        <v>58</v>
      </c>
      <c r="AE17" t="s">
        <v>58</v>
      </c>
      <c r="AG17" t="s">
        <v>63</v>
      </c>
      <c r="AH17" s="11" t="str">
        <f t="shared" si="0"/>
        <v>mailto: soilterrain@victoria1.gov.bc.ca</v>
      </c>
    </row>
    <row r="18" spans="1:34">
      <c r="A18" t="s">
        <v>106</v>
      </c>
      <c r="B18" t="s">
        <v>56</v>
      </c>
      <c r="C18" s="10" t="s">
        <v>107</v>
      </c>
      <c r="D18" t="s">
        <v>58</v>
      </c>
      <c r="E18" t="s">
        <v>100</v>
      </c>
      <c r="F18" t="s">
        <v>108</v>
      </c>
      <c r="G18">
        <v>50000</v>
      </c>
      <c r="H18" t="s">
        <v>102</v>
      </c>
      <c r="I18" t="s">
        <v>58</v>
      </c>
      <c r="J18" t="s">
        <v>58</v>
      </c>
      <c r="K18" t="s">
        <v>61</v>
      </c>
      <c r="L18" t="s">
        <v>58</v>
      </c>
      <c r="M18" t="s">
        <v>58</v>
      </c>
      <c r="Q18" t="s">
        <v>58</v>
      </c>
      <c r="R18" s="11" t="str">
        <f>HYPERLINK("\\imagefiles.bcgov\imagery\scanned_maps\moe_terrain_maps\Scanned_T_maps_all\B01\B01-4716","\\imagefiles.bcgov\imagery\scanned_maps\moe_terrain_maps\Scanned_T_maps_all\B01\B01-4716")</f>
        <v>\\imagefiles.bcgov\imagery\scanned_maps\moe_terrain_maps\Scanned_T_maps_all\B01\B01-4716</v>
      </c>
      <c r="S18" t="s">
        <v>62</v>
      </c>
      <c r="T18" s="11" t="str">
        <f>HYPERLINK("http://www.env.gov.bc.ca/esd/distdata/ecosystems/TEI_Scanned_Maps/B01/B01-4716","http://www.env.gov.bc.ca/esd/distdata/ecosystems/TEI_Scanned_Maps/B01/B01-4716")</f>
        <v>http://www.env.gov.bc.ca/esd/distdata/ecosystems/TEI_Scanned_Maps/B01/B01-4716</v>
      </c>
      <c r="U18" t="s">
        <v>58</v>
      </c>
      <c r="V18" t="s">
        <v>58</v>
      </c>
      <c r="W18" t="s">
        <v>58</v>
      </c>
      <c r="X18" t="s">
        <v>58</v>
      </c>
      <c r="Y18" t="s">
        <v>58</v>
      </c>
      <c r="Z18" t="s">
        <v>58</v>
      </c>
      <c r="AA18" t="s">
        <v>58</v>
      </c>
      <c r="AC18" t="s">
        <v>58</v>
      </c>
      <c r="AE18" t="s">
        <v>58</v>
      </c>
      <c r="AG18" t="s">
        <v>63</v>
      </c>
      <c r="AH18" s="11" t="str">
        <f t="shared" si="0"/>
        <v>mailto: soilterrain@victoria1.gov.bc.ca</v>
      </c>
    </row>
    <row r="19" spans="1:34">
      <c r="A19" t="s">
        <v>109</v>
      </c>
      <c r="B19" t="s">
        <v>56</v>
      </c>
      <c r="C19" s="10" t="s">
        <v>110</v>
      </c>
      <c r="D19" t="s">
        <v>58</v>
      </c>
      <c r="E19" t="s">
        <v>100</v>
      </c>
      <c r="F19" t="s">
        <v>111</v>
      </c>
      <c r="G19">
        <v>50000</v>
      </c>
      <c r="H19" t="s">
        <v>102</v>
      </c>
      <c r="I19" t="s">
        <v>58</v>
      </c>
      <c r="J19" t="s">
        <v>58</v>
      </c>
      <c r="K19" t="s">
        <v>61</v>
      </c>
      <c r="L19" t="s">
        <v>58</v>
      </c>
      <c r="M19" t="s">
        <v>58</v>
      </c>
      <c r="Q19" t="s">
        <v>58</v>
      </c>
      <c r="R19" s="11" t="str">
        <f>HYPERLINK("\\imagefiles.bcgov\imagery\scanned_maps\moe_terrain_maps\Scanned_T_maps_all\B01\B01-4717","\\imagefiles.bcgov\imagery\scanned_maps\moe_terrain_maps\Scanned_T_maps_all\B01\B01-4717")</f>
        <v>\\imagefiles.bcgov\imagery\scanned_maps\moe_terrain_maps\Scanned_T_maps_all\B01\B01-4717</v>
      </c>
      <c r="S19" t="s">
        <v>62</v>
      </c>
      <c r="T19" s="11" t="str">
        <f>HYPERLINK("http://www.env.gov.bc.ca/esd/distdata/ecosystems/TEI_Scanned_Maps/B01/B01-4717","http://www.env.gov.bc.ca/esd/distdata/ecosystems/TEI_Scanned_Maps/B01/B01-4717")</f>
        <v>http://www.env.gov.bc.ca/esd/distdata/ecosystems/TEI_Scanned_Maps/B01/B01-4717</v>
      </c>
      <c r="U19" t="s">
        <v>58</v>
      </c>
      <c r="V19" t="s">
        <v>58</v>
      </c>
      <c r="W19" t="s">
        <v>58</v>
      </c>
      <c r="X19" t="s">
        <v>58</v>
      </c>
      <c r="Y19" t="s">
        <v>58</v>
      </c>
      <c r="Z19" t="s">
        <v>58</v>
      </c>
      <c r="AA19" t="s">
        <v>58</v>
      </c>
      <c r="AC19" t="s">
        <v>58</v>
      </c>
      <c r="AE19" t="s">
        <v>58</v>
      </c>
      <c r="AG19" t="s">
        <v>63</v>
      </c>
      <c r="AH19" s="11" t="str">
        <f t="shared" si="0"/>
        <v>mailto: soilterrain@victoria1.gov.bc.ca</v>
      </c>
    </row>
    <row r="20" spans="1:34">
      <c r="A20" t="s">
        <v>112</v>
      </c>
      <c r="B20" t="s">
        <v>56</v>
      </c>
      <c r="C20" s="10" t="s">
        <v>113</v>
      </c>
      <c r="D20" t="s">
        <v>58</v>
      </c>
      <c r="E20" t="s">
        <v>100</v>
      </c>
      <c r="F20" t="s">
        <v>114</v>
      </c>
      <c r="G20">
        <v>50000</v>
      </c>
      <c r="H20" t="s">
        <v>102</v>
      </c>
      <c r="I20" t="s">
        <v>58</v>
      </c>
      <c r="J20" t="s">
        <v>58</v>
      </c>
      <c r="K20" t="s">
        <v>61</v>
      </c>
      <c r="L20" t="s">
        <v>58</v>
      </c>
      <c r="M20" t="s">
        <v>58</v>
      </c>
      <c r="Q20" t="s">
        <v>58</v>
      </c>
      <c r="R20" s="11" t="str">
        <f>HYPERLINK("\\imagefiles.bcgov\imagery\scanned_maps\moe_terrain_maps\Scanned_T_maps_all\B01\B01-4718","\\imagefiles.bcgov\imagery\scanned_maps\moe_terrain_maps\Scanned_T_maps_all\B01\B01-4718")</f>
        <v>\\imagefiles.bcgov\imagery\scanned_maps\moe_terrain_maps\Scanned_T_maps_all\B01\B01-4718</v>
      </c>
      <c r="S20" t="s">
        <v>62</v>
      </c>
      <c r="T20" s="11" t="str">
        <f>HYPERLINK("http://www.env.gov.bc.ca/esd/distdata/ecosystems/TEI_Scanned_Maps/B01/B01-4718","http://www.env.gov.bc.ca/esd/distdata/ecosystems/TEI_Scanned_Maps/B01/B01-4718")</f>
        <v>http://www.env.gov.bc.ca/esd/distdata/ecosystems/TEI_Scanned_Maps/B01/B01-4718</v>
      </c>
      <c r="U20" t="s">
        <v>58</v>
      </c>
      <c r="V20" t="s">
        <v>58</v>
      </c>
      <c r="W20" t="s">
        <v>58</v>
      </c>
      <c r="X20" t="s">
        <v>58</v>
      </c>
      <c r="Y20" t="s">
        <v>58</v>
      </c>
      <c r="Z20" t="s">
        <v>58</v>
      </c>
      <c r="AA20" t="s">
        <v>58</v>
      </c>
      <c r="AC20" t="s">
        <v>58</v>
      </c>
      <c r="AE20" t="s">
        <v>58</v>
      </c>
      <c r="AG20" t="s">
        <v>63</v>
      </c>
      <c r="AH20" s="11" t="str">
        <f t="shared" si="0"/>
        <v>mailto: soilterrain@victoria1.gov.bc.ca</v>
      </c>
    </row>
    <row r="21" spans="1:34">
      <c r="A21" t="s">
        <v>115</v>
      </c>
      <c r="B21" t="s">
        <v>56</v>
      </c>
      <c r="C21" s="10" t="s">
        <v>116</v>
      </c>
      <c r="D21" t="s">
        <v>58</v>
      </c>
      <c r="E21" t="s">
        <v>100</v>
      </c>
      <c r="F21" t="s">
        <v>117</v>
      </c>
      <c r="G21">
        <v>50000</v>
      </c>
      <c r="H21" t="s">
        <v>102</v>
      </c>
      <c r="I21" t="s">
        <v>58</v>
      </c>
      <c r="J21" t="s">
        <v>58</v>
      </c>
      <c r="K21" t="s">
        <v>61</v>
      </c>
      <c r="L21" t="s">
        <v>58</v>
      </c>
      <c r="M21" t="s">
        <v>58</v>
      </c>
      <c r="Q21" t="s">
        <v>58</v>
      </c>
      <c r="R21" s="11" t="str">
        <f>HYPERLINK("\\imagefiles.bcgov\imagery\scanned_maps\moe_terrain_maps\Scanned_T_maps_all\B01\B01-4719","\\imagefiles.bcgov\imagery\scanned_maps\moe_terrain_maps\Scanned_T_maps_all\B01\B01-4719")</f>
        <v>\\imagefiles.bcgov\imagery\scanned_maps\moe_terrain_maps\Scanned_T_maps_all\B01\B01-4719</v>
      </c>
      <c r="S21" t="s">
        <v>62</v>
      </c>
      <c r="T21" s="11" t="str">
        <f>HYPERLINK("http://www.env.gov.bc.ca/esd/distdata/ecosystems/TEI_Scanned_Maps/B01/B01-4719","http://www.env.gov.bc.ca/esd/distdata/ecosystems/TEI_Scanned_Maps/B01/B01-4719")</f>
        <v>http://www.env.gov.bc.ca/esd/distdata/ecosystems/TEI_Scanned_Maps/B01/B01-4719</v>
      </c>
      <c r="U21" t="s">
        <v>58</v>
      </c>
      <c r="V21" t="s">
        <v>58</v>
      </c>
      <c r="W21" t="s">
        <v>58</v>
      </c>
      <c r="X21" t="s">
        <v>58</v>
      </c>
      <c r="Y21" t="s">
        <v>58</v>
      </c>
      <c r="Z21" t="s">
        <v>58</v>
      </c>
      <c r="AA21" t="s">
        <v>58</v>
      </c>
      <c r="AC21" t="s">
        <v>58</v>
      </c>
      <c r="AE21" t="s">
        <v>58</v>
      </c>
      <c r="AG21" t="s">
        <v>63</v>
      </c>
      <c r="AH21" s="11" t="str">
        <f t="shared" si="0"/>
        <v>mailto: soilterrain@victoria1.gov.bc.ca</v>
      </c>
    </row>
    <row r="22" spans="1:34">
      <c r="A22" t="s">
        <v>118</v>
      </c>
      <c r="B22" t="s">
        <v>56</v>
      </c>
      <c r="C22" s="10" t="s">
        <v>119</v>
      </c>
      <c r="D22" t="s">
        <v>58</v>
      </c>
      <c r="E22" t="s">
        <v>100</v>
      </c>
      <c r="F22" t="s">
        <v>120</v>
      </c>
      <c r="G22">
        <v>50000</v>
      </c>
      <c r="H22" t="s">
        <v>102</v>
      </c>
      <c r="I22" t="s">
        <v>58</v>
      </c>
      <c r="J22" t="s">
        <v>58</v>
      </c>
      <c r="K22" t="s">
        <v>61</v>
      </c>
      <c r="L22" t="s">
        <v>58</v>
      </c>
      <c r="M22" t="s">
        <v>58</v>
      </c>
      <c r="Q22" t="s">
        <v>58</v>
      </c>
      <c r="R22" s="11" t="str">
        <f>HYPERLINK("\\imagefiles.bcgov\imagery\scanned_maps\moe_terrain_maps\Scanned_T_maps_all\B01\B01-4720","\\imagefiles.bcgov\imagery\scanned_maps\moe_terrain_maps\Scanned_T_maps_all\B01\B01-4720")</f>
        <v>\\imagefiles.bcgov\imagery\scanned_maps\moe_terrain_maps\Scanned_T_maps_all\B01\B01-4720</v>
      </c>
      <c r="S22" t="s">
        <v>62</v>
      </c>
      <c r="T22" s="11" t="str">
        <f>HYPERLINK("http://www.env.gov.bc.ca/esd/distdata/ecosystems/TEI_Scanned_Maps/B01/B01-4720","http://www.env.gov.bc.ca/esd/distdata/ecosystems/TEI_Scanned_Maps/B01/B01-4720")</f>
        <v>http://www.env.gov.bc.ca/esd/distdata/ecosystems/TEI_Scanned_Maps/B01/B01-4720</v>
      </c>
      <c r="U22" t="s">
        <v>58</v>
      </c>
      <c r="V22" t="s">
        <v>58</v>
      </c>
      <c r="W22" t="s">
        <v>58</v>
      </c>
      <c r="X22" t="s">
        <v>58</v>
      </c>
      <c r="Y22" t="s">
        <v>58</v>
      </c>
      <c r="Z22" t="s">
        <v>58</v>
      </c>
      <c r="AA22" t="s">
        <v>58</v>
      </c>
      <c r="AC22" t="s">
        <v>58</v>
      </c>
      <c r="AE22" t="s">
        <v>58</v>
      </c>
      <c r="AG22" t="s">
        <v>63</v>
      </c>
      <c r="AH22" s="11" t="str">
        <f t="shared" si="0"/>
        <v>mailto: soilterrain@victoria1.gov.bc.ca</v>
      </c>
    </row>
    <row r="23" spans="1:34">
      <c r="A23" t="s">
        <v>121</v>
      </c>
      <c r="B23" t="s">
        <v>56</v>
      </c>
      <c r="C23" s="10" t="s">
        <v>122</v>
      </c>
      <c r="D23" t="s">
        <v>61</v>
      </c>
      <c r="E23" t="s">
        <v>123</v>
      </c>
      <c r="F23" t="s">
        <v>124</v>
      </c>
      <c r="G23">
        <v>20000</v>
      </c>
      <c r="H23" t="s">
        <v>125</v>
      </c>
      <c r="I23" t="s">
        <v>58</v>
      </c>
      <c r="J23" t="s">
        <v>61</v>
      </c>
      <c r="K23" t="s">
        <v>61</v>
      </c>
      <c r="L23" t="s">
        <v>58</v>
      </c>
      <c r="M23" t="s">
        <v>58</v>
      </c>
      <c r="Q23" t="s">
        <v>58</v>
      </c>
      <c r="R23" s="11" t="str">
        <f>HYPERLINK("\\imagefiles.bcgov\imagery\scanned_maps\moe_terrain_maps\Scanned_T_maps_all\B01\B01-4721","\\imagefiles.bcgov\imagery\scanned_maps\moe_terrain_maps\Scanned_T_maps_all\B01\B01-4721")</f>
        <v>\\imagefiles.bcgov\imagery\scanned_maps\moe_terrain_maps\Scanned_T_maps_all\B01\B01-4721</v>
      </c>
      <c r="S23" t="s">
        <v>62</v>
      </c>
      <c r="T23" s="11" t="str">
        <f>HYPERLINK("http://www.env.gov.bc.ca/esd/distdata/ecosystems/TEI_Scanned_Maps/B01/B01-4721","http://www.env.gov.bc.ca/esd/distdata/ecosystems/TEI_Scanned_Maps/B01/B01-4721")</f>
        <v>http://www.env.gov.bc.ca/esd/distdata/ecosystems/TEI_Scanned_Maps/B01/B01-4721</v>
      </c>
      <c r="U23" t="s">
        <v>58</v>
      </c>
      <c r="V23" t="s">
        <v>58</v>
      </c>
      <c r="W23" t="s">
        <v>58</v>
      </c>
      <c r="X23" t="s">
        <v>58</v>
      </c>
      <c r="Y23" t="s">
        <v>58</v>
      </c>
      <c r="Z23" t="s">
        <v>58</v>
      </c>
      <c r="AA23" t="s">
        <v>58</v>
      </c>
      <c r="AC23" t="s">
        <v>58</v>
      </c>
      <c r="AE23" t="s">
        <v>58</v>
      </c>
      <c r="AG23" t="s">
        <v>63</v>
      </c>
      <c r="AH23" s="11" t="str">
        <f t="shared" si="0"/>
        <v>mailto: soilterrain@victoria1.gov.bc.ca</v>
      </c>
    </row>
    <row r="24" spans="1:34">
      <c r="A24" t="s">
        <v>126</v>
      </c>
      <c r="B24" t="s">
        <v>56</v>
      </c>
      <c r="C24" s="10" t="s">
        <v>122</v>
      </c>
      <c r="D24" t="s">
        <v>61</v>
      </c>
      <c r="E24" t="s">
        <v>123</v>
      </c>
      <c r="F24" t="s">
        <v>127</v>
      </c>
      <c r="G24">
        <v>20000</v>
      </c>
      <c r="H24" t="s">
        <v>128</v>
      </c>
      <c r="I24" t="s">
        <v>58</v>
      </c>
      <c r="J24" t="s">
        <v>61</v>
      </c>
      <c r="K24" t="s">
        <v>61</v>
      </c>
      <c r="L24" t="s">
        <v>58</v>
      </c>
      <c r="M24" t="s">
        <v>58</v>
      </c>
      <c r="P24" t="s">
        <v>61</v>
      </c>
      <c r="Q24" t="s">
        <v>58</v>
      </c>
      <c r="R24" s="11" t="str">
        <f>HYPERLINK("\\imagefiles.bcgov\imagery\scanned_maps\moe_terrain_maps\Scanned_T_maps_all\B01\B01-4722","\\imagefiles.bcgov\imagery\scanned_maps\moe_terrain_maps\Scanned_T_maps_all\B01\B01-4722")</f>
        <v>\\imagefiles.bcgov\imagery\scanned_maps\moe_terrain_maps\Scanned_T_maps_all\B01\B01-4722</v>
      </c>
      <c r="S24" t="s">
        <v>62</v>
      </c>
      <c r="T24" s="11" t="str">
        <f>HYPERLINK("http://www.env.gov.bc.ca/esd/distdata/ecosystems/TEI_Scanned_Maps/B01/B01-4722","http://www.env.gov.bc.ca/esd/distdata/ecosystems/TEI_Scanned_Maps/B01/B01-4722")</f>
        <v>http://www.env.gov.bc.ca/esd/distdata/ecosystems/TEI_Scanned_Maps/B01/B01-4722</v>
      </c>
      <c r="U24" t="s">
        <v>58</v>
      </c>
      <c r="V24" t="s">
        <v>58</v>
      </c>
      <c r="W24" t="s">
        <v>58</v>
      </c>
      <c r="X24" t="s">
        <v>58</v>
      </c>
      <c r="Y24" t="s">
        <v>58</v>
      </c>
      <c r="Z24" t="s">
        <v>58</v>
      </c>
      <c r="AA24" t="s">
        <v>58</v>
      </c>
      <c r="AC24" t="s">
        <v>58</v>
      </c>
      <c r="AE24" t="s">
        <v>58</v>
      </c>
      <c r="AG24" t="s">
        <v>63</v>
      </c>
      <c r="AH24" s="11" t="str">
        <f t="shared" si="0"/>
        <v>mailto: soilterrain@victoria1.gov.bc.ca</v>
      </c>
    </row>
    <row r="25" spans="1:34">
      <c r="A25" t="s">
        <v>129</v>
      </c>
      <c r="B25" t="s">
        <v>56</v>
      </c>
      <c r="C25" s="10" t="s">
        <v>130</v>
      </c>
      <c r="D25" t="s">
        <v>58</v>
      </c>
      <c r="E25" t="s">
        <v>59</v>
      </c>
      <c r="F25" t="s">
        <v>131</v>
      </c>
      <c r="G25">
        <v>16000</v>
      </c>
      <c r="H25">
        <v>1976</v>
      </c>
      <c r="I25" t="s">
        <v>58</v>
      </c>
      <c r="J25" t="s">
        <v>58</v>
      </c>
      <c r="K25" t="s">
        <v>61</v>
      </c>
      <c r="L25" t="s">
        <v>58</v>
      </c>
      <c r="M25" t="s">
        <v>58</v>
      </c>
      <c r="Q25" t="s">
        <v>132</v>
      </c>
      <c r="R25" s="11" t="str">
        <f>HYPERLINK("\\imagefiles.bcgov\imagery\scanned_maps\moe_terrain_maps\Scanned_T_maps_all\B01\B01-4724","\\imagefiles.bcgov\imagery\scanned_maps\moe_terrain_maps\Scanned_T_maps_all\B01\B01-4724")</f>
        <v>\\imagefiles.bcgov\imagery\scanned_maps\moe_terrain_maps\Scanned_T_maps_all\B01\B01-4724</v>
      </c>
      <c r="S25" t="s">
        <v>62</v>
      </c>
      <c r="T25" s="11" t="str">
        <f>HYPERLINK("http://www.env.gov.bc.ca/esd/distdata/ecosystems/TEI_Scanned_Maps/B01/B01-4724","http://www.env.gov.bc.ca/esd/distdata/ecosystems/TEI_Scanned_Maps/B01/B01-4724")</f>
        <v>http://www.env.gov.bc.ca/esd/distdata/ecosystems/TEI_Scanned_Maps/B01/B01-4724</v>
      </c>
      <c r="U25" t="s">
        <v>58</v>
      </c>
      <c r="V25" t="s">
        <v>58</v>
      </c>
      <c r="W25" t="s">
        <v>58</v>
      </c>
      <c r="X25" t="s">
        <v>58</v>
      </c>
      <c r="Y25" t="s">
        <v>58</v>
      </c>
      <c r="Z25" t="s">
        <v>58</v>
      </c>
      <c r="AA25" t="s">
        <v>58</v>
      </c>
      <c r="AC25" t="s">
        <v>58</v>
      </c>
      <c r="AE25" t="s">
        <v>58</v>
      </c>
      <c r="AG25" t="s">
        <v>63</v>
      </c>
      <c r="AH25" s="11" t="str">
        <f t="shared" si="0"/>
        <v>mailto: soilterrain@victoria1.gov.bc.ca</v>
      </c>
    </row>
    <row r="26" spans="1:34">
      <c r="A26" t="s">
        <v>133</v>
      </c>
      <c r="B26" t="s">
        <v>56</v>
      </c>
      <c r="C26" s="10" t="s">
        <v>134</v>
      </c>
      <c r="D26" t="s">
        <v>58</v>
      </c>
      <c r="E26" t="s">
        <v>59</v>
      </c>
      <c r="F26" t="s">
        <v>135</v>
      </c>
      <c r="G26">
        <v>50000</v>
      </c>
      <c r="H26" t="s">
        <v>136</v>
      </c>
      <c r="I26" t="s">
        <v>58</v>
      </c>
      <c r="J26" t="s">
        <v>58</v>
      </c>
      <c r="K26" t="s">
        <v>61</v>
      </c>
      <c r="L26" t="s">
        <v>58</v>
      </c>
      <c r="M26" t="s">
        <v>58</v>
      </c>
      <c r="Q26" t="s">
        <v>58</v>
      </c>
      <c r="R26" s="11" t="str">
        <f>HYPERLINK("\\imagefiles.bcgov\imagery\scanned_maps\moe_terrain_maps\Scanned_T_maps_all\B01\B01-4726","\\imagefiles.bcgov\imagery\scanned_maps\moe_terrain_maps\Scanned_T_maps_all\B01\B01-4726")</f>
        <v>\\imagefiles.bcgov\imagery\scanned_maps\moe_terrain_maps\Scanned_T_maps_all\B01\B01-4726</v>
      </c>
      <c r="S26" t="s">
        <v>62</v>
      </c>
      <c r="T26" s="11" t="str">
        <f>HYPERLINK("http://www.env.gov.bc.ca/esd/distdata/ecosystems/TEI_Scanned_Maps/B01/B01-4726","http://www.env.gov.bc.ca/esd/distdata/ecosystems/TEI_Scanned_Maps/B01/B01-4726")</f>
        <v>http://www.env.gov.bc.ca/esd/distdata/ecosystems/TEI_Scanned_Maps/B01/B01-4726</v>
      </c>
      <c r="U26" t="s">
        <v>58</v>
      </c>
      <c r="V26" t="s">
        <v>58</v>
      </c>
      <c r="W26" t="s">
        <v>58</v>
      </c>
      <c r="X26" t="s">
        <v>58</v>
      </c>
      <c r="Y26" t="s">
        <v>58</v>
      </c>
      <c r="Z26" t="s">
        <v>58</v>
      </c>
      <c r="AA26" t="s">
        <v>58</v>
      </c>
      <c r="AC26" t="s">
        <v>58</v>
      </c>
      <c r="AE26" t="s">
        <v>58</v>
      </c>
      <c r="AG26" t="s">
        <v>63</v>
      </c>
      <c r="AH26" s="11" t="str">
        <f t="shared" si="0"/>
        <v>mailto: soilterrain@victoria1.gov.bc.ca</v>
      </c>
    </row>
    <row r="27" spans="1:34">
      <c r="A27" t="s">
        <v>137</v>
      </c>
      <c r="B27" t="s">
        <v>56</v>
      </c>
      <c r="C27" s="10" t="s">
        <v>138</v>
      </c>
      <c r="D27" t="s">
        <v>58</v>
      </c>
      <c r="E27" t="s">
        <v>59</v>
      </c>
      <c r="F27" t="s">
        <v>139</v>
      </c>
      <c r="G27">
        <v>50000</v>
      </c>
      <c r="H27" t="s">
        <v>136</v>
      </c>
      <c r="I27" t="s">
        <v>58</v>
      </c>
      <c r="J27" t="s">
        <v>58</v>
      </c>
      <c r="K27" t="s">
        <v>61</v>
      </c>
      <c r="L27" t="s">
        <v>58</v>
      </c>
      <c r="M27" t="s">
        <v>58</v>
      </c>
      <c r="Q27" t="s">
        <v>58</v>
      </c>
      <c r="R27" s="11" t="str">
        <f>HYPERLINK("\\imagefiles.bcgov\imagery\scanned_maps\moe_terrain_maps\Scanned_T_maps_all\B01\B01-4727","\\imagefiles.bcgov\imagery\scanned_maps\moe_terrain_maps\Scanned_T_maps_all\B01\B01-4727")</f>
        <v>\\imagefiles.bcgov\imagery\scanned_maps\moe_terrain_maps\Scanned_T_maps_all\B01\B01-4727</v>
      </c>
      <c r="S27" t="s">
        <v>62</v>
      </c>
      <c r="T27" s="11" t="str">
        <f>HYPERLINK("http://www.env.gov.bc.ca/esd/distdata/ecosystems/TEI_Scanned_Maps/B01/B01-4727","http://www.env.gov.bc.ca/esd/distdata/ecosystems/TEI_Scanned_Maps/B01/B01-4727")</f>
        <v>http://www.env.gov.bc.ca/esd/distdata/ecosystems/TEI_Scanned_Maps/B01/B01-4727</v>
      </c>
      <c r="U27" t="s">
        <v>58</v>
      </c>
      <c r="V27" t="s">
        <v>58</v>
      </c>
      <c r="W27" t="s">
        <v>58</v>
      </c>
      <c r="X27" t="s">
        <v>58</v>
      </c>
      <c r="Y27" t="s">
        <v>58</v>
      </c>
      <c r="Z27" t="s">
        <v>58</v>
      </c>
      <c r="AA27" t="s">
        <v>58</v>
      </c>
      <c r="AC27" t="s">
        <v>58</v>
      </c>
      <c r="AE27" t="s">
        <v>58</v>
      </c>
      <c r="AG27" t="s">
        <v>63</v>
      </c>
      <c r="AH27" s="11" t="str">
        <f t="shared" si="0"/>
        <v>mailto: soilterrain@victoria1.gov.bc.ca</v>
      </c>
    </row>
    <row r="28" spans="1:34">
      <c r="A28" t="s">
        <v>140</v>
      </c>
      <c r="B28" t="s">
        <v>56</v>
      </c>
      <c r="C28" s="10" t="s">
        <v>141</v>
      </c>
      <c r="D28" t="s">
        <v>58</v>
      </c>
      <c r="E28" t="s">
        <v>59</v>
      </c>
      <c r="F28" t="s">
        <v>142</v>
      </c>
      <c r="G28">
        <v>50000</v>
      </c>
      <c r="H28" t="s">
        <v>143</v>
      </c>
      <c r="I28" t="s">
        <v>58</v>
      </c>
      <c r="J28" t="s">
        <v>58</v>
      </c>
      <c r="K28" t="s">
        <v>61</v>
      </c>
      <c r="L28" t="s">
        <v>58</v>
      </c>
      <c r="M28" t="s">
        <v>58</v>
      </c>
      <c r="Q28" t="s">
        <v>58</v>
      </c>
      <c r="R28" s="11" t="str">
        <f>HYPERLINK("\\imagefiles.bcgov\imagery\scanned_maps\moe_terrain_maps\Scanned_T_maps_all\B01\B01-4728","\\imagefiles.bcgov\imagery\scanned_maps\moe_terrain_maps\Scanned_T_maps_all\B01\B01-4728")</f>
        <v>\\imagefiles.bcgov\imagery\scanned_maps\moe_terrain_maps\Scanned_T_maps_all\B01\B01-4728</v>
      </c>
      <c r="S28" t="s">
        <v>62</v>
      </c>
      <c r="T28" s="11" t="str">
        <f>HYPERLINK("http://www.env.gov.bc.ca/esd/distdata/ecosystems/TEI_Scanned_Maps/B01/B01-4728","http://www.env.gov.bc.ca/esd/distdata/ecosystems/TEI_Scanned_Maps/B01/B01-4728")</f>
        <v>http://www.env.gov.bc.ca/esd/distdata/ecosystems/TEI_Scanned_Maps/B01/B01-4728</v>
      </c>
      <c r="U28" t="s">
        <v>58</v>
      </c>
      <c r="V28" t="s">
        <v>58</v>
      </c>
      <c r="W28" t="s">
        <v>58</v>
      </c>
      <c r="X28" t="s">
        <v>58</v>
      </c>
      <c r="Y28" t="s">
        <v>58</v>
      </c>
      <c r="Z28" t="s">
        <v>58</v>
      </c>
      <c r="AA28" t="s">
        <v>58</v>
      </c>
      <c r="AC28" t="s">
        <v>58</v>
      </c>
      <c r="AE28" t="s">
        <v>58</v>
      </c>
      <c r="AG28" t="s">
        <v>63</v>
      </c>
      <c r="AH28" s="11" t="str">
        <f t="shared" si="0"/>
        <v>mailto: soilterrain@victoria1.gov.bc.ca</v>
      </c>
    </row>
    <row r="29" spans="1:34">
      <c r="A29" t="s">
        <v>144</v>
      </c>
      <c r="B29" t="s">
        <v>56</v>
      </c>
      <c r="C29" s="10" t="s">
        <v>145</v>
      </c>
      <c r="D29" t="s">
        <v>58</v>
      </c>
      <c r="E29" t="s">
        <v>59</v>
      </c>
      <c r="F29" t="s">
        <v>146</v>
      </c>
      <c r="G29">
        <v>50000</v>
      </c>
      <c r="H29" t="s">
        <v>147</v>
      </c>
      <c r="I29" t="s">
        <v>58</v>
      </c>
      <c r="J29" t="s">
        <v>58</v>
      </c>
      <c r="K29" t="s">
        <v>61</v>
      </c>
      <c r="L29" t="s">
        <v>58</v>
      </c>
      <c r="M29" t="s">
        <v>58</v>
      </c>
      <c r="Q29" t="s">
        <v>58</v>
      </c>
      <c r="R29" s="11" t="str">
        <f>HYPERLINK("\\imagefiles.bcgov\imagery\scanned_maps\moe_terrain_maps\Scanned_T_maps_all\B01\B01-4729","\\imagefiles.bcgov\imagery\scanned_maps\moe_terrain_maps\Scanned_T_maps_all\B01\B01-4729")</f>
        <v>\\imagefiles.bcgov\imagery\scanned_maps\moe_terrain_maps\Scanned_T_maps_all\B01\B01-4729</v>
      </c>
      <c r="S29" t="s">
        <v>62</v>
      </c>
      <c r="T29" s="11" t="str">
        <f>HYPERLINK("http://www.env.gov.bc.ca/esd/distdata/ecosystems/TEI_Scanned_Maps/B01/B01-4729","http://www.env.gov.bc.ca/esd/distdata/ecosystems/TEI_Scanned_Maps/B01/B01-4729")</f>
        <v>http://www.env.gov.bc.ca/esd/distdata/ecosystems/TEI_Scanned_Maps/B01/B01-4729</v>
      </c>
      <c r="U29" t="s">
        <v>58</v>
      </c>
      <c r="V29" t="s">
        <v>58</v>
      </c>
      <c r="W29" t="s">
        <v>58</v>
      </c>
      <c r="X29" t="s">
        <v>58</v>
      </c>
      <c r="Y29" t="s">
        <v>58</v>
      </c>
      <c r="Z29" t="s">
        <v>58</v>
      </c>
      <c r="AA29" t="s">
        <v>58</v>
      </c>
      <c r="AC29" t="s">
        <v>58</v>
      </c>
      <c r="AE29" t="s">
        <v>58</v>
      </c>
      <c r="AG29" t="s">
        <v>63</v>
      </c>
      <c r="AH29" s="11" t="str">
        <f t="shared" si="0"/>
        <v>mailto: soilterrain@victoria1.gov.bc.ca</v>
      </c>
    </row>
    <row r="30" spans="1:34">
      <c r="A30" t="s">
        <v>148</v>
      </c>
      <c r="B30" t="s">
        <v>56</v>
      </c>
      <c r="C30" s="10" t="s">
        <v>149</v>
      </c>
      <c r="D30" t="s">
        <v>58</v>
      </c>
      <c r="E30" t="s">
        <v>59</v>
      </c>
      <c r="F30" t="s">
        <v>150</v>
      </c>
      <c r="G30">
        <v>50000</v>
      </c>
      <c r="H30" t="s">
        <v>151</v>
      </c>
      <c r="I30" t="s">
        <v>58</v>
      </c>
      <c r="J30" t="s">
        <v>58</v>
      </c>
      <c r="K30" t="s">
        <v>61</v>
      </c>
      <c r="L30" t="s">
        <v>58</v>
      </c>
      <c r="M30" t="s">
        <v>58</v>
      </c>
      <c r="Q30" t="s">
        <v>58</v>
      </c>
      <c r="R30" s="11" t="str">
        <f>HYPERLINK("\\imagefiles.bcgov\imagery\scanned_maps\moe_terrain_maps\Scanned_T_maps_all\B01\B01-4730","\\imagefiles.bcgov\imagery\scanned_maps\moe_terrain_maps\Scanned_T_maps_all\B01\B01-4730")</f>
        <v>\\imagefiles.bcgov\imagery\scanned_maps\moe_terrain_maps\Scanned_T_maps_all\B01\B01-4730</v>
      </c>
      <c r="S30" t="s">
        <v>62</v>
      </c>
      <c r="T30" s="11" t="str">
        <f>HYPERLINK("http://www.env.gov.bc.ca/esd/distdata/ecosystems/TEI_Scanned_Maps/B01/B01-4730","http://www.env.gov.bc.ca/esd/distdata/ecosystems/TEI_Scanned_Maps/B01/B01-4730")</f>
        <v>http://www.env.gov.bc.ca/esd/distdata/ecosystems/TEI_Scanned_Maps/B01/B01-4730</v>
      </c>
      <c r="U30" t="s">
        <v>58</v>
      </c>
      <c r="V30" t="s">
        <v>58</v>
      </c>
      <c r="W30" t="s">
        <v>58</v>
      </c>
      <c r="X30" t="s">
        <v>58</v>
      </c>
      <c r="Y30" t="s">
        <v>58</v>
      </c>
      <c r="Z30" t="s">
        <v>58</v>
      </c>
      <c r="AA30" t="s">
        <v>58</v>
      </c>
      <c r="AC30" t="s">
        <v>58</v>
      </c>
      <c r="AE30" t="s">
        <v>58</v>
      </c>
      <c r="AG30" t="s">
        <v>63</v>
      </c>
      <c r="AH30" s="11" t="str">
        <f t="shared" si="0"/>
        <v>mailto: soilterrain@victoria1.gov.bc.ca</v>
      </c>
    </row>
    <row r="31" spans="1:34">
      <c r="A31" t="s">
        <v>152</v>
      </c>
      <c r="B31" t="s">
        <v>56</v>
      </c>
      <c r="C31" s="10" t="s">
        <v>153</v>
      </c>
      <c r="D31" t="s">
        <v>58</v>
      </c>
      <c r="E31" t="s">
        <v>59</v>
      </c>
      <c r="F31" t="s">
        <v>154</v>
      </c>
      <c r="G31">
        <v>50000</v>
      </c>
      <c r="H31" t="s">
        <v>155</v>
      </c>
      <c r="I31" t="s">
        <v>58</v>
      </c>
      <c r="J31" t="s">
        <v>58</v>
      </c>
      <c r="K31" t="s">
        <v>61</v>
      </c>
      <c r="L31" t="s">
        <v>58</v>
      </c>
      <c r="M31" t="s">
        <v>58</v>
      </c>
      <c r="Q31" t="s">
        <v>58</v>
      </c>
      <c r="R31" s="11" t="str">
        <f>HYPERLINK("\\imagefiles.bcgov\imagery\scanned_maps\moe_terrain_maps\Scanned_T_maps_all\B01\B01-4731","\\imagefiles.bcgov\imagery\scanned_maps\moe_terrain_maps\Scanned_T_maps_all\B01\B01-4731")</f>
        <v>\\imagefiles.bcgov\imagery\scanned_maps\moe_terrain_maps\Scanned_T_maps_all\B01\B01-4731</v>
      </c>
      <c r="S31" t="s">
        <v>62</v>
      </c>
      <c r="T31" s="11" t="str">
        <f>HYPERLINK("http://www.env.gov.bc.ca/esd/distdata/ecosystems/TEI_Scanned_Maps/B01/B01-4731","http://www.env.gov.bc.ca/esd/distdata/ecosystems/TEI_Scanned_Maps/B01/B01-4731")</f>
        <v>http://www.env.gov.bc.ca/esd/distdata/ecosystems/TEI_Scanned_Maps/B01/B01-4731</v>
      </c>
      <c r="U31" t="s">
        <v>58</v>
      </c>
      <c r="V31" t="s">
        <v>58</v>
      </c>
      <c r="W31" t="s">
        <v>58</v>
      </c>
      <c r="X31" t="s">
        <v>58</v>
      </c>
      <c r="Y31" t="s">
        <v>58</v>
      </c>
      <c r="Z31" t="s">
        <v>58</v>
      </c>
      <c r="AA31" t="s">
        <v>58</v>
      </c>
      <c r="AC31" t="s">
        <v>58</v>
      </c>
      <c r="AE31" t="s">
        <v>58</v>
      </c>
      <c r="AG31" t="s">
        <v>63</v>
      </c>
      <c r="AH31" s="11" t="str">
        <f t="shared" si="0"/>
        <v>mailto: soilterrain@victoria1.gov.bc.ca</v>
      </c>
    </row>
    <row r="32" spans="1:34">
      <c r="A32" t="s">
        <v>156</v>
      </c>
      <c r="B32" t="s">
        <v>56</v>
      </c>
      <c r="C32" s="10" t="s">
        <v>157</v>
      </c>
      <c r="D32" t="s">
        <v>58</v>
      </c>
      <c r="E32" t="s">
        <v>59</v>
      </c>
      <c r="F32" t="s">
        <v>158</v>
      </c>
      <c r="G32">
        <v>50000</v>
      </c>
      <c r="H32" t="s">
        <v>159</v>
      </c>
      <c r="I32" t="s">
        <v>58</v>
      </c>
      <c r="J32" t="s">
        <v>58</v>
      </c>
      <c r="K32" t="s">
        <v>61</v>
      </c>
      <c r="L32" t="s">
        <v>58</v>
      </c>
      <c r="M32" t="s">
        <v>58</v>
      </c>
      <c r="Q32" t="s">
        <v>58</v>
      </c>
      <c r="R32" s="11" t="str">
        <f>HYPERLINK("\\imagefiles.bcgov\imagery\scanned_maps\moe_terrain_maps\Scanned_T_maps_all\B01\B01-4732","\\imagefiles.bcgov\imagery\scanned_maps\moe_terrain_maps\Scanned_T_maps_all\B01\B01-4732")</f>
        <v>\\imagefiles.bcgov\imagery\scanned_maps\moe_terrain_maps\Scanned_T_maps_all\B01\B01-4732</v>
      </c>
      <c r="S32" t="s">
        <v>62</v>
      </c>
      <c r="T32" s="11" t="str">
        <f>HYPERLINK("http://www.env.gov.bc.ca/esd/distdata/ecosystems/TEI_Scanned_Maps/B01/B01-4732","http://www.env.gov.bc.ca/esd/distdata/ecosystems/TEI_Scanned_Maps/B01/B01-4732")</f>
        <v>http://www.env.gov.bc.ca/esd/distdata/ecosystems/TEI_Scanned_Maps/B01/B01-4732</v>
      </c>
      <c r="U32" t="s">
        <v>58</v>
      </c>
      <c r="V32" t="s">
        <v>58</v>
      </c>
      <c r="W32" t="s">
        <v>58</v>
      </c>
      <c r="X32" t="s">
        <v>58</v>
      </c>
      <c r="Y32" t="s">
        <v>58</v>
      </c>
      <c r="Z32" t="s">
        <v>58</v>
      </c>
      <c r="AA32" t="s">
        <v>58</v>
      </c>
      <c r="AC32" t="s">
        <v>58</v>
      </c>
      <c r="AE32" t="s">
        <v>58</v>
      </c>
      <c r="AG32" t="s">
        <v>63</v>
      </c>
      <c r="AH32" s="11" t="str">
        <f t="shared" si="0"/>
        <v>mailto: soilterrain@victoria1.gov.bc.ca</v>
      </c>
    </row>
    <row r="33" spans="1:34">
      <c r="A33" t="s">
        <v>160</v>
      </c>
      <c r="B33" t="s">
        <v>56</v>
      </c>
      <c r="C33" s="10" t="s">
        <v>161</v>
      </c>
      <c r="D33" t="s">
        <v>58</v>
      </c>
      <c r="E33" t="s">
        <v>59</v>
      </c>
      <c r="F33" t="s">
        <v>162</v>
      </c>
      <c r="G33">
        <v>50000</v>
      </c>
      <c r="H33" t="s">
        <v>163</v>
      </c>
      <c r="I33" t="s">
        <v>58</v>
      </c>
      <c r="J33" t="s">
        <v>58</v>
      </c>
      <c r="K33" t="s">
        <v>61</v>
      </c>
      <c r="L33" t="s">
        <v>58</v>
      </c>
      <c r="M33" t="s">
        <v>58</v>
      </c>
      <c r="Q33" t="s">
        <v>58</v>
      </c>
      <c r="R33" s="11" t="str">
        <f>HYPERLINK("\\imagefiles.bcgov\imagery\scanned_maps\moe_terrain_maps\Scanned_T_maps_all\B01\B01-4733","\\imagefiles.bcgov\imagery\scanned_maps\moe_terrain_maps\Scanned_T_maps_all\B01\B01-4733")</f>
        <v>\\imagefiles.bcgov\imagery\scanned_maps\moe_terrain_maps\Scanned_T_maps_all\B01\B01-4733</v>
      </c>
      <c r="S33" t="s">
        <v>62</v>
      </c>
      <c r="T33" s="11" t="str">
        <f>HYPERLINK("http://www.env.gov.bc.ca/esd/distdata/ecosystems/TEI_Scanned_Maps/B01/B01-4733","http://www.env.gov.bc.ca/esd/distdata/ecosystems/TEI_Scanned_Maps/B01/B01-4733")</f>
        <v>http://www.env.gov.bc.ca/esd/distdata/ecosystems/TEI_Scanned_Maps/B01/B01-4733</v>
      </c>
      <c r="U33" t="s">
        <v>58</v>
      </c>
      <c r="V33" t="s">
        <v>58</v>
      </c>
      <c r="W33" t="s">
        <v>58</v>
      </c>
      <c r="X33" t="s">
        <v>58</v>
      </c>
      <c r="Y33" t="s">
        <v>58</v>
      </c>
      <c r="Z33" t="s">
        <v>58</v>
      </c>
      <c r="AA33" t="s">
        <v>58</v>
      </c>
      <c r="AC33" t="s">
        <v>58</v>
      </c>
      <c r="AE33" t="s">
        <v>58</v>
      </c>
      <c r="AG33" t="s">
        <v>63</v>
      </c>
      <c r="AH33" s="11" t="str">
        <f t="shared" si="0"/>
        <v>mailto: soilterrain@victoria1.gov.bc.ca</v>
      </c>
    </row>
    <row r="34" spans="1:34">
      <c r="A34" t="s">
        <v>164</v>
      </c>
      <c r="B34" t="s">
        <v>56</v>
      </c>
      <c r="C34" s="10" t="s">
        <v>165</v>
      </c>
      <c r="D34" t="s">
        <v>58</v>
      </c>
      <c r="E34" t="s">
        <v>166</v>
      </c>
      <c r="F34" t="s">
        <v>167</v>
      </c>
      <c r="G34">
        <v>50000</v>
      </c>
      <c r="H34" t="s">
        <v>168</v>
      </c>
      <c r="I34" t="s">
        <v>58</v>
      </c>
      <c r="J34" t="s">
        <v>58</v>
      </c>
      <c r="K34" t="s">
        <v>61</v>
      </c>
      <c r="L34" t="s">
        <v>58</v>
      </c>
      <c r="M34" t="s">
        <v>58</v>
      </c>
      <c r="Q34" t="s">
        <v>58</v>
      </c>
      <c r="R34" s="11" t="str">
        <f>HYPERLINK("\\imagefiles.bcgov\imagery\scanned_maps\moe_terrain_maps\Scanned_T_maps_all\B01\B01-4737","\\imagefiles.bcgov\imagery\scanned_maps\moe_terrain_maps\Scanned_T_maps_all\B01\B01-4737")</f>
        <v>\\imagefiles.bcgov\imagery\scanned_maps\moe_terrain_maps\Scanned_T_maps_all\B01\B01-4737</v>
      </c>
      <c r="S34" t="s">
        <v>62</v>
      </c>
      <c r="T34" s="11" t="str">
        <f>HYPERLINK("http://www.env.gov.bc.ca/esd/distdata/ecosystems/TEI_Scanned_Maps/B01/B01-4737","http://www.env.gov.bc.ca/esd/distdata/ecosystems/TEI_Scanned_Maps/B01/B01-4737")</f>
        <v>http://www.env.gov.bc.ca/esd/distdata/ecosystems/TEI_Scanned_Maps/B01/B01-4737</v>
      </c>
      <c r="U34" t="s">
        <v>58</v>
      </c>
      <c r="V34" t="s">
        <v>58</v>
      </c>
      <c r="W34" t="s">
        <v>58</v>
      </c>
      <c r="X34" t="s">
        <v>58</v>
      </c>
      <c r="Y34" t="s">
        <v>58</v>
      </c>
      <c r="Z34" t="s">
        <v>58</v>
      </c>
      <c r="AA34" t="s">
        <v>58</v>
      </c>
      <c r="AC34" t="s">
        <v>58</v>
      </c>
      <c r="AE34" t="s">
        <v>58</v>
      </c>
      <c r="AG34" t="s">
        <v>63</v>
      </c>
      <c r="AH34" s="11" t="str">
        <f t="shared" si="0"/>
        <v>mailto: soilterrain@victoria1.gov.bc.ca</v>
      </c>
    </row>
    <row r="35" spans="1:34">
      <c r="A35" t="s">
        <v>169</v>
      </c>
      <c r="B35" t="s">
        <v>56</v>
      </c>
      <c r="C35" s="10" t="s">
        <v>170</v>
      </c>
      <c r="D35" t="s">
        <v>58</v>
      </c>
      <c r="E35" t="s">
        <v>166</v>
      </c>
      <c r="F35" t="s">
        <v>171</v>
      </c>
      <c r="G35">
        <v>50000</v>
      </c>
      <c r="H35" t="s">
        <v>168</v>
      </c>
      <c r="I35" t="s">
        <v>58</v>
      </c>
      <c r="J35" t="s">
        <v>58</v>
      </c>
      <c r="K35" t="s">
        <v>61</v>
      </c>
      <c r="L35" t="s">
        <v>58</v>
      </c>
      <c r="M35" t="s">
        <v>58</v>
      </c>
      <c r="Q35" t="s">
        <v>58</v>
      </c>
      <c r="R35" s="11" t="str">
        <f>HYPERLINK("\\imagefiles.bcgov\imagery\scanned_maps\moe_terrain_maps\Scanned_T_maps_all\B01\B01-4738","\\imagefiles.bcgov\imagery\scanned_maps\moe_terrain_maps\Scanned_T_maps_all\B01\B01-4738")</f>
        <v>\\imagefiles.bcgov\imagery\scanned_maps\moe_terrain_maps\Scanned_T_maps_all\B01\B01-4738</v>
      </c>
      <c r="S35" t="s">
        <v>62</v>
      </c>
      <c r="T35" s="11" t="str">
        <f>HYPERLINK("http://www.env.gov.bc.ca/esd/distdata/ecosystems/TEI_Scanned_Maps/B01/B01-4738","http://www.env.gov.bc.ca/esd/distdata/ecosystems/TEI_Scanned_Maps/B01/B01-4738")</f>
        <v>http://www.env.gov.bc.ca/esd/distdata/ecosystems/TEI_Scanned_Maps/B01/B01-4738</v>
      </c>
      <c r="U35" t="s">
        <v>58</v>
      </c>
      <c r="V35" t="s">
        <v>58</v>
      </c>
      <c r="W35" t="s">
        <v>58</v>
      </c>
      <c r="X35" t="s">
        <v>58</v>
      </c>
      <c r="Y35" t="s">
        <v>58</v>
      </c>
      <c r="Z35" t="s">
        <v>58</v>
      </c>
      <c r="AA35" t="s">
        <v>58</v>
      </c>
      <c r="AC35" t="s">
        <v>58</v>
      </c>
      <c r="AE35" t="s">
        <v>58</v>
      </c>
      <c r="AG35" t="s">
        <v>63</v>
      </c>
      <c r="AH35" s="11" t="str">
        <f t="shared" si="0"/>
        <v>mailto: soilterrain@victoria1.gov.bc.ca</v>
      </c>
    </row>
    <row r="36" spans="1:34">
      <c r="A36" t="s">
        <v>172</v>
      </c>
      <c r="B36" t="s">
        <v>56</v>
      </c>
      <c r="C36" s="10" t="s">
        <v>173</v>
      </c>
      <c r="D36" t="s">
        <v>58</v>
      </c>
      <c r="E36" t="s">
        <v>166</v>
      </c>
      <c r="F36" t="s">
        <v>174</v>
      </c>
      <c r="G36">
        <v>50000</v>
      </c>
      <c r="H36" t="s">
        <v>168</v>
      </c>
      <c r="I36" t="s">
        <v>58</v>
      </c>
      <c r="J36" t="s">
        <v>58</v>
      </c>
      <c r="K36" t="s">
        <v>61</v>
      </c>
      <c r="L36" t="s">
        <v>58</v>
      </c>
      <c r="M36" t="s">
        <v>58</v>
      </c>
      <c r="Q36" t="s">
        <v>58</v>
      </c>
      <c r="R36" s="11" t="str">
        <f>HYPERLINK("\\imagefiles.bcgov\imagery\scanned_maps\moe_terrain_maps\Scanned_T_maps_all\B01\B01-4739","\\imagefiles.bcgov\imagery\scanned_maps\moe_terrain_maps\Scanned_T_maps_all\B01\B01-4739")</f>
        <v>\\imagefiles.bcgov\imagery\scanned_maps\moe_terrain_maps\Scanned_T_maps_all\B01\B01-4739</v>
      </c>
      <c r="S36" t="s">
        <v>62</v>
      </c>
      <c r="T36" s="11" t="str">
        <f>HYPERLINK("http://www.env.gov.bc.ca/esd/distdata/ecosystems/TEI_Scanned_Maps/B01/B01-4739","http://www.env.gov.bc.ca/esd/distdata/ecosystems/TEI_Scanned_Maps/B01/B01-4739")</f>
        <v>http://www.env.gov.bc.ca/esd/distdata/ecosystems/TEI_Scanned_Maps/B01/B01-4739</v>
      </c>
      <c r="U36" t="s">
        <v>58</v>
      </c>
      <c r="V36" t="s">
        <v>58</v>
      </c>
      <c r="W36" t="s">
        <v>58</v>
      </c>
      <c r="X36" t="s">
        <v>58</v>
      </c>
      <c r="Y36" t="s">
        <v>58</v>
      </c>
      <c r="Z36" t="s">
        <v>58</v>
      </c>
      <c r="AA36" t="s">
        <v>58</v>
      </c>
      <c r="AC36" t="s">
        <v>58</v>
      </c>
      <c r="AE36" t="s">
        <v>58</v>
      </c>
      <c r="AG36" t="s">
        <v>63</v>
      </c>
      <c r="AH36" s="11" t="str">
        <f t="shared" si="0"/>
        <v>mailto: soilterrain@victoria1.gov.bc.ca</v>
      </c>
    </row>
    <row r="37" spans="1:34">
      <c r="A37" t="s">
        <v>175</v>
      </c>
      <c r="B37" t="s">
        <v>56</v>
      </c>
      <c r="C37" s="10" t="s">
        <v>176</v>
      </c>
      <c r="D37" t="s">
        <v>58</v>
      </c>
      <c r="E37" t="s">
        <v>166</v>
      </c>
      <c r="F37" t="s">
        <v>177</v>
      </c>
      <c r="G37">
        <v>50000</v>
      </c>
      <c r="H37" t="s">
        <v>168</v>
      </c>
      <c r="I37" t="s">
        <v>58</v>
      </c>
      <c r="J37" t="s">
        <v>58</v>
      </c>
      <c r="K37" t="s">
        <v>61</v>
      </c>
      <c r="L37" t="s">
        <v>58</v>
      </c>
      <c r="M37" t="s">
        <v>58</v>
      </c>
      <c r="Q37" t="s">
        <v>58</v>
      </c>
      <c r="R37" s="11" t="str">
        <f>HYPERLINK("\\imagefiles.bcgov\imagery\scanned_maps\moe_terrain_maps\Scanned_T_maps_all\B01\B01-4740","\\imagefiles.bcgov\imagery\scanned_maps\moe_terrain_maps\Scanned_T_maps_all\B01\B01-4740")</f>
        <v>\\imagefiles.bcgov\imagery\scanned_maps\moe_terrain_maps\Scanned_T_maps_all\B01\B01-4740</v>
      </c>
      <c r="S37" t="s">
        <v>62</v>
      </c>
      <c r="T37" s="11" t="str">
        <f>HYPERLINK("http://www.env.gov.bc.ca/esd/distdata/ecosystems/TEI_Scanned_Maps/B01/B01-4740","http://www.env.gov.bc.ca/esd/distdata/ecosystems/TEI_Scanned_Maps/B01/B01-4740")</f>
        <v>http://www.env.gov.bc.ca/esd/distdata/ecosystems/TEI_Scanned_Maps/B01/B01-4740</v>
      </c>
      <c r="U37" t="s">
        <v>58</v>
      </c>
      <c r="V37" t="s">
        <v>58</v>
      </c>
      <c r="W37" t="s">
        <v>58</v>
      </c>
      <c r="X37" t="s">
        <v>58</v>
      </c>
      <c r="Y37" t="s">
        <v>58</v>
      </c>
      <c r="Z37" t="s">
        <v>58</v>
      </c>
      <c r="AA37" t="s">
        <v>58</v>
      </c>
      <c r="AC37" t="s">
        <v>58</v>
      </c>
      <c r="AE37" t="s">
        <v>58</v>
      </c>
      <c r="AG37" t="s">
        <v>63</v>
      </c>
      <c r="AH37" s="11" t="str">
        <f t="shared" si="0"/>
        <v>mailto: soilterrain@victoria1.gov.bc.ca</v>
      </c>
    </row>
    <row r="38" spans="1:34">
      <c r="A38" t="s">
        <v>178</v>
      </c>
      <c r="B38" t="s">
        <v>56</v>
      </c>
      <c r="C38" s="10" t="s">
        <v>179</v>
      </c>
      <c r="D38" t="s">
        <v>58</v>
      </c>
      <c r="E38" t="s">
        <v>166</v>
      </c>
      <c r="F38" t="s">
        <v>180</v>
      </c>
      <c r="G38">
        <v>50000</v>
      </c>
      <c r="H38" t="s">
        <v>168</v>
      </c>
      <c r="I38" t="s">
        <v>58</v>
      </c>
      <c r="J38" t="s">
        <v>58</v>
      </c>
      <c r="K38" t="s">
        <v>61</v>
      </c>
      <c r="L38" t="s">
        <v>58</v>
      </c>
      <c r="M38" t="s">
        <v>58</v>
      </c>
      <c r="Q38" t="s">
        <v>58</v>
      </c>
      <c r="R38" s="11" t="str">
        <f>HYPERLINK("\\imagefiles.bcgov\imagery\scanned_maps\moe_terrain_maps\Scanned_T_maps_all\B01\B01-4741","\\imagefiles.bcgov\imagery\scanned_maps\moe_terrain_maps\Scanned_T_maps_all\B01\B01-4741")</f>
        <v>\\imagefiles.bcgov\imagery\scanned_maps\moe_terrain_maps\Scanned_T_maps_all\B01\B01-4741</v>
      </c>
      <c r="S38" t="s">
        <v>62</v>
      </c>
      <c r="T38" s="11" t="str">
        <f>HYPERLINK("http://www.env.gov.bc.ca/esd/distdata/ecosystems/TEI_Scanned_Maps/B01/B01-4741","http://www.env.gov.bc.ca/esd/distdata/ecosystems/TEI_Scanned_Maps/B01/B01-4741")</f>
        <v>http://www.env.gov.bc.ca/esd/distdata/ecosystems/TEI_Scanned_Maps/B01/B01-4741</v>
      </c>
      <c r="U38" t="s">
        <v>58</v>
      </c>
      <c r="V38" t="s">
        <v>58</v>
      </c>
      <c r="W38" t="s">
        <v>58</v>
      </c>
      <c r="X38" t="s">
        <v>58</v>
      </c>
      <c r="Y38" t="s">
        <v>58</v>
      </c>
      <c r="Z38" t="s">
        <v>58</v>
      </c>
      <c r="AA38" t="s">
        <v>58</v>
      </c>
      <c r="AC38" t="s">
        <v>58</v>
      </c>
      <c r="AE38" t="s">
        <v>58</v>
      </c>
      <c r="AG38" t="s">
        <v>63</v>
      </c>
      <c r="AH38" s="11" t="str">
        <f t="shared" si="0"/>
        <v>mailto: soilterrain@victoria1.gov.bc.ca</v>
      </c>
    </row>
    <row r="39" spans="1:34">
      <c r="A39" t="s">
        <v>181</v>
      </c>
      <c r="B39" t="s">
        <v>56</v>
      </c>
      <c r="C39" s="10" t="s">
        <v>182</v>
      </c>
      <c r="D39" t="s">
        <v>58</v>
      </c>
      <c r="E39" t="s">
        <v>166</v>
      </c>
      <c r="F39" t="s">
        <v>183</v>
      </c>
      <c r="G39">
        <v>50000</v>
      </c>
      <c r="H39" t="s">
        <v>168</v>
      </c>
      <c r="I39" t="s">
        <v>58</v>
      </c>
      <c r="J39" t="s">
        <v>58</v>
      </c>
      <c r="K39" t="s">
        <v>61</v>
      </c>
      <c r="L39" t="s">
        <v>58</v>
      </c>
      <c r="M39" t="s">
        <v>58</v>
      </c>
      <c r="Q39" t="s">
        <v>58</v>
      </c>
      <c r="R39" s="11" t="str">
        <f>HYPERLINK("\\imagefiles.bcgov\imagery\scanned_maps\moe_terrain_maps\Scanned_T_maps_all\B01\B01-4742","\\imagefiles.bcgov\imagery\scanned_maps\moe_terrain_maps\Scanned_T_maps_all\B01\B01-4742")</f>
        <v>\\imagefiles.bcgov\imagery\scanned_maps\moe_terrain_maps\Scanned_T_maps_all\B01\B01-4742</v>
      </c>
      <c r="S39" t="s">
        <v>62</v>
      </c>
      <c r="T39" s="11" t="str">
        <f>HYPERLINK("http://www.env.gov.bc.ca/esd/distdata/ecosystems/TEI_Scanned_Maps/B01/B01-4742","http://www.env.gov.bc.ca/esd/distdata/ecosystems/TEI_Scanned_Maps/B01/B01-4742")</f>
        <v>http://www.env.gov.bc.ca/esd/distdata/ecosystems/TEI_Scanned_Maps/B01/B01-4742</v>
      </c>
      <c r="U39" t="s">
        <v>58</v>
      </c>
      <c r="V39" t="s">
        <v>58</v>
      </c>
      <c r="W39" t="s">
        <v>58</v>
      </c>
      <c r="X39" t="s">
        <v>58</v>
      </c>
      <c r="Y39" t="s">
        <v>58</v>
      </c>
      <c r="Z39" t="s">
        <v>58</v>
      </c>
      <c r="AA39" t="s">
        <v>58</v>
      </c>
      <c r="AC39" t="s">
        <v>58</v>
      </c>
      <c r="AE39" t="s">
        <v>58</v>
      </c>
      <c r="AG39" t="s">
        <v>63</v>
      </c>
      <c r="AH39" s="11" t="str">
        <f t="shared" si="0"/>
        <v>mailto: soilterrain@victoria1.gov.bc.ca</v>
      </c>
    </row>
    <row r="40" spans="1:34">
      <c r="A40" t="s">
        <v>184</v>
      </c>
      <c r="B40" t="s">
        <v>56</v>
      </c>
      <c r="C40" s="10" t="s">
        <v>185</v>
      </c>
      <c r="D40" t="s">
        <v>58</v>
      </c>
      <c r="E40" t="s">
        <v>59</v>
      </c>
      <c r="F40" t="s">
        <v>186</v>
      </c>
      <c r="G40">
        <v>50000</v>
      </c>
      <c r="H40" t="s">
        <v>187</v>
      </c>
      <c r="I40" t="s">
        <v>58</v>
      </c>
      <c r="J40" t="s">
        <v>58</v>
      </c>
      <c r="K40" t="s">
        <v>61</v>
      </c>
      <c r="L40" t="s">
        <v>58</v>
      </c>
      <c r="M40" t="s">
        <v>58</v>
      </c>
      <c r="Q40" t="s">
        <v>58</v>
      </c>
      <c r="R40" s="11" t="str">
        <f>HYPERLINK("\\imagefiles.bcgov\imagery\scanned_maps\moe_terrain_maps\Scanned_T_maps_all\B01\B01-4743","\\imagefiles.bcgov\imagery\scanned_maps\moe_terrain_maps\Scanned_T_maps_all\B01\B01-4743")</f>
        <v>\\imagefiles.bcgov\imagery\scanned_maps\moe_terrain_maps\Scanned_T_maps_all\B01\B01-4743</v>
      </c>
      <c r="S40" t="s">
        <v>62</v>
      </c>
      <c r="T40" s="11" t="str">
        <f>HYPERLINK("http://www.env.gov.bc.ca/esd/distdata/ecosystems/TEI_Scanned_Maps/B01/B01-4743","http://www.env.gov.bc.ca/esd/distdata/ecosystems/TEI_Scanned_Maps/B01/B01-4743")</f>
        <v>http://www.env.gov.bc.ca/esd/distdata/ecosystems/TEI_Scanned_Maps/B01/B01-4743</v>
      </c>
      <c r="U40" t="s">
        <v>58</v>
      </c>
      <c r="V40" t="s">
        <v>58</v>
      </c>
      <c r="W40" t="s">
        <v>58</v>
      </c>
      <c r="X40" t="s">
        <v>58</v>
      </c>
      <c r="Y40" t="s">
        <v>58</v>
      </c>
      <c r="Z40" t="s">
        <v>58</v>
      </c>
      <c r="AA40" t="s">
        <v>58</v>
      </c>
      <c r="AC40" t="s">
        <v>58</v>
      </c>
      <c r="AE40" t="s">
        <v>58</v>
      </c>
      <c r="AG40" t="s">
        <v>63</v>
      </c>
      <c r="AH40" s="11" t="str">
        <f t="shared" si="0"/>
        <v>mailto: soilterrain@victoria1.gov.bc.ca</v>
      </c>
    </row>
    <row r="41" spans="1:34">
      <c r="A41" t="s">
        <v>188</v>
      </c>
      <c r="B41" t="s">
        <v>56</v>
      </c>
      <c r="C41" s="10" t="s">
        <v>189</v>
      </c>
      <c r="D41" t="s">
        <v>58</v>
      </c>
      <c r="E41" t="s">
        <v>59</v>
      </c>
      <c r="F41" t="s">
        <v>190</v>
      </c>
      <c r="G41">
        <v>50000</v>
      </c>
      <c r="H41" t="s">
        <v>187</v>
      </c>
      <c r="I41" t="s">
        <v>58</v>
      </c>
      <c r="J41" t="s">
        <v>58</v>
      </c>
      <c r="K41" t="s">
        <v>61</v>
      </c>
      <c r="L41" t="s">
        <v>58</v>
      </c>
      <c r="M41" t="s">
        <v>58</v>
      </c>
      <c r="Q41" t="s">
        <v>58</v>
      </c>
      <c r="R41" s="11" t="str">
        <f>HYPERLINK("\\imagefiles.bcgov\imagery\scanned_maps\moe_terrain_maps\Scanned_T_maps_all\B01\B01-4744","\\imagefiles.bcgov\imagery\scanned_maps\moe_terrain_maps\Scanned_T_maps_all\B01\B01-4744")</f>
        <v>\\imagefiles.bcgov\imagery\scanned_maps\moe_terrain_maps\Scanned_T_maps_all\B01\B01-4744</v>
      </c>
      <c r="S41" t="s">
        <v>62</v>
      </c>
      <c r="T41" s="11" t="str">
        <f>HYPERLINK("http://www.env.gov.bc.ca/esd/distdata/ecosystems/TEI_Scanned_Maps/B01/B01-4744","http://www.env.gov.bc.ca/esd/distdata/ecosystems/TEI_Scanned_Maps/B01/B01-4744")</f>
        <v>http://www.env.gov.bc.ca/esd/distdata/ecosystems/TEI_Scanned_Maps/B01/B01-4744</v>
      </c>
      <c r="U41" t="s">
        <v>58</v>
      </c>
      <c r="V41" t="s">
        <v>58</v>
      </c>
      <c r="W41" t="s">
        <v>58</v>
      </c>
      <c r="X41" t="s">
        <v>58</v>
      </c>
      <c r="Y41" t="s">
        <v>58</v>
      </c>
      <c r="Z41" t="s">
        <v>58</v>
      </c>
      <c r="AA41" t="s">
        <v>58</v>
      </c>
      <c r="AC41" t="s">
        <v>58</v>
      </c>
      <c r="AE41" t="s">
        <v>58</v>
      </c>
      <c r="AG41" t="s">
        <v>63</v>
      </c>
      <c r="AH41" s="11" t="str">
        <f t="shared" si="0"/>
        <v>mailto: soilterrain@victoria1.gov.bc.ca</v>
      </c>
    </row>
    <row r="42" spans="1:34">
      <c r="A42" t="s">
        <v>191</v>
      </c>
      <c r="B42" t="s">
        <v>56</v>
      </c>
      <c r="C42" s="10" t="s">
        <v>192</v>
      </c>
      <c r="D42" t="s">
        <v>58</v>
      </c>
      <c r="E42" t="s">
        <v>59</v>
      </c>
      <c r="F42" t="s">
        <v>193</v>
      </c>
      <c r="G42">
        <v>50000</v>
      </c>
      <c r="H42" t="s">
        <v>187</v>
      </c>
      <c r="I42" t="s">
        <v>58</v>
      </c>
      <c r="J42" t="s">
        <v>58</v>
      </c>
      <c r="K42" t="s">
        <v>61</v>
      </c>
      <c r="L42" t="s">
        <v>58</v>
      </c>
      <c r="M42" t="s">
        <v>58</v>
      </c>
      <c r="Q42" t="s">
        <v>58</v>
      </c>
      <c r="R42" s="11" t="str">
        <f>HYPERLINK("\\imagefiles.bcgov\imagery\scanned_maps\moe_terrain_maps\Scanned_T_maps_all\B01\B01-4745","\\imagefiles.bcgov\imagery\scanned_maps\moe_terrain_maps\Scanned_T_maps_all\B01\B01-4745")</f>
        <v>\\imagefiles.bcgov\imagery\scanned_maps\moe_terrain_maps\Scanned_T_maps_all\B01\B01-4745</v>
      </c>
      <c r="S42" t="s">
        <v>62</v>
      </c>
      <c r="T42" s="11" t="str">
        <f>HYPERLINK("http://www.env.gov.bc.ca/esd/distdata/ecosystems/TEI_Scanned_Maps/B01/B01-4745","http://www.env.gov.bc.ca/esd/distdata/ecosystems/TEI_Scanned_Maps/B01/B01-4745")</f>
        <v>http://www.env.gov.bc.ca/esd/distdata/ecosystems/TEI_Scanned_Maps/B01/B01-4745</v>
      </c>
      <c r="U42" t="s">
        <v>58</v>
      </c>
      <c r="V42" t="s">
        <v>58</v>
      </c>
      <c r="W42" t="s">
        <v>58</v>
      </c>
      <c r="X42" t="s">
        <v>58</v>
      </c>
      <c r="Y42" t="s">
        <v>58</v>
      </c>
      <c r="Z42" t="s">
        <v>58</v>
      </c>
      <c r="AA42" t="s">
        <v>58</v>
      </c>
      <c r="AC42" t="s">
        <v>58</v>
      </c>
      <c r="AE42" t="s">
        <v>58</v>
      </c>
      <c r="AG42" t="s">
        <v>63</v>
      </c>
      <c r="AH42" s="11" t="str">
        <f t="shared" si="0"/>
        <v>mailto: soilterrain@victoria1.gov.bc.ca</v>
      </c>
    </row>
    <row r="43" spans="1:34">
      <c r="A43" t="s">
        <v>194</v>
      </c>
      <c r="B43" t="s">
        <v>56</v>
      </c>
      <c r="C43" s="10" t="s">
        <v>195</v>
      </c>
      <c r="D43" t="s">
        <v>58</v>
      </c>
      <c r="E43" t="s">
        <v>59</v>
      </c>
      <c r="F43" t="s">
        <v>196</v>
      </c>
      <c r="G43">
        <v>50000</v>
      </c>
      <c r="H43" t="s">
        <v>187</v>
      </c>
      <c r="I43" t="s">
        <v>58</v>
      </c>
      <c r="J43" t="s">
        <v>58</v>
      </c>
      <c r="K43" t="s">
        <v>61</v>
      </c>
      <c r="L43" t="s">
        <v>58</v>
      </c>
      <c r="M43" t="s">
        <v>58</v>
      </c>
      <c r="Q43" t="s">
        <v>58</v>
      </c>
      <c r="R43" s="11" t="str">
        <f>HYPERLINK("\\imagefiles.bcgov\imagery\scanned_maps\moe_terrain_maps\Scanned_T_maps_all\B01\B01-4746","\\imagefiles.bcgov\imagery\scanned_maps\moe_terrain_maps\Scanned_T_maps_all\B01\B01-4746")</f>
        <v>\\imagefiles.bcgov\imagery\scanned_maps\moe_terrain_maps\Scanned_T_maps_all\B01\B01-4746</v>
      </c>
      <c r="S43" t="s">
        <v>62</v>
      </c>
      <c r="T43" s="11" t="str">
        <f>HYPERLINK("http://www.env.gov.bc.ca/esd/distdata/ecosystems/TEI_Scanned_Maps/B01/B01-4746","http://www.env.gov.bc.ca/esd/distdata/ecosystems/TEI_Scanned_Maps/B01/B01-4746")</f>
        <v>http://www.env.gov.bc.ca/esd/distdata/ecosystems/TEI_Scanned_Maps/B01/B01-4746</v>
      </c>
      <c r="U43" t="s">
        <v>58</v>
      </c>
      <c r="V43" t="s">
        <v>58</v>
      </c>
      <c r="W43" t="s">
        <v>58</v>
      </c>
      <c r="X43" t="s">
        <v>58</v>
      </c>
      <c r="Y43" t="s">
        <v>58</v>
      </c>
      <c r="Z43" t="s">
        <v>58</v>
      </c>
      <c r="AA43" t="s">
        <v>58</v>
      </c>
      <c r="AC43" t="s">
        <v>58</v>
      </c>
      <c r="AE43" t="s">
        <v>58</v>
      </c>
      <c r="AG43" t="s">
        <v>63</v>
      </c>
      <c r="AH43" s="11" t="str">
        <f t="shared" si="0"/>
        <v>mailto: soilterrain@victoria1.gov.bc.ca</v>
      </c>
    </row>
    <row r="44" spans="1:34">
      <c r="A44" t="s">
        <v>197</v>
      </c>
      <c r="B44" t="s">
        <v>56</v>
      </c>
      <c r="C44" s="10" t="s">
        <v>198</v>
      </c>
      <c r="D44" t="s">
        <v>58</v>
      </c>
      <c r="E44" t="s">
        <v>166</v>
      </c>
      <c r="F44" t="s">
        <v>199</v>
      </c>
      <c r="G44">
        <v>50000</v>
      </c>
      <c r="H44" t="s">
        <v>168</v>
      </c>
      <c r="I44" t="s">
        <v>58</v>
      </c>
      <c r="J44" t="s">
        <v>58</v>
      </c>
      <c r="K44" t="s">
        <v>61</v>
      </c>
      <c r="L44" t="s">
        <v>58</v>
      </c>
      <c r="M44" t="s">
        <v>58</v>
      </c>
      <c r="Q44" t="s">
        <v>58</v>
      </c>
      <c r="R44" s="11" t="str">
        <f>HYPERLINK("\\imagefiles.bcgov\imagery\scanned_maps\moe_terrain_maps\Scanned_T_maps_all\B01\B01-4747","\\imagefiles.bcgov\imagery\scanned_maps\moe_terrain_maps\Scanned_T_maps_all\B01\B01-4747")</f>
        <v>\\imagefiles.bcgov\imagery\scanned_maps\moe_terrain_maps\Scanned_T_maps_all\B01\B01-4747</v>
      </c>
      <c r="S44" t="s">
        <v>62</v>
      </c>
      <c r="T44" s="11" t="str">
        <f>HYPERLINK("http://www.env.gov.bc.ca/esd/distdata/ecosystems/TEI_Scanned_Maps/B01/B01-4747","http://www.env.gov.bc.ca/esd/distdata/ecosystems/TEI_Scanned_Maps/B01/B01-4747")</f>
        <v>http://www.env.gov.bc.ca/esd/distdata/ecosystems/TEI_Scanned_Maps/B01/B01-4747</v>
      </c>
      <c r="U44" t="s">
        <v>58</v>
      </c>
      <c r="V44" t="s">
        <v>58</v>
      </c>
      <c r="W44" t="s">
        <v>58</v>
      </c>
      <c r="X44" t="s">
        <v>58</v>
      </c>
      <c r="Y44" t="s">
        <v>58</v>
      </c>
      <c r="Z44" t="s">
        <v>58</v>
      </c>
      <c r="AA44" t="s">
        <v>58</v>
      </c>
      <c r="AC44" t="s">
        <v>58</v>
      </c>
      <c r="AE44" t="s">
        <v>58</v>
      </c>
      <c r="AG44" t="s">
        <v>63</v>
      </c>
      <c r="AH44" s="11" t="str">
        <f t="shared" si="0"/>
        <v>mailto: soilterrain@victoria1.gov.bc.ca</v>
      </c>
    </row>
    <row r="45" spans="1:34">
      <c r="A45" t="s">
        <v>200</v>
      </c>
      <c r="B45" t="s">
        <v>56</v>
      </c>
      <c r="C45" s="10" t="s">
        <v>201</v>
      </c>
      <c r="D45" t="s">
        <v>58</v>
      </c>
      <c r="E45" t="s">
        <v>166</v>
      </c>
      <c r="F45" t="s">
        <v>202</v>
      </c>
      <c r="G45">
        <v>50000</v>
      </c>
      <c r="H45" t="s">
        <v>168</v>
      </c>
      <c r="I45" t="s">
        <v>58</v>
      </c>
      <c r="J45" t="s">
        <v>58</v>
      </c>
      <c r="K45" t="s">
        <v>61</v>
      </c>
      <c r="L45" t="s">
        <v>58</v>
      </c>
      <c r="M45" t="s">
        <v>58</v>
      </c>
      <c r="Q45" t="s">
        <v>58</v>
      </c>
      <c r="R45" s="11" t="str">
        <f>HYPERLINK("\\imagefiles.bcgov\imagery\scanned_maps\moe_terrain_maps\Scanned_T_maps_all\B01\B01-4748","\\imagefiles.bcgov\imagery\scanned_maps\moe_terrain_maps\Scanned_T_maps_all\B01\B01-4748")</f>
        <v>\\imagefiles.bcgov\imagery\scanned_maps\moe_terrain_maps\Scanned_T_maps_all\B01\B01-4748</v>
      </c>
      <c r="S45" t="s">
        <v>62</v>
      </c>
      <c r="T45" s="11" t="str">
        <f>HYPERLINK("http://www.env.gov.bc.ca/esd/distdata/ecosystems/TEI_Scanned_Maps/B01/B01-4748","http://www.env.gov.bc.ca/esd/distdata/ecosystems/TEI_Scanned_Maps/B01/B01-4748")</f>
        <v>http://www.env.gov.bc.ca/esd/distdata/ecosystems/TEI_Scanned_Maps/B01/B01-4748</v>
      </c>
      <c r="U45" t="s">
        <v>58</v>
      </c>
      <c r="V45" t="s">
        <v>58</v>
      </c>
      <c r="W45" t="s">
        <v>58</v>
      </c>
      <c r="X45" t="s">
        <v>58</v>
      </c>
      <c r="Y45" t="s">
        <v>58</v>
      </c>
      <c r="Z45" t="s">
        <v>58</v>
      </c>
      <c r="AA45" t="s">
        <v>58</v>
      </c>
      <c r="AC45" t="s">
        <v>58</v>
      </c>
      <c r="AE45" t="s">
        <v>58</v>
      </c>
      <c r="AG45" t="s">
        <v>63</v>
      </c>
      <c r="AH45" s="11" t="str">
        <f t="shared" si="0"/>
        <v>mailto: soilterrain@victoria1.gov.bc.ca</v>
      </c>
    </row>
    <row r="46" spans="1:34">
      <c r="A46" t="s">
        <v>203</v>
      </c>
      <c r="B46" t="s">
        <v>56</v>
      </c>
      <c r="C46" s="10" t="s">
        <v>204</v>
      </c>
      <c r="D46" t="s">
        <v>58</v>
      </c>
      <c r="E46" t="s">
        <v>166</v>
      </c>
      <c r="F46" t="s">
        <v>205</v>
      </c>
      <c r="G46">
        <v>50000</v>
      </c>
      <c r="H46" t="s">
        <v>168</v>
      </c>
      <c r="I46" t="s">
        <v>58</v>
      </c>
      <c r="J46" t="s">
        <v>58</v>
      </c>
      <c r="K46" t="s">
        <v>61</v>
      </c>
      <c r="L46" t="s">
        <v>58</v>
      </c>
      <c r="M46" t="s">
        <v>58</v>
      </c>
      <c r="Q46" t="s">
        <v>58</v>
      </c>
      <c r="R46" s="11" t="str">
        <f>HYPERLINK("\\imagefiles.bcgov\imagery\scanned_maps\moe_terrain_maps\Scanned_T_maps_all\B01\B01-4749","\\imagefiles.bcgov\imagery\scanned_maps\moe_terrain_maps\Scanned_T_maps_all\B01\B01-4749")</f>
        <v>\\imagefiles.bcgov\imagery\scanned_maps\moe_terrain_maps\Scanned_T_maps_all\B01\B01-4749</v>
      </c>
      <c r="S46" t="s">
        <v>62</v>
      </c>
      <c r="T46" s="11" t="str">
        <f>HYPERLINK("http://www.env.gov.bc.ca/esd/distdata/ecosystems/TEI_Scanned_Maps/B01/B01-4749","http://www.env.gov.bc.ca/esd/distdata/ecosystems/TEI_Scanned_Maps/B01/B01-4749")</f>
        <v>http://www.env.gov.bc.ca/esd/distdata/ecosystems/TEI_Scanned_Maps/B01/B01-4749</v>
      </c>
      <c r="U46" t="s">
        <v>58</v>
      </c>
      <c r="V46" t="s">
        <v>58</v>
      </c>
      <c r="W46" t="s">
        <v>58</v>
      </c>
      <c r="X46" t="s">
        <v>58</v>
      </c>
      <c r="Y46" t="s">
        <v>58</v>
      </c>
      <c r="Z46" t="s">
        <v>58</v>
      </c>
      <c r="AA46" t="s">
        <v>58</v>
      </c>
      <c r="AC46" t="s">
        <v>58</v>
      </c>
      <c r="AE46" t="s">
        <v>58</v>
      </c>
      <c r="AG46" t="s">
        <v>63</v>
      </c>
      <c r="AH46" s="11" t="str">
        <f t="shared" si="0"/>
        <v>mailto: soilterrain@victoria1.gov.bc.ca</v>
      </c>
    </row>
    <row r="47" spans="1:34">
      <c r="A47" t="s">
        <v>206</v>
      </c>
      <c r="B47" t="s">
        <v>56</v>
      </c>
      <c r="C47" s="10" t="s">
        <v>207</v>
      </c>
      <c r="D47" t="s">
        <v>58</v>
      </c>
      <c r="E47" t="s">
        <v>166</v>
      </c>
      <c r="F47" t="s">
        <v>208</v>
      </c>
      <c r="G47">
        <v>50000</v>
      </c>
      <c r="H47" t="s">
        <v>168</v>
      </c>
      <c r="I47" t="s">
        <v>58</v>
      </c>
      <c r="J47" t="s">
        <v>58</v>
      </c>
      <c r="K47" t="s">
        <v>61</v>
      </c>
      <c r="L47" t="s">
        <v>58</v>
      </c>
      <c r="M47" t="s">
        <v>58</v>
      </c>
      <c r="Q47" t="s">
        <v>58</v>
      </c>
      <c r="R47" s="11" t="str">
        <f>HYPERLINK("\\imagefiles.bcgov\imagery\scanned_maps\moe_terrain_maps\Scanned_T_maps_all\B01\B01-4750","\\imagefiles.bcgov\imagery\scanned_maps\moe_terrain_maps\Scanned_T_maps_all\B01\B01-4750")</f>
        <v>\\imagefiles.bcgov\imagery\scanned_maps\moe_terrain_maps\Scanned_T_maps_all\B01\B01-4750</v>
      </c>
      <c r="S47" t="s">
        <v>62</v>
      </c>
      <c r="T47" s="11" t="str">
        <f>HYPERLINK("http://www.env.gov.bc.ca/esd/distdata/ecosystems/TEI_Scanned_Maps/B01/B01-4750","http://www.env.gov.bc.ca/esd/distdata/ecosystems/TEI_Scanned_Maps/B01/B01-4750")</f>
        <v>http://www.env.gov.bc.ca/esd/distdata/ecosystems/TEI_Scanned_Maps/B01/B01-4750</v>
      </c>
      <c r="U47" t="s">
        <v>58</v>
      </c>
      <c r="V47" t="s">
        <v>58</v>
      </c>
      <c r="W47" t="s">
        <v>58</v>
      </c>
      <c r="X47" t="s">
        <v>58</v>
      </c>
      <c r="Y47" t="s">
        <v>58</v>
      </c>
      <c r="Z47" t="s">
        <v>58</v>
      </c>
      <c r="AA47" t="s">
        <v>58</v>
      </c>
      <c r="AC47" t="s">
        <v>58</v>
      </c>
      <c r="AE47" t="s">
        <v>58</v>
      </c>
      <c r="AG47" t="s">
        <v>63</v>
      </c>
      <c r="AH47" s="11" t="str">
        <f t="shared" si="0"/>
        <v>mailto: soilterrain@victoria1.gov.bc.ca</v>
      </c>
    </row>
    <row r="48" spans="1:34">
      <c r="A48" t="s">
        <v>209</v>
      </c>
      <c r="B48" t="s">
        <v>56</v>
      </c>
      <c r="C48" s="10" t="s">
        <v>210</v>
      </c>
      <c r="D48" t="s">
        <v>58</v>
      </c>
      <c r="E48" t="s">
        <v>59</v>
      </c>
      <c r="F48" t="s">
        <v>211</v>
      </c>
      <c r="G48">
        <v>50000</v>
      </c>
      <c r="H48" t="s">
        <v>168</v>
      </c>
      <c r="I48" t="s">
        <v>58</v>
      </c>
      <c r="J48" t="s">
        <v>58</v>
      </c>
      <c r="K48" t="s">
        <v>61</v>
      </c>
      <c r="L48" t="s">
        <v>58</v>
      </c>
      <c r="M48" t="s">
        <v>58</v>
      </c>
      <c r="Q48" t="s">
        <v>58</v>
      </c>
      <c r="R48" s="11" t="str">
        <f>HYPERLINK("\\imagefiles.bcgov\imagery\scanned_maps\moe_terrain_maps\Scanned_T_maps_all\B01\B01-4753","\\imagefiles.bcgov\imagery\scanned_maps\moe_terrain_maps\Scanned_T_maps_all\B01\B01-4753")</f>
        <v>\\imagefiles.bcgov\imagery\scanned_maps\moe_terrain_maps\Scanned_T_maps_all\B01\B01-4753</v>
      </c>
      <c r="S48" t="s">
        <v>62</v>
      </c>
      <c r="T48" s="11" t="str">
        <f>HYPERLINK("http://www.env.gov.bc.ca/esd/distdata/ecosystems/TEI_Scanned_Maps/B01/B01-4753","http://www.env.gov.bc.ca/esd/distdata/ecosystems/TEI_Scanned_Maps/B01/B01-4753")</f>
        <v>http://www.env.gov.bc.ca/esd/distdata/ecosystems/TEI_Scanned_Maps/B01/B01-4753</v>
      </c>
      <c r="U48" t="s">
        <v>58</v>
      </c>
      <c r="V48" t="s">
        <v>58</v>
      </c>
      <c r="W48" t="s">
        <v>58</v>
      </c>
      <c r="X48" t="s">
        <v>58</v>
      </c>
      <c r="Y48" t="s">
        <v>58</v>
      </c>
      <c r="Z48" t="s">
        <v>58</v>
      </c>
      <c r="AA48" t="s">
        <v>58</v>
      </c>
      <c r="AC48" t="s">
        <v>58</v>
      </c>
      <c r="AE48" t="s">
        <v>58</v>
      </c>
      <c r="AG48" t="s">
        <v>63</v>
      </c>
      <c r="AH48" s="11" t="str">
        <f t="shared" si="0"/>
        <v>mailto: soilterrain@victoria1.gov.bc.ca</v>
      </c>
    </row>
    <row r="49" spans="1:34">
      <c r="A49" t="s">
        <v>212</v>
      </c>
      <c r="B49" t="s">
        <v>56</v>
      </c>
      <c r="C49" s="10" t="s">
        <v>213</v>
      </c>
      <c r="D49" t="s">
        <v>58</v>
      </c>
      <c r="E49" t="s">
        <v>166</v>
      </c>
      <c r="F49" t="s">
        <v>214</v>
      </c>
      <c r="G49">
        <v>50000</v>
      </c>
      <c r="H49" t="s">
        <v>168</v>
      </c>
      <c r="I49" t="s">
        <v>58</v>
      </c>
      <c r="J49" t="s">
        <v>58</v>
      </c>
      <c r="K49" t="s">
        <v>61</v>
      </c>
      <c r="L49" t="s">
        <v>58</v>
      </c>
      <c r="M49" t="s">
        <v>58</v>
      </c>
      <c r="Q49" t="s">
        <v>58</v>
      </c>
      <c r="R49" s="11" t="str">
        <f>HYPERLINK("\\imagefiles.bcgov\imagery\scanned_maps\moe_terrain_maps\Scanned_T_maps_all\B01\B01-4754","\\imagefiles.bcgov\imagery\scanned_maps\moe_terrain_maps\Scanned_T_maps_all\B01\B01-4754")</f>
        <v>\\imagefiles.bcgov\imagery\scanned_maps\moe_terrain_maps\Scanned_T_maps_all\B01\B01-4754</v>
      </c>
      <c r="S49" t="s">
        <v>62</v>
      </c>
      <c r="T49" s="11" t="str">
        <f>HYPERLINK("http://www.env.gov.bc.ca/esd/distdata/ecosystems/TEI_Scanned_Maps/B01/B01-4754","http://www.env.gov.bc.ca/esd/distdata/ecosystems/TEI_Scanned_Maps/B01/B01-4754")</f>
        <v>http://www.env.gov.bc.ca/esd/distdata/ecosystems/TEI_Scanned_Maps/B01/B01-4754</v>
      </c>
      <c r="U49" t="s">
        <v>58</v>
      </c>
      <c r="V49" t="s">
        <v>58</v>
      </c>
      <c r="W49" t="s">
        <v>58</v>
      </c>
      <c r="X49" t="s">
        <v>58</v>
      </c>
      <c r="Y49" t="s">
        <v>58</v>
      </c>
      <c r="Z49" t="s">
        <v>58</v>
      </c>
      <c r="AA49" t="s">
        <v>58</v>
      </c>
      <c r="AC49" t="s">
        <v>58</v>
      </c>
      <c r="AE49" t="s">
        <v>58</v>
      </c>
      <c r="AG49" t="s">
        <v>63</v>
      </c>
      <c r="AH49" s="11" t="str">
        <f t="shared" si="0"/>
        <v>mailto: soilterrain@victoria1.gov.bc.ca</v>
      </c>
    </row>
    <row r="50" spans="1:34">
      <c r="A50" t="s">
        <v>215</v>
      </c>
      <c r="B50" t="s">
        <v>56</v>
      </c>
      <c r="C50" s="10" t="s">
        <v>216</v>
      </c>
      <c r="D50" t="s">
        <v>58</v>
      </c>
      <c r="E50" t="s">
        <v>166</v>
      </c>
      <c r="F50" t="s">
        <v>217</v>
      </c>
      <c r="G50">
        <v>50000</v>
      </c>
      <c r="H50" t="s">
        <v>168</v>
      </c>
      <c r="I50" t="s">
        <v>58</v>
      </c>
      <c r="J50" t="s">
        <v>58</v>
      </c>
      <c r="K50" t="s">
        <v>61</v>
      </c>
      <c r="L50" t="s">
        <v>58</v>
      </c>
      <c r="M50" t="s">
        <v>58</v>
      </c>
      <c r="Q50" t="s">
        <v>58</v>
      </c>
      <c r="R50" s="11" t="str">
        <f>HYPERLINK("\\imagefiles.bcgov\imagery\scanned_maps\moe_terrain_maps\Scanned_T_maps_all\B01\B01-4755","\\imagefiles.bcgov\imagery\scanned_maps\moe_terrain_maps\Scanned_T_maps_all\B01\B01-4755")</f>
        <v>\\imagefiles.bcgov\imagery\scanned_maps\moe_terrain_maps\Scanned_T_maps_all\B01\B01-4755</v>
      </c>
      <c r="S50" t="s">
        <v>62</v>
      </c>
      <c r="T50" s="11" t="str">
        <f>HYPERLINK("http://www.env.gov.bc.ca/esd/distdata/ecosystems/TEI_Scanned_Maps/B01/B01-4755","http://www.env.gov.bc.ca/esd/distdata/ecosystems/TEI_Scanned_Maps/B01/B01-4755")</f>
        <v>http://www.env.gov.bc.ca/esd/distdata/ecosystems/TEI_Scanned_Maps/B01/B01-4755</v>
      </c>
      <c r="U50" t="s">
        <v>58</v>
      </c>
      <c r="V50" t="s">
        <v>58</v>
      </c>
      <c r="W50" t="s">
        <v>58</v>
      </c>
      <c r="X50" t="s">
        <v>58</v>
      </c>
      <c r="Y50" t="s">
        <v>58</v>
      </c>
      <c r="Z50" t="s">
        <v>58</v>
      </c>
      <c r="AA50" t="s">
        <v>58</v>
      </c>
      <c r="AC50" t="s">
        <v>58</v>
      </c>
      <c r="AE50" t="s">
        <v>58</v>
      </c>
      <c r="AG50" t="s">
        <v>63</v>
      </c>
      <c r="AH50" s="11" t="str">
        <f t="shared" si="0"/>
        <v>mailto: soilterrain@victoria1.gov.bc.ca</v>
      </c>
    </row>
    <row r="51" spans="1:34">
      <c r="A51" t="s">
        <v>218</v>
      </c>
      <c r="B51" t="s">
        <v>56</v>
      </c>
      <c r="C51" s="10" t="s">
        <v>219</v>
      </c>
      <c r="D51" t="s">
        <v>58</v>
      </c>
      <c r="E51" t="s">
        <v>166</v>
      </c>
      <c r="F51" t="s">
        <v>220</v>
      </c>
      <c r="G51">
        <v>50000</v>
      </c>
      <c r="H51" t="s">
        <v>168</v>
      </c>
      <c r="I51" t="s">
        <v>58</v>
      </c>
      <c r="J51" t="s">
        <v>58</v>
      </c>
      <c r="K51" t="s">
        <v>61</v>
      </c>
      <c r="L51" t="s">
        <v>58</v>
      </c>
      <c r="M51" t="s">
        <v>58</v>
      </c>
      <c r="Q51" t="s">
        <v>58</v>
      </c>
      <c r="R51" s="11" t="str">
        <f>HYPERLINK("\\imagefiles.bcgov\imagery\scanned_maps\moe_terrain_maps\Scanned_T_maps_all\B01\B01-4756","\\imagefiles.bcgov\imagery\scanned_maps\moe_terrain_maps\Scanned_T_maps_all\B01\B01-4756")</f>
        <v>\\imagefiles.bcgov\imagery\scanned_maps\moe_terrain_maps\Scanned_T_maps_all\B01\B01-4756</v>
      </c>
      <c r="S51" t="s">
        <v>62</v>
      </c>
      <c r="T51" s="11" t="str">
        <f>HYPERLINK("http://www.env.gov.bc.ca/esd/distdata/ecosystems/TEI_Scanned_Maps/B01/B01-4756","http://www.env.gov.bc.ca/esd/distdata/ecosystems/TEI_Scanned_Maps/B01/B01-4756")</f>
        <v>http://www.env.gov.bc.ca/esd/distdata/ecosystems/TEI_Scanned_Maps/B01/B01-4756</v>
      </c>
      <c r="U51" t="s">
        <v>58</v>
      </c>
      <c r="V51" t="s">
        <v>58</v>
      </c>
      <c r="W51" t="s">
        <v>58</v>
      </c>
      <c r="X51" t="s">
        <v>58</v>
      </c>
      <c r="Y51" t="s">
        <v>58</v>
      </c>
      <c r="Z51" t="s">
        <v>58</v>
      </c>
      <c r="AA51" t="s">
        <v>58</v>
      </c>
      <c r="AC51" t="s">
        <v>58</v>
      </c>
      <c r="AE51" t="s">
        <v>58</v>
      </c>
      <c r="AG51" t="s">
        <v>63</v>
      </c>
      <c r="AH51" s="11" t="str">
        <f t="shared" si="0"/>
        <v>mailto: soilterrain@victoria1.gov.bc.ca</v>
      </c>
    </row>
    <row r="52" spans="1:34">
      <c r="A52" t="s">
        <v>221</v>
      </c>
      <c r="B52" t="s">
        <v>56</v>
      </c>
      <c r="C52" s="10" t="s">
        <v>222</v>
      </c>
      <c r="D52" t="s">
        <v>58</v>
      </c>
      <c r="E52" t="s">
        <v>166</v>
      </c>
      <c r="F52" t="s">
        <v>223</v>
      </c>
      <c r="G52">
        <v>50000</v>
      </c>
      <c r="H52" t="s">
        <v>168</v>
      </c>
      <c r="I52" t="s">
        <v>58</v>
      </c>
      <c r="J52" t="s">
        <v>58</v>
      </c>
      <c r="K52" t="s">
        <v>61</v>
      </c>
      <c r="L52" t="s">
        <v>58</v>
      </c>
      <c r="M52" t="s">
        <v>58</v>
      </c>
      <c r="Q52" t="s">
        <v>58</v>
      </c>
      <c r="R52" s="11" t="str">
        <f>HYPERLINK("\\imagefiles.bcgov\imagery\scanned_maps\moe_terrain_maps\Scanned_T_maps_all\B01\B01-4757","\\imagefiles.bcgov\imagery\scanned_maps\moe_terrain_maps\Scanned_T_maps_all\B01\B01-4757")</f>
        <v>\\imagefiles.bcgov\imagery\scanned_maps\moe_terrain_maps\Scanned_T_maps_all\B01\B01-4757</v>
      </c>
      <c r="S52" t="s">
        <v>62</v>
      </c>
      <c r="T52" s="11" t="str">
        <f>HYPERLINK("http://www.env.gov.bc.ca/esd/distdata/ecosystems/TEI_Scanned_Maps/B01/B01-4757","http://www.env.gov.bc.ca/esd/distdata/ecosystems/TEI_Scanned_Maps/B01/B01-4757")</f>
        <v>http://www.env.gov.bc.ca/esd/distdata/ecosystems/TEI_Scanned_Maps/B01/B01-4757</v>
      </c>
      <c r="U52" t="s">
        <v>58</v>
      </c>
      <c r="V52" t="s">
        <v>58</v>
      </c>
      <c r="W52" t="s">
        <v>58</v>
      </c>
      <c r="X52" t="s">
        <v>58</v>
      </c>
      <c r="Y52" t="s">
        <v>58</v>
      </c>
      <c r="Z52" t="s">
        <v>58</v>
      </c>
      <c r="AA52" t="s">
        <v>58</v>
      </c>
      <c r="AC52" t="s">
        <v>58</v>
      </c>
      <c r="AE52" t="s">
        <v>58</v>
      </c>
      <c r="AG52" t="s">
        <v>63</v>
      </c>
      <c r="AH52" s="11" t="str">
        <f t="shared" si="0"/>
        <v>mailto: soilterrain@victoria1.gov.bc.ca</v>
      </c>
    </row>
    <row r="53" spans="1:34">
      <c r="A53" t="s">
        <v>224</v>
      </c>
      <c r="B53" t="s">
        <v>56</v>
      </c>
      <c r="C53" s="10" t="s">
        <v>225</v>
      </c>
      <c r="D53" t="s">
        <v>58</v>
      </c>
      <c r="E53" t="s">
        <v>166</v>
      </c>
      <c r="F53" t="s">
        <v>226</v>
      </c>
      <c r="G53">
        <v>50000</v>
      </c>
      <c r="H53" t="s">
        <v>168</v>
      </c>
      <c r="I53" t="s">
        <v>58</v>
      </c>
      <c r="J53" t="s">
        <v>58</v>
      </c>
      <c r="K53" t="s">
        <v>61</v>
      </c>
      <c r="L53" t="s">
        <v>58</v>
      </c>
      <c r="M53" t="s">
        <v>58</v>
      </c>
      <c r="Q53" t="s">
        <v>58</v>
      </c>
      <c r="R53" s="11" t="str">
        <f>HYPERLINK("\\imagefiles.bcgov\imagery\scanned_maps\moe_terrain_maps\Scanned_T_maps_all\B01\B01-4758","\\imagefiles.bcgov\imagery\scanned_maps\moe_terrain_maps\Scanned_T_maps_all\B01\B01-4758")</f>
        <v>\\imagefiles.bcgov\imagery\scanned_maps\moe_terrain_maps\Scanned_T_maps_all\B01\B01-4758</v>
      </c>
      <c r="S53" t="s">
        <v>62</v>
      </c>
      <c r="T53" s="11" t="str">
        <f>HYPERLINK("http://www.env.gov.bc.ca/esd/distdata/ecosystems/TEI_Scanned_Maps/B01/B01-4758","http://www.env.gov.bc.ca/esd/distdata/ecosystems/TEI_Scanned_Maps/B01/B01-4758")</f>
        <v>http://www.env.gov.bc.ca/esd/distdata/ecosystems/TEI_Scanned_Maps/B01/B01-4758</v>
      </c>
      <c r="U53" t="s">
        <v>58</v>
      </c>
      <c r="V53" t="s">
        <v>58</v>
      </c>
      <c r="W53" t="s">
        <v>58</v>
      </c>
      <c r="X53" t="s">
        <v>58</v>
      </c>
      <c r="Y53" t="s">
        <v>58</v>
      </c>
      <c r="Z53" t="s">
        <v>58</v>
      </c>
      <c r="AA53" t="s">
        <v>58</v>
      </c>
      <c r="AC53" t="s">
        <v>58</v>
      </c>
      <c r="AE53" t="s">
        <v>58</v>
      </c>
      <c r="AG53" t="s">
        <v>63</v>
      </c>
      <c r="AH53" s="11" t="str">
        <f t="shared" si="0"/>
        <v>mailto: soilterrain@victoria1.gov.bc.ca</v>
      </c>
    </row>
    <row r="54" spans="1:34">
      <c r="A54" t="s">
        <v>227</v>
      </c>
      <c r="B54" t="s">
        <v>56</v>
      </c>
      <c r="C54" s="10" t="s">
        <v>228</v>
      </c>
      <c r="D54" t="s">
        <v>58</v>
      </c>
      <c r="E54" t="s">
        <v>166</v>
      </c>
      <c r="F54" t="s">
        <v>229</v>
      </c>
      <c r="G54">
        <v>50000</v>
      </c>
      <c r="H54" t="s">
        <v>168</v>
      </c>
      <c r="I54" t="s">
        <v>58</v>
      </c>
      <c r="J54" t="s">
        <v>58</v>
      </c>
      <c r="K54" t="s">
        <v>61</v>
      </c>
      <c r="L54" t="s">
        <v>58</v>
      </c>
      <c r="M54" t="s">
        <v>58</v>
      </c>
      <c r="Q54" t="s">
        <v>58</v>
      </c>
      <c r="R54" s="11" t="str">
        <f>HYPERLINK("\\imagefiles.bcgov\imagery\scanned_maps\moe_terrain_maps\Scanned_T_maps_all\B01\B01-4759","\\imagefiles.bcgov\imagery\scanned_maps\moe_terrain_maps\Scanned_T_maps_all\B01\B01-4759")</f>
        <v>\\imagefiles.bcgov\imagery\scanned_maps\moe_terrain_maps\Scanned_T_maps_all\B01\B01-4759</v>
      </c>
      <c r="S54" t="s">
        <v>62</v>
      </c>
      <c r="T54" s="11" t="str">
        <f>HYPERLINK("http://www.env.gov.bc.ca/esd/distdata/ecosystems/TEI_Scanned_Maps/B01/B01-4759","http://www.env.gov.bc.ca/esd/distdata/ecosystems/TEI_Scanned_Maps/B01/B01-4759")</f>
        <v>http://www.env.gov.bc.ca/esd/distdata/ecosystems/TEI_Scanned_Maps/B01/B01-4759</v>
      </c>
      <c r="U54" t="s">
        <v>58</v>
      </c>
      <c r="V54" t="s">
        <v>58</v>
      </c>
      <c r="W54" t="s">
        <v>58</v>
      </c>
      <c r="X54" t="s">
        <v>58</v>
      </c>
      <c r="Y54" t="s">
        <v>58</v>
      </c>
      <c r="Z54" t="s">
        <v>58</v>
      </c>
      <c r="AA54" t="s">
        <v>58</v>
      </c>
      <c r="AC54" t="s">
        <v>58</v>
      </c>
      <c r="AE54" t="s">
        <v>58</v>
      </c>
      <c r="AG54" t="s">
        <v>63</v>
      </c>
      <c r="AH54" s="11" t="str">
        <f t="shared" si="0"/>
        <v>mailto: soilterrain@victoria1.gov.bc.ca</v>
      </c>
    </row>
    <row r="55" spans="1:34">
      <c r="A55" t="s">
        <v>230</v>
      </c>
      <c r="B55" t="s">
        <v>56</v>
      </c>
      <c r="C55" s="10" t="s">
        <v>231</v>
      </c>
      <c r="D55" t="s">
        <v>58</v>
      </c>
      <c r="E55" t="s">
        <v>166</v>
      </c>
      <c r="F55" t="s">
        <v>232</v>
      </c>
      <c r="G55">
        <v>50000</v>
      </c>
      <c r="H55" t="s">
        <v>168</v>
      </c>
      <c r="I55" t="s">
        <v>58</v>
      </c>
      <c r="J55" t="s">
        <v>58</v>
      </c>
      <c r="K55" t="s">
        <v>61</v>
      </c>
      <c r="L55" t="s">
        <v>58</v>
      </c>
      <c r="M55" t="s">
        <v>58</v>
      </c>
      <c r="Q55" t="s">
        <v>58</v>
      </c>
      <c r="R55" s="11" t="str">
        <f>HYPERLINK("\\imagefiles.bcgov\imagery\scanned_maps\moe_terrain_maps\Scanned_T_maps_all\B01\B01-4760","\\imagefiles.bcgov\imagery\scanned_maps\moe_terrain_maps\Scanned_T_maps_all\B01\B01-4760")</f>
        <v>\\imagefiles.bcgov\imagery\scanned_maps\moe_terrain_maps\Scanned_T_maps_all\B01\B01-4760</v>
      </c>
      <c r="S55" t="s">
        <v>62</v>
      </c>
      <c r="T55" s="11" t="str">
        <f>HYPERLINK("http://www.env.gov.bc.ca/esd/distdata/ecosystems/TEI_Scanned_Maps/B01/B01-4760","http://www.env.gov.bc.ca/esd/distdata/ecosystems/TEI_Scanned_Maps/B01/B01-4760")</f>
        <v>http://www.env.gov.bc.ca/esd/distdata/ecosystems/TEI_Scanned_Maps/B01/B01-4760</v>
      </c>
      <c r="U55" t="s">
        <v>58</v>
      </c>
      <c r="V55" t="s">
        <v>58</v>
      </c>
      <c r="W55" t="s">
        <v>58</v>
      </c>
      <c r="X55" t="s">
        <v>58</v>
      </c>
      <c r="Y55" t="s">
        <v>58</v>
      </c>
      <c r="Z55" t="s">
        <v>58</v>
      </c>
      <c r="AA55" t="s">
        <v>58</v>
      </c>
      <c r="AC55" t="s">
        <v>58</v>
      </c>
      <c r="AE55" t="s">
        <v>58</v>
      </c>
      <c r="AG55" t="s">
        <v>63</v>
      </c>
      <c r="AH55" s="11" t="str">
        <f t="shared" si="0"/>
        <v>mailto: soilterrain@victoria1.gov.bc.ca</v>
      </c>
    </row>
    <row r="56" spans="1:34">
      <c r="A56" t="s">
        <v>233</v>
      </c>
      <c r="B56" t="s">
        <v>56</v>
      </c>
      <c r="C56" s="10" t="s">
        <v>234</v>
      </c>
      <c r="D56" t="s">
        <v>58</v>
      </c>
      <c r="E56" t="s">
        <v>166</v>
      </c>
      <c r="F56" t="s">
        <v>235</v>
      </c>
      <c r="G56">
        <v>50000</v>
      </c>
      <c r="H56" t="s">
        <v>168</v>
      </c>
      <c r="I56" t="s">
        <v>58</v>
      </c>
      <c r="J56" t="s">
        <v>58</v>
      </c>
      <c r="K56" t="s">
        <v>61</v>
      </c>
      <c r="L56" t="s">
        <v>58</v>
      </c>
      <c r="M56" t="s">
        <v>58</v>
      </c>
      <c r="Q56" t="s">
        <v>58</v>
      </c>
      <c r="R56" s="11" t="str">
        <f>HYPERLINK("\\imagefiles.bcgov\imagery\scanned_maps\moe_terrain_maps\Scanned_T_maps_all\B01\B01-4761","\\imagefiles.bcgov\imagery\scanned_maps\moe_terrain_maps\Scanned_T_maps_all\B01\B01-4761")</f>
        <v>\\imagefiles.bcgov\imagery\scanned_maps\moe_terrain_maps\Scanned_T_maps_all\B01\B01-4761</v>
      </c>
      <c r="S56" t="s">
        <v>62</v>
      </c>
      <c r="T56" s="11" t="str">
        <f>HYPERLINK("http://www.env.gov.bc.ca/esd/distdata/ecosystems/TEI_Scanned_Maps/B01/B01-4761","http://www.env.gov.bc.ca/esd/distdata/ecosystems/TEI_Scanned_Maps/B01/B01-4761")</f>
        <v>http://www.env.gov.bc.ca/esd/distdata/ecosystems/TEI_Scanned_Maps/B01/B01-4761</v>
      </c>
      <c r="U56" t="s">
        <v>58</v>
      </c>
      <c r="V56" t="s">
        <v>58</v>
      </c>
      <c r="W56" t="s">
        <v>58</v>
      </c>
      <c r="X56" t="s">
        <v>58</v>
      </c>
      <c r="Y56" t="s">
        <v>58</v>
      </c>
      <c r="Z56" t="s">
        <v>58</v>
      </c>
      <c r="AA56" t="s">
        <v>58</v>
      </c>
      <c r="AC56" t="s">
        <v>58</v>
      </c>
      <c r="AE56" t="s">
        <v>58</v>
      </c>
      <c r="AG56" t="s">
        <v>63</v>
      </c>
      <c r="AH56" s="11" t="str">
        <f t="shared" si="0"/>
        <v>mailto: soilterrain@victoria1.gov.bc.ca</v>
      </c>
    </row>
    <row r="57" spans="1:34">
      <c r="A57" t="s">
        <v>236</v>
      </c>
      <c r="B57" t="s">
        <v>56</v>
      </c>
      <c r="C57" s="10" t="s">
        <v>237</v>
      </c>
      <c r="D57" t="s">
        <v>58</v>
      </c>
      <c r="E57" t="s">
        <v>166</v>
      </c>
      <c r="F57" t="s">
        <v>238</v>
      </c>
      <c r="G57">
        <v>50000</v>
      </c>
      <c r="H57" t="s">
        <v>168</v>
      </c>
      <c r="I57" t="s">
        <v>58</v>
      </c>
      <c r="J57" t="s">
        <v>58</v>
      </c>
      <c r="K57" t="s">
        <v>61</v>
      </c>
      <c r="L57" t="s">
        <v>58</v>
      </c>
      <c r="M57" t="s">
        <v>58</v>
      </c>
      <c r="Q57" t="s">
        <v>58</v>
      </c>
      <c r="R57" s="11" t="str">
        <f>HYPERLINK("\\imagefiles.bcgov\imagery\scanned_maps\moe_terrain_maps\Scanned_T_maps_all\B01\B01-4762","\\imagefiles.bcgov\imagery\scanned_maps\moe_terrain_maps\Scanned_T_maps_all\B01\B01-4762")</f>
        <v>\\imagefiles.bcgov\imagery\scanned_maps\moe_terrain_maps\Scanned_T_maps_all\B01\B01-4762</v>
      </c>
      <c r="S57" t="s">
        <v>62</v>
      </c>
      <c r="T57" s="11" t="str">
        <f>HYPERLINK("http://www.env.gov.bc.ca/esd/distdata/ecosystems/TEI_Scanned_Maps/B01/B01-4762","http://www.env.gov.bc.ca/esd/distdata/ecosystems/TEI_Scanned_Maps/B01/B01-4762")</f>
        <v>http://www.env.gov.bc.ca/esd/distdata/ecosystems/TEI_Scanned_Maps/B01/B01-4762</v>
      </c>
      <c r="U57" t="s">
        <v>58</v>
      </c>
      <c r="V57" t="s">
        <v>58</v>
      </c>
      <c r="W57" t="s">
        <v>58</v>
      </c>
      <c r="X57" t="s">
        <v>58</v>
      </c>
      <c r="Y57" t="s">
        <v>58</v>
      </c>
      <c r="Z57" t="s">
        <v>58</v>
      </c>
      <c r="AA57" t="s">
        <v>58</v>
      </c>
      <c r="AC57" t="s">
        <v>58</v>
      </c>
      <c r="AE57" t="s">
        <v>58</v>
      </c>
      <c r="AG57" t="s">
        <v>63</v>
      </c>
      <c r="AH57" s="11" t="str">
        <f t="shared" si="0"/>
        <v>mailto: soilterrain@victoria1.gov.bc.ca</v>
      </c>
    </row>
    <row r="58" spans="1:34">
      <c r="A58" t="s">
        <v>239</v>
      </c>
      <c r="B58" t="s">
        <v>56</v>
      </c>
      <c r="C58" s="10" t="s">
        <v>240</v>
      </c>
      <c r="D58" t="s">
        <v>61</v>
      </c>
      <c r="E58" t="s">
        <v>241</v>
      </c>
      <c r="F58" t="s">
        <v>242</v>
      </c>
      <c r="G58">
        <v>63360</v>
      </c>
      <c r="H58" t="s">
        <v>243</v>
      </c>
      <c r="I58" t="s">
        <v>244</v>
      </c>
      <c r="J58" t="s">
        <v>61</v>
      </c>
      <c r="K58" t="s">
        <v>61</v>
      </c>
      <c r="L58" t="s">
        <v>58</v>
      </c>
      <c r="M58" t="s">
        <v>58</v>
      </c>
      <c r="Q58" t="s">
        <v>58</v>
      </c>
      <c r="R58" s="11" t="str">
        <f>HYPERLINK("\\imagefiles.bcgov\imagery\scanned_maps\moe_terrain_maps\Scanned_T_maps_all\B01\B01-4763","\\imagefiles.bcgov\imagery\scanned_maps\moe_terrain_maps\Scanned_T_maps_all\B01\B01-4763")</f>
        <v>\\imagefiles.bcgov\imagery\scanned_maps\moe_terrain_maps\Scanned_T_maps_all\B01\B01-4763</v>
      </c>
      <c r="S58" t="s">
        <v>62</v>
      </c>
      <c r="T58" s="11" t="str">
        <f>HYPERLINK("http://www.env.gov.bc.ca/esd/distdata/ecosystems/TEI_Scanned_Maps/B01/B01-4763","http://www.env.gov.bc.ca/esd/distdata/ecosystems/TEI_Scanned_Maps/B01/B01-4763")</f>
        <v>http://www.env.gov.bc.ca/esd/distdata/ecosystems/TEI_Scanned_Maps/B01/B01-4763</v>
      </c>
      <c r="U58" t="s">
        <v>58</v>
      </c>
      <c r="V58" t="s">
        <v>58</v>
      </c>
      <c r="W58" t="s">
        <v>58</v>
      </c>
      <c r="X58" t="s">
        <v>58</v>
      </c>
      <c r="Y58" t="s">
        <v>58</v>
      </c>
      <c r="Z58" t="s">
        <v>58</v>
      </c>
      <c r="AA58" t="s">
        <v>58</v>
      </c>
      <c r="AC58" t="s">
        <v>58</v>
      </c>
      <c r="AE58" t="s">
        <v>58</v>
      </c>
      <c r="AG58" t="s">
        <v>63</v>
      </c>
      <c r="AH58" s="11" t="str">
        <f t="shared" si="0"/>
        <v>mailto: soilterrain@victoria1.gov.bc.ca</v>
      </c>
    </row>
    <row r="59" spans="1:34">
      <c r="A59" t="s">
        <v>245</v>
      </c>
      <c r="B59" t="s">
        <v>56</v>
      </c>
      <c r="C59" s="10" t="s">
        <v>240</v>
      </c>
      <c r="D59" t="s">
        <v>61</v>
      </c>
      <c r="E59" t="s">
        <v>241</v>
      </c>
      <c r="F59" t="s">
        <v>246</v>
      </c>
      <c r="G59">
        <v>63360</v>
      </c>
      <c r="H59" t="s">
        <v>243</v>
      </c>
      <c r="I59" t="s">
        <v>244</v>
      </c>
      <c r="J59" t="s">
        <v>61</v>
      </c>
      <c r="K59" t="s">
        <v>58</v>
      </c>
      <c r="L59" t="s">
        <v>58</v>
      </c>
      <c r="M59" t="s">
        <v>58</v>
      </c>
      <c r="P59" t="s">
        <v>61</v>
      </c>
      <c r="Q59" t="s">
        <v>58</v>
      </c>
      <c r="R59" s="11" t="str">
        <f>HYPERLINK("\\imagefiles.bcgov\imagery\scanned_maps\moe_terrain_maps\Scanned_T_maps_all\B01\B01-4764","\\imagefiles.bcgov\imagery\scanned_maps\moe_terrain_maps\Scanned_T_maps_all\B01\B01-4764")</f>
        <v>\\imagefiles.bcgov\imagery\scanned_maps\moe_terrain_maps\Scanned_T_maps_all\B01\B01-4764</v>
      </c>
      <c r="S59" t="s">
        <v>62</v>
      </c>
      <c r="T59" s="11" t="str">
        <f>HYPERLINK("http://www.env.gov.bc.ca/esd/distdata/ecosystems/TEI_Scanned_Maps/B01/B01-4764","http://www.env.gov.bc.ca/esd/distdata/ecosystems/TEI_Scanned_Maps/B01/B01-4764")</f>
        <v>http://www.env.gov.bc.ca/esd/distdata/ecosystems/TEI_Scanned_Maps/B01/B01-4764</v>
      </c>
      <c r="U59" t="s">
        <v>58</v>
      </c>
      <c r="V59" t="s">
        <v>58</v>
      </c>
      <c r="W59" t="s">
        <v>58</v>
      </c>
      <c r="X59" t="s">
        <v>58</v>
      </c>
      <c r="Y59" t="s">
        <v>58</v>
      </c>
      <c r="Z59" t="s">
        <v>58</v>
      </c>
      <c r="AA59" t="s">
        <v>58</v>
      </c>
      <c r="AC59" t="s">
        <v>58</v>
      </c>
      <c r="AE59" t="s">
        <v>58</v>
      </c>
      <c r="AG59" t="s">
        <v>63</v>
      </c>
      <c r="AH59" s="11" t="str">
        <f t="shared" si="0"/>
        <v>mailto: soilterrain@victoria1.gov.bc.ca</v>
      </c>
    </row>
    <row r="60" spans="1:34">
      <c r="A60" t="s">
        <v>247</v>
      </c>
      <c r="B60" t="s">
        <v>56</v>
      </c>
      <c r="C60" s="10" t="s">
        <v>240</v>
      </c>
      <c r="D60" t="s">
        <v>61</v>
      </c>
      <c r="E60" t="s">
        <v>241</v>
      </c>
      <c r="F60" t="s">
        <v>248</v>
      </c>
      <c r="G60">
        <v>63360</v>
      </c>
      <c r="H60" t="s">
        <v>243</v>
      </c>
      <c r="I60" t="s">
        <v>244</v>
      </c>
      <c r="J60" t="s">
        <v>61</v>
      </c>
      <c r="K60" t="s">
        <v>61</v>
      </c>
      <c r="L60" t="s">
        <v>58</v>
      </c>
      <c r="M60" t="s">
        <v>58</v>
      </c>
      <c r="Q60" t="s">
        <v>58</v>
      </c>
      <c r="R60" s="11" t="str">
        <f>HYPERLINK("\\imagefiles.bcgov\imagery\scanned_maps\moe_terrain_maps\Scanned_T_maps_all\B01\B01-4765","\\imagefiles.bcgov\imagery\scanned_maps\moe_terrain_maps\Scanned_T_maps_all\B01\B01-4765")</f>
        <v>\\imagefiles.bcgov\imagery\scanned_maps\moe_terrain_maps\Scanned_T_maps_all\B01\B01-4765</v>
      </c>
      <c r="S60" t="s">
        <v>62</v>
      </c>
      <c r="T60" s="11" t="str">
        <f>HYPERLINK("http://www.env.gov.bc.ca/esd/distdata/ecosystems/TEI_Scanned_Maps/B01/B01-4765","http://www.env.gov.bc.ca/esd/distdata/ecosystems/TEI_Scanned_Maps/B01/B01-4765")</f>
        <v>http://www.env.gov.bc.ca/esd/distdata/ecosystems/TEI_Scanned_Maps/B01/B01-4765</v>
      </c>
      <c r="U60" t="s">
        <v>58</v>
      </c>
      <c r="V60" t="s">
        <v>58</v>
      </c>
      <c r="W60" t="s">
        <v>58</v>
      </c>
      <c r="X60" t="s">
        <v>58</v>
      </c>
      <c r="Y60" t="s">
        <v>58</v>
      </c>
      <c r="Z60" t="s">
        <v>58</v>
      </c>
      <c r="AA60" t="s">
        <v>58</v>
      </c>
      <c r="AC60" t="s">
        <v>58</v>
      </c>
      <c r="AE60" t="s">
        <v>58</v>
      </c>
      <c r="AG60" t="s">
        <v>63</v>
      </c>
      <c r="AH60" s="11" t="str">
        <f t="shared" si="0"/>
        <v>mailto: soilterrain@victoria1.gov.bc.ca</v>
      </c>
    </row>
    <row r="61" spans="1:34">
      <c r="A61" t="s">
        <v>249</v>
      </c>
      <c r="B61" t="s">
        <v>56</v>
      </c>
      <c r="C61" s="10" t="s">
        <v>240</v>
      </c>
      <c r="D61" t="s">
        <v>61</v>
      </c>
      <c r="E61" t="s">
        <v>241</v>
      </c>
      <c r="F61" t="s">
        <v>250</v>
      </c>
      <c r="G61">
        <v>63360</v>
      </c>
      <c r="H61" t="s">
        <v>243</v>
      </c>
      <c r="I61" t="s">
        <v>244</v>
      </c>
      <c r="J61" t="s">
        <v>61</v>
      </c>
      <c r="K61" t="s">
        <v>58</v>
      </c>
      <c r="L61" t="s">
        <v>58</v>
      </c>
      <c r="M61" t="s">
        <v>58</v>
      </c>
      <c r="P61" t="s">
        <v>61</v>
      </c>
      <c r="Q61" t="s">
        <v>58</v>
      </c>
      <c r="R61" s="11" t="str">
        <f>HYPERLINK("\\imagefiles.bcgov\imagery\scanned_maps\moe_terrain_maps\Scanned_T_maps_all\B01\B01-4766","\\imagefiles.bcgov\imagery\scanned_maps\moe_terrain_maps\Scanned_T_maps_all\B01\B01-4766")</f>
        <v>\\imagefiles.bcgov\imagery\scanned_maps\moe_terrain_maps\Scanned_T_maps_all\B01\B01-4766</v>
      </c>
      <c r="S61" t="s">
        <v>62</v>
      </c>
      <c r="T61" s="11" t="str">
        <f>HYPERLINK("http://www.env.gov.bc.ca/esd/distdata/ecosystems/TEI_Scanned_Maps/B01/B01-4766","http://www.env.gov.bc.ca/esd/distdata/ecosystems/TEI_Scanned_Maps/B01/B01-4766")</f>
        <v>http://www.env.gov.bc.ca/esd/distdata/ecosystems/TEI_Scanned_Maps/B01/B01-4766</v>
      </c>
      <c r="U61" t="s">
        <v>58</v>
      </c>
      <c r="V61" t="s">
        <v>58</v>
      </c>
      <c r="W61" t="s">
        <v>58</v>
      </c>
      <c r="X61" t="s">
        <v>58</v>
      </c>
      <c r="Y61" t="s">
        <v>58</v>
      </c>
      <c r="Z61" t="s">
        <v>58</v>
      </c>
      <c r="AA61" t="s">
        <v>58</v>
      </c>
      <c r="AC61" t="s">
        <v>58</v>
      </c>
      <c r="AE61" t="s">
        <v>58</v>
      </c>
      <c r="AG61" t="s">
        <v>63</v>
      </c>
      <c r="AH61" s="11" t="str">
        <f t="shared" si="0"/>
        <v>mailto: soilterrain@victoria1.gov.bc.ca</v>
      </c>
    </row>
    <row r="62" spans="1:34">
      <c r="A62" t="s">
        <v>251</v>
      </c>
      <c r="B62" t="s">
        <v>56</v>
      </c>
      <c r="C62" s="10" t="s">
        <v>252</v>
      </c>
      <c r="D62" t="s">
        <v>58</v>
      </c>
      <c r="E62" t="s">
        <v>166</v>
      </c>
      <c r="F62" t="s">
        <v>253</v>
      </c>
      <c r="G62">
        <v>50000</v>
      </c>
      <c r="H62" t="s">
        <v>168</v>
      </c>
      <c r="I62" t="s">
        <v>58</v>
      </c>
      <c r="J62" t="s">
        <v>58</v>
      </c>
      <c r="K62" t="s">
        <v>61</v>
      </c>
      <c r="L62" t="s">
        <v>58</v>
      </c>
      <c r="M62" t="s">
        <v>58</v>
      </c>
      <c r="Q62" t="s">
        <v>58</v>
      </c>
      <c r="R62" s="11" t="str">
        <f>HYPERLINK("\\imagefiles.bcgov\imagery\scanned_maps\moe_terrain_maps\Scanned_T_maps_all\B01\B01-4767","\\imagefiles.bcgov\imagery\scanned_maps\moe_terrain_maps\Scanned_T_maps_all\B01\B01-4767")</f>
        <v>\\imagefiles.bcgov\imagery\scanned_maps\moe_terrain_maps\Scanned_T_maps_all\B01\B01-4767</v>
      </c>
      <c r="S62" t="s">
        <v>62</v>
      </c>
      <c r="T62" s="11" t="str">
        <f>HYPERLINK("http://www.env.gov.bc.ca/esd/distdata/ecosystems/TEI_Scanned_Maps/B01/B01-4767","http://www.env.gov.bc.ca/esd/distdata/ecosystems/TEI_Scanned_Maps/B01/B01-4767")</f>
        <v>http://www.env.gov.bc.ca/esd/distdata/ecosystems/TEI_Scanned_Maps/B01/B01-4767</v>
      </c>
      <c r="U62" t="s">
        <v>58</v>
      </c>
      <c r="V62" t="s">
        <v>58</v>
      </c>
      <c r="W62" t="s">
        <v>58</v>
      </c>
      <c r="X62" t="s">
        <v>58</v>
      </c>
      <c r="Y62" t="s">
        <v>58</v>
      </c>
      <c r="Z62" t="s">
        <v>58</v>
      </c>
      <c r="AA62" t="s">
        <v>58</v>
      </c>
      <c r="AC62" t="s">
        <v>58</v>
      </c>
      <c r="AE62" t="s">
        <v>58</v>
      </c>
      <c r="AG62" t="s">
        <v>63</v>
      </c>
      <c r="AH62" s="11" t="str">
        <f t="shared" si="0"/>
        <v>mailto: soilterrain@victoria1.gov.bc.ca</v>
      </c>
    </row>
    <row r="63" spans="1:34">
      <c r="A63" t="s">
        <v>254</v>
      </c>
      <c r="B63" t="s">
        <v>56</v>
      </c>
      <c r="C63" s="10" t="s">
        <v>255</v>
      </c>
      <c r="D63" t="s">
        <v>58</v>
      </c>
      <c r="E63" t="s">
        <v>166</v>
      </c>
      <c r="F63" t="s">
        <v>256</v>
      </c>
      <c r="G63">
        <v>50000</v>
      </c>
      <c r="H63" t="s">
        <v>168</v>
      </c>
      <c r="I63" t="s">
        <v>58</v>
      </c>
      <c r="J63" t="s">
        <v>58</v>
      </c>
      <c r="K63" t="s">
        <v>61</v>
      </c>
      <c r="L63" t="s">
        <v>58</v>
      </c>
      <c r="M63" t="s">
        <v>58</v>
      </c>
      <c r="Q63" t="s">
        <v>58</v>
      </c>
      <c r="R63" s="11" t="str">
        <f>HYPERLINK("\\imagefiles.bcgov\imagery\scanned_maps\moe_terrain_maps\Scanned_T_maps_all\B01\B01-4768","\\imagefiles.bcgov\imagery\scanned_maps\moe_terrain_maps\Scanned_T_maps_all\B01\B01-4768")</f>
        <v>\\imagefiles.bcgov\imagery\scanned_maps\moe_terrain_maps\Scanned_T_maps_all\B01\B01-4768</v>
      </c>
      <c r="S63" t="s">
        <v>62</v>
      </c>
      <c r="T63" s="11" t="str">
        <f>HYPERLINK("http://www.env.gov.bc.ca/esd/distdata/ecosystems/TEI_Scanned_Maps/B01/B01-4768","http://www.env.gov.bc.ca/esd/distdata/ecosystems/TEI_Scanned_Maps/B01/B01-4768")</f>
        <v>http://www.env.gov.bc.ca/esd/distdata/ecosystems/TEI_Scanned_Maps/B01/B01-4768</v>
      </c>
      <c r="U63" t="s">
        <v>58</v>
      </c>
      <c r="V63" t="s">
        <v>58</v>
      </c>
      <c r="W63" t="s">
        <v>58</v>
      </c>
      <c r="X63" t="s">
        <v>58</v>
      </c>
      <c r="Y63" t="s">
        <v>58</v>
      </c>
      <c r="Z63" t="s">
        <v>58</v>
      </c>
      <c r="AA63" t="s">
        <v>58</v>
      </c>
      <c r="AC63" t="s">
        <v>58</v>
      </c>
      <c r="AE63" t="s">
        <v>58</v>
      </c>
      <c r="AG63" t="s">
        <v>63</v>
      </c>
      <c r="AH63" s="11" t="str">
        <f t="shared" si="0"/>
        <v>mailto: soilterrain@victoria1.gov.bc.ca</v>
      </c>
    </row>
    <row r="64" spans="1:34">
      <c r="A64" t="s">
        <v>257</v>
      </c>
      <c r="B64" t="s">
        <v>56</v>
      </c>
      <c r="C64" s="10" t="s">
        <v>258</v>
      </c>
      <c r="D64" t="s">
        <v>58</v>
      </c>
      <c r="E64" t="s">
        <v>166</v>
      </c>
      <c r="F64" t="s">
        <v>259</v>
      </c>
      <c r="G64">
        <v>50000</v>
      </c>
      <c r="H64" t="s">
        <v>168</v>
      </c>
      <c r="I64" t="s">
        <v>58</v>
      </c>
      <c r="J64" t="s">
        <v>58</v>
      </c>
      <c r="K64" t="s">
        <v>61</v>
      </c>
      <c r="L64" t="s">
        <v>58</v>
      </c>
      <c r="M64" t="s">
        <v>58</v>
      </c>
      <c r="Q64" t="s">
        <v>58</v>
      </c>
      <c r="R64" s="11" t="str">
        <f>HYPERLINK("\\imagefiles.bcgov\imagery\scanned_maps\moe_terrain_maps\Scanned_T_maps_all\B01\B01-4769","\\imagefiles.bcgov\imagery\scanned_maps\moe_terrain_maps\Scanned_T_maps_all\B01\B01-4769")</f>
        <v>\\imagefiles.bcgov\imagery\scanned_maps\moe_terrain_maps\Scanned_T_maps_all\B01\B01-4769</v>
      </c>
      <c r="S64" t="s">
        <v>62</v>
      </c>
      <c r="T64" s="11" t="str">
        <f>HYPERLINK("http://www.env.gov.bc.ca/esd/distdata/ecosystems/TEI_Scanned_Maps/B01/B01-4769","http://www.env.gov.bc.ca/esd/distdata/ecosystems/TEI_Scanned_Maps/B01/B01-4769")</f>
        <v>http://www.env.gov.bc.ca/esd/distdata/ecosystems/TEI_Scanned_Maps/B01/B01-4769</v>
      </c>
      <c r="U64" t="s">
        <v>58</v>
      </c>
      <c r="V64" t="s">
        <v>58</v>
      </c>
      <c r="W64" t="s">
        <v>58</v>
      </c>
      <c r="X64" t="s">
        <v>58</v>
      </c>
      <c r="Y64" t="s">
        <v>58</v>
      </c>
      <c r="Z64" t="s">
        <v>58</v>
      </c>
      <c r="AA64" t="s">
        <v>58</v>
      </c>
      <c r="AC64" t="s">
        <v>58</v>
      </c>
      <c r="AE64" t="s">
        <v>58</v>
      </c>
      <c r="AG64" t="s">
        <v>63</v>
      </c>
      <c r="AH64" s="11" t="str">
        <f t="shared" si="0"/>
        <v>mailto: soilterrain@victoria1.gov.bc.ca</v>
      </c>
    </row>
    <row r="65" spans="1:34">
      <c r="A65" t="s">
        <v>260</v>
      </c>
      <c r="B65" t="s">
        <v>56</v>
      </c>
      <c r="C65" s="10" t="s">
        <v>261</v>
      </c>
      <c r="D65" t="s">
        <v>58</v>
      </c>
      <c r="E65" t="s">
        <v>166</v>
      </c>
      <c r="F65" t="s">
        <v>262</v>
      </c>
      <c r="G65">
        <v>50000</v>
      </c>
      <c r="H65" t="s">
        <v>168</v>
      </c>
      <c r="I65" t="s">
        <v>58</v>
      </c>
      <c r="J65" t="s">
        <v>58</v>
      </c>
      <c r="K65" t="s">
        <v>61</v>
      </c>
      <c r="L65" t="s">
        <v>58</v>
      </c>
      <c r="M65" t="s">
        <v>58</v>
      </c>
      <c r="Q65" t="s">
        <v>58</v>
      </c>
      <c r="R65" s="11" t="str">
        <f>HYPERLINK("\\imagefiles.bcgov\imagery\scanned_maps\moe_terrain_maps\Scanned_T_maps_all\B01\B01-4770","\\imagefiles.bcgov\imagery\scanned_maps\moe_terrain_maps\Scanned_T_maps_all\B01\B01-4770")</f>
        <v>\\imagefiles.bcgov\imagery\scanned_maps\moe_terrain_maps\Scanned_T_maps_all\B01\B01-4770</v>
      </c>
      <c r="S65" t="s">
        <v>62</v>
      </c>
      <c r="T65" s="11" t="str">
        <f>HYPERLINK("http://www.env.gov.bc.ca/esd/distdata/ecosystems/TEI_Scanned_Maps/B01/B01-4770","http://www.env.gov.bc.ca/esd/distdata/ecosystems/TEI_Scanned_Maps/B01/B01-4770")</f>
        <v>http://www.env.gov.bc.ca/esd/distdata/ecosystems/TEI_Scanned_Maps/B01/B01-4770</v>
      </c>
      <c r="U65" t="s">
        <v>58</v>
      </c>
      <c r="V65" t="s">
        <v>58</v>
      </c>
      <c r="W65" t="s">
        <v>58</v>
      </c>
      <c r="X65" t="s">
        <v>58</v>
      </c>
      <c r="Y65" t="s">
        <v>58</v>
      </c>
      <c r="Z65" t="s">
        <v>58</v>
      </c>
      <c r="AA65" t="s">
        <v>58</v>
      </c>
      <c r="AC65" t="s">
        <v>58</v>
      </c>
      <c r="AE65" t="s">
        <v>58</v>
      </c>
      <c r="AG65" t="s">
        <v>63</v>
      </c>
      <c r="AH65" s="11" t="str">
        <f t="shared" si="0"/>
        <v>mailto: soilterrain@victoria1.gov.bc.ca</v>
      </c>
    </row>
    <row r="66" spans="1:34">
      <c r="A66" t="s">
        <v>263</v>
      </c>
      <c r="B66" t="s">
        <v>56</v>
      </c>
      <c r="C66" s="10" t="s">
        <v>264</v>
      </c>
      <c r="D66" t="s">
        <v>58</v>
      </c>
      <c r="E66" t="s">
        <v>59</v>
      </c>
      <c r="F66" t="s">
        <v>265</v>
      </c>
      <c r="G66">
        <v>50000</v>
      </c>
      <c r="H66">
        <v>1981</v>
      </c>
      <c r="I66" t="s">
        <v>266</v>
      </c>
      <c r="J66" t="s">
        <v>58</v>
      </c>
      <c r="K66" t="s">
        <v>61</v>
      </c>
      <c r="L66" t="s">
        <v>58</v>
      </c>
      <c r="M66" t="s">
        <v>58</v>
      </c>
      <c r="Q66" t="s">
        <v>58</v>
      </c>
      <c r="R66" s="11" t="str">
        <f>HYPERLINK("\\imagefiles.bcgov\imagery\scanned_maps\moe_terrain_maps\Scanned_T_maps_all\B01\B01-4771","\\imagefiles.bcgov\imagery\scanned_maps\moe_terrain_maps\Scanned_T_maps_all\B01\B01-4771")</f>
        <v>\\imagefiles.bcgov\imagery\scanned_maps\moe_terrain_maps\Scanned_T_maps_all\B01\B01-4771</v>
      </c>
      <c r="S66" t="s">
        <v>62</v>
      </c>
      <c r="T66" s="11" t="str">
        <f>HYPERLINK("http://www.env.gov.bc.ca/esd/distdata/ecosystems/TEI_Scanned_Maps/B01/B01-4771","http://www.env.gov.bc.ca/esd/distdata/ecosystems/TEI_Scanned_Maps/B01/B01-4771")</f>
        <v>http://www.env.gov.bc.ca/esd/distdata/ecosystems/TEI_Scanned_Maps/B01/B01-4771</v>
      </c>
      <c r="U66" t="s">
        <v>58</v>
      </c>
      <c r="V66" t="s">
        <v>58</v>
      </c>
      <c r="W66" t="s">
        <v>58</v>
      </c>
      <c r="X66" t="s">
        <v>58</v>
      </c>
      <c r="Y66" t="s">
        <v>58</v>
      </c>
      <c r="Z66" t="s">
        <v>58</v>
      </c>
      <c r="AA66" t="s">
        <v>58</v>
      </c>
      <c r="AC66" t="s">
        <v>58</v>
      </c>
      <c r="AE66" t="s">
        <v>58</v>
      </c>
      <c r="AG66" t="s">
        <v>63</v>
      </c>
      <c r="AH66" s="11" t="str">
        <f t="shared" ref="AH66:AH129" si="1">HYPERLINK("mailto: soilterrain@victoria1.gov.bc.ca","mailto: soilterrain@victoria1.gov.bc.ca")</f>
        <v>mailto: soilterrain@victoria1.gov.bc.ca</v>
      </c>
    </row>
    <row r="67" spans="1:34">
      <c r="A67" t="s">
        <v>267</v>
      </c>
      <c r="B67" t="s">
        <v>56</v>
      </c>
      <c r="C67" s="10" t="s">
        <v>264</v>
      </c>
      <c r="D67" t="s">
        <v>58</v>
      </c>
      <c r="E67" t="s">
        <v>59</v>
      </c>
      <c r="F67" t="s">
        <v>268</v>
      </c>
      <c r="G67">
        <v>50000</v>
      </c>
      <c r="H67">
        <v>1981</v>
      </c>
      <c r="I67" t="s">
        <v>266</v>
      </c>
      <c r="J67" t="s">
        <v>58</v>
      </c>
      <c r="K67" t="s">
        <v>58</v>
      </c>
      <c r="L67" t="s">
        <v>58</v>
      </c>
      <c r="M67" t="s">
        <v>58</v>
      </c>
      <c r="P67" t="s">
        <v>61</v>
      </c>
      <c r="Q67" t="s">
        <v>58</v>
      </c>
      <c r="R67" s="11" t="str">
        <f>HYPERLINK("\\imagefiles.bcgov\imagery\scanned_maps\moe_terrain_maps\Scanned_T_maps_all\B01\B01-4772","\\imagefiles.bcgov\imagery\scanned_maps\moe_terrain_maps\Scanned_T_maps_all\B01\B01-4772")</f>
        <v>\\imagefiles.bcgov\imagery\scanned_maps\moe_terrain_maps\Scanned_T_maps_all\B01\B01-4772</v>
      </c>
      <c r="S67" t="s">
        <v>62</v>
      </c>
      <c r="T67" s="11" t="str">
        <f>HYPERLINK("http://www.env.gov.bc.ca/esd/distdata/ecosystems/TEI_Scanned_Maps/B01/B01-4772","http://www.env.gov.bc.ca/esd/distdata/ecosystems/TEI_Scanned_Maps/B01/B01-4772")</f>
        <v>http://www.env.gov.bc.ca/esd/distdata/ecosystems/TEI_Scanned_Maps/B01/B01-4772</v>
      </c>
      <c r="U67" t="s">
        <v>269</v>
      </c>
      <c r="V67" s="11" t="str">
        <f>HYPERLINK("http://www.library.for.gov.bc.ca/#focus","http://www.library.for.gov.bc.ca/#focus")</f>
        <v>http://www.library.for.gov.bc.ca/#focus</v>
      </c>
      <c r="W67" t="s">
        <v>58</v>
      </c>
      <c r="X67" t="s">
        <v>58</v>
      </c>
      <c r="Y67" t="s">
        <v>58</v>
      </c>
      <c r="Z67" t="s">
        <v>58</v>
      </c>
      <c r="AA67" t="s">
        <v>58</v>
      </c>
      <c r="AC67" t="s">
        <v>58</v>
      </c>
      <c r="AE67" t="s">
        <v>58</v>
      </c>
      <c r="AG67" t="s">
        <v>63</v>
      </c>
      <c r="AH67" s="11" t="str">
        <f t="shared" si="1"/>
        <v>mailto: soilterrain@victoria1.gov.bc.ca</v>
      </c>
    </row>
    <row r="68" spans="1:34">
      <c r="A68" t="s">
        <v>270</v>
      </c>
      <c r="B68" t="s">
        <v>56</v>
      </c>
      <c r="C68" s="10" t="s">
        <v>264</v>
      </c>
      <c r="D68" t="s">
        <v>58</v>
      </c>
      <c r="E68" t="s">
        <v>59</v>
      </c>
      <c r="F68" t="s">
        <v>271</v>
      </c>
      <c r="G68">
        <v>50000</v>
      </c>
      <c r="H68">
        <v>1981</v>
      </c>
      <c r="I68" t="s">
        <v>266</v>
      </c>
      <c r="J68" t="s">
        <v>58</v>
      </c>
      <c r="K68" t="s">
        <v>58</v>
      </c>
      <c r="L68" t="s">
        <v>58</v>
      </c>
      <c r="M68" t="s">
        <v>58</v>
      </c>
      <c r="P68" t="s">
        <v>61</v>
      </c>
      <c r="Q68" t="s">
        <v>58</v>
      </c>
      <c r="R68" s="11" t="str">
        <f>HYPERLINK("\\imagefiles.bcgov\imagery\scanned_maps\moe_terrain_maps\Scanned_T_maps_all\B01\B01-4773","\\imagefiles.bcgov\imagery\scanned_maps\moe_terrain_maps\Scanned_T_maps_all\B01\B01-4773")</f>
        <v>\\imagefiles.bcgov\imagery\scanned_maps\moe_terrain_maps\Scanned_T_maps_all\B01\B01-4773</v>
      </c>
      <c r="S68" t="s">
        <v>62</v>
      </c>
      <c r="T68" s="11" t="str">
        <f>HYPERLINK("http://www.env.gov.bc.ca/esd/distdata/ecosystems/TEI_Scanned_Maps/B01/B01-4773","http://www.env.gov.bc.ca/esd/distdata/ecosystems/TEI_Scanned_Maps/B01/B01-4773")</f>
        <v>http://www.env.gov.bc.ca/esd/distdata/ecosystems/TEI_Scanned_Maps/B01/B01-4773</v>
      </c>
      <c r="U68" t="s">
        <v>269</v>
      </c>
      <c r="V68" s="11" t="str">
        <f>HYPERLINK("http://www.library.for.gov.bc.ca/#focus","http://www.library.for.gov.bc.ca/#focus")</f>
        <v>http://www.library.for.gov.bc.ca/#focus</v>
      </c>
      <c r="W68" t="s">
        <v>58</v>
      </c>
      <c r="X68" t="s">
        <v>58</v>
      </c>
      <c r="Y68" t="s">
        <v>58</v>
      </c>
      <c r="Z68" t="s">
        <v>58</v>
      </c>
      <c r="AA68" t="s">
        <v>58</v>
      </c>
      <c r="AC68" t="s">
        <v>58</v>
      </c>
      <c r="AE68" t="s">
        <v>58</v>
      </c>
      <c r="AG68" t="s">
        <v>63</v>
      </c>
      <c r="AH68" s="11" t="str">
        <f t="shared" si="1"/>
        <v>mailto: soilterrain@victoria1.gov.bc.ca</v>
      </c>
    </row>
    <row r="69" spans="1:34">
      <c r="A69" t="s">
        <v>272</v>
      </c>
      <c r="B69" t="s">
        <v>56</v>
      </c>
      <c r="C69" s="10" t="s">
        <v>264</v>
      </c>
      <c r="D69" t="s">
        <v>58</v>
      </c>
      <c r="E69" t="s">
        <v>59</v>
      </c>
      <c r="F69" t="s">
        <v>273</v>
      </c>
      <c r="G69">
        <v>50000</v>
      </c>
      <c r="H69">
        <v>1981</v>
      </c>
      <c r="I69" t="s">
        <v>266</v>
      </c>
      <c r="J69" t="s">
        <v>58</v>
      </c>
      <c r="K69" t="s">
        <v>58</v>
      </c>
      <c r="L69" t="s">
        <v>58</v>
      </c>
      <c r="M69" t="s">
        <v>58</v>
      </c>
      <c r="P69" t="s">
        <v>61</v>
      </c>
      <c r="Q69" t="s">
        <v>58</v>
      </c>
      <c r="R69" s="11" t="str">
        <f>HYPERLINK("\\imagefiles.bcgov\imagery\scanned_maps\moe_terrain_maps\Scanned_T_maps_all\B01\B01-4774","\\imagefiles.bcgov\imagery\scanned_maps\moe_terrain_maps\Scanned_T_maps_all\B01\B01-4774")</f>
        <v>\\imagefiles.bcgov\imagery\scanned_maps\moe_terrain_maps\Scanned_T_maps_all\B01\B01-4774</v>
      </c>
      <c r="S69" t="s">
        <v>62</v>
      </c>
      <c r="T69" s="11" t="str">
        <f>HYPERLINK("http://www.env.gov.bc.ca/esd/distdata/ecosystems/TEI_Scanned_Maps/B01/B01-4774","http://www.env.gov.bc.ca/esd/distdata/ecosystems/TEI_Scanned_Maps/B01/B01-4774")</f>
        <v>http://www.env.gov.bc.ca/esd/distdata/ecosystems/TEI_Scanned_Maps/B01/B01-4774</v>
      </c>
      <c r="U69" t="s">
        <v>269</v>
      </c>
      <c r="V69" s="11" t="str">
        <f>HYPERLINK("http://www.library.for.gov.bc.ca/#focus","http://www.library.for.gov.bc.ca/#focus")</f>
        <v>http://www.library.for.gov.bc.ca/#focus</v>
      </c>
      <c r="W69" t="s">
        <v>58</v>
      </c>
      <c r="X69" t="s">
        <v>58</v>
      </c>
      <c r="Y69" t="s">
        <v>58</v>
      </c>
      <c r="Z69" t="s">
        <v>58</v>
      </c>
      <c r="AA69" t="s">
        <v>58</v>
      </c>
      <c r="AC69" t="s">
        <v>58</v>
      </c>
      <c r="AE69" t="s">
        <v>58</v>
      </c>
      <c r="AG69" t="s">
        <v>63</v>
      </c>
      <c r="AH69" s="11" t="str">
        <f t="shared" si="1"/>
        <v>mailto: soilterrain@victoria1.gov.bc.ca</v>
      </c>
    </row>
    <row r="70" spans="1:34">
      <c r="A70" t="s">
        <v>274</v>
      </c>
      <c r="B70" t="s">
        <v>56</v>
      </c>
      <c r="C70" s="10" t="s">
        <v>275</v>
      </c>
      <c r="D70" t="s">
        <v>58</v>
      </c>
      <c r="E70" t="s">
        <v>59</v>
      </c>
      <c r="F70" t="s">
        <v>276</v>
      </c>
      <c r="G70">
        <v>50000</v>
      </c>
      <c r="H70" t="s">
        <v>277</v>
      </c>
      <c r="I70" t="s">
        <v>58</v>
      </c>
      <c r="J70" t="s">
        <v>58</v>
      </c>
      <c r="K70" t="s">
        <v>61</v>
      </c>
      <c r="L70" t="s">
        <v>58</v>
      </c>
      <c r="M70" t="s">
        <v>58</v>
      </c>
      <c r="Q70" t="s">
        <v>58</v>
      </c>
      <c r="R70" s="11" t="str">
        <f>HYPERLINK("\\imagefiles.bcgov\imagery\scanned_maps\moe_terrain_maps\Scanned_T_maps_all\B01\B01-4775","\\imagefiles.bcgov\imagery\scanned_maps\moe_terrain_maps\Scanned_T_maps_all\B01\B01-4775")</f>
        <v>\\imagefiles.bcgov\imagery\scanned_maps\moe_terrain_maps\Scanned_T_maps_all\B01\B01-4775</v>
      </c>
      <c r="S70" t="s">
        <v>62</v>
      </c>
      <c r="T70" s="11" t="str">
        <f>HYPERLINK("http://www.env.gov.bc.ca/esd/distdata/ecosystems/TEI_Scanned_Maps/B01/B01-4775","http://www.env.gov.bc.ca/esd/distdata/ecosystems/TEI_Scanned_Maps/B01/B01-4775")</f>
        <v>http://www.env.gov.bc.ca/esd/distdata/ecosystems/TEI_Scanned_Maps/B01/B01-4775</v>
      </c>
      <c r="U70" t="s">
        <v>269</v>
      </c>
      <c r="V70" s="11" t="str">
        <f>HYPERLINK("http://www.library.for.gov.bc.ca/#focus","http://www.library.for.gov.bc.ca/#focus")</f>
        <v>http://www.library.for.gov.bc.ca/#focus</v>
      </c>
      <c r="W70" t="s">
        <v>58</v>
      </c>
      <c r="X70" t="s">
        <v>58</v>
      </c>
      <c r="Y70" t="s">
        <v>58</v>
      </c>
      <c r="Z70" t="s">
        <v>58</v>
      </c>
      <c r="AA70" t="s">
        <v>58</v>
      </c>
      <c r="AC70" t="s">
        <v>58</v>
      </c>
      <c r="AE70" t="s">
        <v>58</v>
      </c>
      <c r="AG70" t="s">
        <v>63</v>
      </c>
      <c r="AH70" s="11" t="str">
        <f t="shared" si="1"/>
        <v>mailto: soilterrain@victoria1.gov.bc.ca</v>
      </c>
    </row>
    <row r="71" spans="1:34">
      <c r="A71" t="s">
        <v>278</v>
      </c>
      <c r="B71" t="s">
        <v>56</v>
      </c>
      <c r="C71" s="10" t="s">
        <v>279</v>
      </c>
      <c r="D71" t="s">
        <v>58</v>
      </c>
      <c r="E71" t="s">
        <v>59</v>
      </c>
      <c r="F71" t="s">
        <v>280</v>
      </c>
      <c r="G71">
        <v>50000</v>
      </c>
      <c r="H71" t="s">
        <v>281</v>
      </c>
      <c r="I71" t="s">
        <v>58</v>
      </c>
      <c r="J71" t="s">
        <v>58</v>
      </c>
      <c r="K71" t="s">
        <v>61</v>
      </c>
      <c r="L71" t="s">
        <v>58</v>
      </c>
      <c r="M71" t="s">
        <v>58</v>
      </c>
      <c r="Q71" t="s">
        <v>58</v>
      </c>
      <c r="R71" s="11" t="str">
        <f>HYPERLINK("\\imagefiles.bcgov\imagery\scanned_maps\moe_terrain_maps\Scanned_T_maps_all\B01\B01-4776","\\imagefiles.bcgov\imagery\scanned_maps\moe_terrain_maps\Scanned_T_maps_all\B01\B01-4776")</f>
        <v>\\imagefiles.bcgov\imagery\scanned_maps\moe_terrain_maps\Scanned_T_maps_all\B01\B01-4776</v>
      </c>
      <c r="S71" t="s">
        <v>62</v>
      </c>
      <c r="T71" s="11" t="str">
        <f>HYPERLINK("http://www.env.gov.bc.ca/esd/distdata/ecosystems/TEI_Scanned_Maps/B01/B01-4776","http://www.env.gov.bc.ca/esd/distdata/ecosystems/TEI_Scanned_Maps/B01/B01-4776")</f>
        <v>http://www.env.gov.bc.ca/esd/distdata/ecosystems/TEI_Scanned_Maps/B01/B01-4776</v>
      </c>
      <c r="U71" t="s">
        <v>269</v>
      </c>
      <c r="V71" s="11" t="str">
        <f>HYPERLINK("http://www.library.for.gov.bc.ca/#focus","http://www.library.for.gov.bc.ca/#focus")</f>
        <v>http://www.library.for.gov.bc.ca/#focus</v>
      </c>
      <c r="W71" t="s">
        <v>58</v>
      </c>
      <c r="X71" t="s">
        <v>58</v>
      </c>
      <c r="Y71" t="s">
        <v>58</v>
      </c>
      <c r="Z71" t="s">
        <v>58</v>
      </c>
      <c r="AA71" t="s">
        <v>58</v>
      </c>
      <c r="AC71" t="s">
        <v>58</v>
      </c>
      <c r="AE71" t="s">
        <v>58</v>
      </c>
      <c r="AG71" t="s">
        <v>63</v>
      </c>
      <c r="AH71" s="11" t="str">
        <f t="shared" si="1"/>
        <v>mailto: soilterrain@victoria1.gov.bc.ca</v>
      </c>
    </row>
    <row r="72" spans="1:34">
      <c r="A72" t="s">
        <v>282</v>
      </c>
      <c r="B72" t="s">
        <v>56</v>
      </c>
      <c r="C72" s="10" t="s">
        <v>283</v>
      </c>
      <c r="D72" t="s">
        <v>58</v>
      </c>
      <c r="E72" t="s">
        <v>59</v>
      </c>
      <c r="F72" t="s">
        <v>284</v>
      </c>
      <c r="G72">
        <v>50000</v>
      </c>
      <c r="H72" t="s">
        <v>285</v>
      </c>
      <c r="I72" t="s">
        <v>58</v>
      </c>
      <c r="J72" t="s">
        <v>58</v>
      </c>
      <c r="K72" t="s">
        <v>61</v>
      </c>
      <c r="L72" t="s">
        <v>58</v>
      </c>
      <c r="M72" t="s">
        <v>58</v>
      </c>
      <c r="Q72" t="s">
        <v>58</v>
      </c>
      <c r="R72" s="11" t="str">
        <f>HYPERLINK("\\imagefiles.bcgov\imagery\scanned_maps\moe_terrain_maps\Scanned_T_maps_all\B01\B01-4777","\\imagefiles.bcgov\imagery\scanned_maps\moe_terrain_maps\Scanned_T_maps_all\B01\B01-4777")</f>
        <v>\\imagefiles.bcgov\imagery\scanned_maps\moe_terrain_maps\Scanned_T_maps_all\B01\B01-4777</v>
      </c>
      <c r="S72" t="s">
        <v>62</v>
      </c>
      <c r="T72" s="11" t="str">
        <f>HYPERLINK("http://www.env.gov.bc.ca/esd/distdata/ecosystems/TEI_Scanned_Maps/B01/B01-4777","http://www.env.gov.bc.ca/esd/distdata/ecosystems/TEI_Scanned_Maps/B01/B01-4777")</f>
        <v>http://www.env.gov.bc.ca/esd/distdata/ecosystems/TEI_Scanned_Maps/B01/B01-4777</v>
      </c>
      <c r="U72" t="s">
        <v>58</v>
      </c>
      <c r="V72" t="s">
        <v>58</v>
      </c>
      <c r="W72" t="s">
        <v>58</v>
      </c>
      <c r="X72" t="s">
        <v>58</v>
      </c>
      <c r="Y72" t="s">
        <v>58</v>
      </c>
      <c r="Z72" t="s">
        <v>58</v>
      </c>
      <c r="AA72" t="s">
        <v>58</v>
      </c>
      <c r="AC72" t="s">
        <v>58</v>
      </c>
      <c r="AE72" t="s">
        <v>58</v>
      </c>
      <c r="AG72" t="s">
        <v>63</v>
      </c>
      <c r="AH72" s="11" t="str">
        <f t="shared" si="1"/>
        <v>mailto: soilterrain@victoria1.gov.bc.ca</v>
      </c>
    </row>
    <row r="73" spans="1:34">
      <c r="A73" t="s">
        <v>286</v>
      </c>
      <c r="B73" t="s">
        <v>56</v>
      </c>
      <c r="C73" s="10" t="s">
        <v>287</v>
      </c>
      <c r="D73" t="s">
        <v>58</v>
      </c>
      <c r="E73" t="s">
        <v>59</v>
      </c>
      <c r="F73" t="s">
        <v>276</v>
      </c>
      <c r="G73">
        <v>50000</v>
      </c>
      <c r="H73" t="s">
        <v>288</v>
      </c>
      <c r="I73" t="s">
        <v>289</v>
      </c>
      <c r="J73" t="s">
        <v>58</v>
      </c>
      <c r="K73" t="s">
        <v>61</v>
      </c>
      <c r="L73" t="s">
        <v>58</v>
      </c>
      <c r="M73" t="s">
        <v>58</v>
      </c>
      <c r="Q73" t="s">
        <v>58</v>
      </c>
      <c r="R73" s="11" t="str">
        <f>HYPERLINK("\\imagefiles.bcgov\imagery\scanned_maps\moe_terrain_maps\Scanned_T_maps_all\B01\B01-4778","\\imagefiles.bcgov\imagery\scanned_maps\moe_terrain_maps\Scanned_T_maps_all\B01\B01-4778")</f>
        <v>\\imagefiles.bcgov\imagery\scanned_maps\moe_terrain_maps\Scanned_T_maps_all\B01\B01-4778</v>
      </c>
      <c r="S73" t="s">
        <v>62</v>
      </c>
      <c r="T73" s="11" t="str">
        <f>HYPERLINK("http://www.env.gov.bc.ca/esd/distdata/ecosystems/TEI_Scanned_Maps/B01/B01-4778","http://www.env.gov.bc.ca/esd/distdata/ecosystems/TEI_Scanned_Maps/B01/B01-4778")</f>
        <v>http://www.env.gov.bc.ca/esd/distdata/ecosystems/TEI_Scanned_Maps/B01/B01-4778</v>
      </c>
      <c r="U73" t="s">
        <v>58</v>
      </c>
      <c r="V73" t="s">
        <v>58</v>
      </c>
      <c r="W73" t="s">
        <v>58</v>
      </c>
      <c r="X73" t="s">
        <v>58</v>
      </c>
      <c r="Y73" t="s">
        <v>58</v>
      </c>
      <c r="Z73" t="s">
        <v>58</v>
      </c>
      <c r="AA73" t="s">
        <v>58</v>
      </c>
      <c r="AC73" t="s">
        <v>58</v>
      </c>
      <c r="AE73" t="s">
        <v>58</v>
      </c>
      <c r="AG73" t="s">
        <v>63</v>
      </c>
      <c r="AH73" s="11" t="str">
        <f t="shared" si="1"/>
        <v>mailto: soilterrain@victoria1.gov.bc.ca</v>
      </c>
    </row>
    <row r="74" spans="1:34">
      <c r="A74" t="s">
        <v>290</v>
      </c>
      <c r="B74" t="s">
        <v>56</v>
      </c>
      <c r="C74" s="10" t="s">
        <v>291</v>
      </c>
      <c r="D74" t="s">
        <v>58</v>
      </c>
      <c r="E74" t="s">
        <v>59</v>
      </c>
      <c r="F74" t="s">
        <v>276</v>
      </c>
      <c r="G74">
        <v>50000</v>
      </c>
      <c r="H74" t="s">
        <v>292</v>
      </c>
      <c r="I74" t="s">
        <v>289</v>
      </c>
      <c r="J74" t="s">
        <v>58</v>
      </c>
      <c r="K74" t="s">
        <v>61</v>
      </c>
      <c r="L74" t="s">
        <v>58</v>
      </c>
      <c r="M74" t="s">
        <v>58</v>
      </c>
      <c r="Q74" t="s">
        <v>58</v>
      </c>
      <c r="R74" s="11" t="str">
        <f>HYPERLINK("\\imagefiles.bcgov\imagery\scanned_maps\moe_terrain_maps\Scanned_T_maps_all\B01\B01-4779","\\imagefiles.bcgov\imagery\scanned_maps\moe_terrain_maps\Scanned_T_maps_all\B01\B01-4779")</f>
        <v>\\imagefiles.bcgov\imagery\scanned_maps\moe_terrain_maps\Scanned_T_maps_all\B01\B01-4779</v>
      </c>
      <c r="S74" t="s">
        <v>62</v>
      </c>
      <c r="T74" s="11" t="str">
        <f>HYPERLINK("http://www.env.gov.bc.ca/esd/distdata/ecosystems/TEI_Scanned_Maps/B01/B01-4779","http://www.env.gov.bc.ca/esd/distdata/ecosystems/TEI_Scanned_Maps/B01/B01-4779")</f>
        <v>http://www.env.gov.bc.ca/esd/distdata/ecosystems/TEI_Scanned_Maps/B01/B01-4779</v>
      </c>
      <c r="U74" t="s">
        <v>58</v>
      </c>
      <c r="V74" t="s">
        <v>58</v>
      </c>
      <c r="W74" t="s">
        <v>58</v>
      </c>
      <c r="X74" t="s">
        <v>58</v>
      </c>
      <c r="Y74" t="s">
        <v>58</v>
      </c>
      <c r="Z74" t="s">
        <v>58</v>
      </c>
      <c r="AA74" t="s">
        <v>58</v>
      </c>
      <c r="AC74" t="s">
        <v>58</v>
      </c>
      <c r="AE74" t="s">
        <v>58</v>
      </c>
      <c r="AG74" t="s">
        <v>63</v>
      </c>
      <c r="AH74" s="11" t="str">
        <f t="shared" si="1"/>
        <v>mailto: soilterrain@victoria1.gov.bc.ca</v>
      </c>
    </row>
    <row r="75" spans="1:34">
      <c r="A75" t="s">
        <v>293</v>
      </c>
      <c r="B75" t="s">
        <v>56</v>
      </c>
      <c r="C75" s="10" t="s">
        <v>294</v>
      </c>
      <c r="D75" t="s">
        <v>58</v>
      </c>
      <c r="E75" t="s">
        <v>59</v>
      </c>
      <c r="F75" t="s">
        <v>276</v>
      </c>
      <c r="G75">
        <v>50000</v>
      </c>
      <c r="H75" t="s">
        <v>292</v>
      </c>
      <c r="I75" t="s">
        <v>289</v>
      </c>
      <c r="J75" t="s">
        <v>58</v>
      </c>
      <c r="K75" t="s">
        <v>61</v>
      </c>
      <c r="L75" t="s">
        <v>58</v>
      </c>
      <c r="M75" t="s">
        <v>58</v>
      </c>
      <c r="Q75" t="s">
        <v>58</v>
      </c>
      <c r="R75" s="11" t="str">
        <f>HYPERLINK("\\imagefiles.bcgov\imagery\scanned_maps\moe_terrain_maps\Scanned_T_maps_all\B01\B01-4780","\\imagefiles.bcgov\imagery\scanned_maps\moe_terrain_maps\Scanned_T_maps_all\B01\B01-4780")</f>
        <v>\\imagefiles.bcgov\imagery\scanned_maps\moe_terrain_maps\Scanned_T_maps_all\B01\B01-4780</v>
      </c>
      <c r="S75" t="s">
        <v>62</v>
      </c>
      <c r="T75" s="11" t="str">
        <f>HYPERLINK("http://www.env.gov.bc.ca/esd/distdata/ecosystems/TEI_Scanned_Maps/B01/B01-4780","http://www.env.gov.bc.ca/esd/distdata/ecosystems/TEI_Scanned_Maps/B01/B01-4780")</f>
        <v>http://www.env.gov.bc.ca/esd/distdata/ecosystems/TEI_Scanned_Maps/B01/B01-4780</v>
      </c>
      <c r="U75" t="s">
        <v>269</v>
      </c>
      <c r="V75" s="11" t="str">
        <f t="shared" ref="V75:V80" si="2">HYPERLINK("http://www.library.for.gov.bc.ca/#focus","http://www.library.for.gov.bc.ca/#focus")</f>
        <v>http://www.library.for.gov.bc.ca/#focus</v>
      </c>
      <c r="W75" t="s">
        <v>58</v>
      </c>
      <c r="X75" t="s">
        <v>58</v>
      </c>
      <c r="Y75" t="s">
        <v>58</v>
      </c>
      <c r="Z75" t="s">
        <v>58</v>
      </c>
      <c r="AA75" t="s">
        <v>58</v>
      </c>
      <c r="AC75" t="s">
        <v>58</v>
      </c>
      <c r="AE75" t="s">
        <v>58</v>
      </c>
      <c r="AG75" t="s">
        <v>63</v>
      </c>
      <c r="AH75" s="11" t="str">
        <f t="shared" si="1"/>
        <v>mailto: soilterrain@victoria1.gov.bc.ca</v>
      </c>
    </row>
    <row r="76" spans="1:34">
      <c r="A76" t="s">
        <v>295</v>
      </c>
      <c r="B76" t="s">
        <v>56</v>
      </c>
      <c r="C76" s="10" t="s">
        <v>296</v>
      </c>
      <c r="D76" t="s">
        <v>58</v>
      </c>
      <c r="E76" t="s">
        <v>59</v>
      </c>
      <c r="F76" t="s">
        <v>276</v>
      </c>
      <c r="G76">
        <v>50000</v>
      </c>
      <c r="H76" t="s">
        <v>292</v>
      </c>
      <c r="I76" t="s">
        <v>289</v>
      </c>
      <c r="J76" t="s">
        <v>58</v>
      </c>
      <c r="K76" t="s">
        <v>61</v>
      </c>
      <c r="L76" t="s">
        <v>58</v>
      </c>
      <c r="M76" t="s">
        <v>58</v>
      </c>
      <c r="Q76" t="s">
        <v>58</v>
      </c>
      <c r="R76" s="11" t="str">
        <f>HYPERLINK("\\imagefiles.bcgov\imagery\scanned_maps\moe_terrain_maps\Scanned_T_maps_all\B01\B01-4781","\\imagefiles.bcgov\imagery\scanned_maps\moe_terrain_maps\Scanned_T_maps_all\B01\B01-4781")</f>
        <v>\\imagefiles.bcgov\imagery\scanned_maps\moe_terrain_maps\Scanned_T_maps_all\B01\B01-4781</v>
      </c>
      <c r="S76" t="s">
        <v>62</v>
      </c>
      <c r="T76" s="11" t="str">
        <f>HYPERLINK("http://www.env.gov.bc.ca/esd/distdata/ecosystems/TEI_Scanned_Maps/B01/B01-4781","http://www.env.gov.bc.ca/esd/distdata/ecosystems/TEI_Scanned_Maps/B01/B01-4781")</f>
        <v>http://www.env.gov.bc.ca/esd/distdata/ecosystems/TEI_Scanned_Maps/B01/B01-4781</v>
      </c>
      <c r="U76" t="s">
        <v>269</v>
      </c>
      <c r="V76" s="11" t="str">
        <f t="shared" si="2"/>
        <v>http://www.library.for.gov.bc.ca/#focus</v>
      </c>
      <c r="W76" t="s">
        <v>58</v>
      </c>
      <c r="X76" t="s">
        <v>58</v>
      </c>
      <c r="Y76" t="s">
        <v>58</v>
      </c>
      <c r="Z76" t="s">
        <v>58</v>
      </c>
      <c r="AA76" t="s">
        <v>58</v>
      </c>
      <c r="AC76" t="s">
        <v>58</v>
      </c>
      <c r="AE76" t="s">
        <v>58</v>
      </c>
      <c r="AG76" t="s">
        <v>63</v>
      </c>
      <c r="AH76" s="11" t="str">
        <f t="shared" si="1"/>
        <v>mailto: soilterrain@victoria1.gov.bc.ca</v>
      </c>
    </row>
    <row r="77" spans="1:34">
      <c r="A77" t="s">
        <v>297</v>
      </c>
      <c r="B77" t="s">
        <v>56</v>
      </c>
      <c r="C77" s="10" t="s">
        <v>298</v>
      </c>
      <c r="D77" t="s">
        <v>58</v>
      </c>
      <c r="E77" t="s">
        <v>59</v>
      </c>
      <c r="F77" t="s">
        <v>276</v>
      </c>
      <c r="G77">
        <v>50000</v>
      </c>
      <c r="H77" t="s">
        <v>292</v>
      </c>
      <c r="I77" t="s">
        <v>289</v>
      </c>
      <c r="J77" t="s">
        <v>58</v>
      </c>
      <c r="K77" t="s">
        <v>61</v>
      </c>
      <c r="L77" t="s">
        <v>58</v>
      </c>
      <c r="M77" t="s">
        <v>58</v>
      </c>
      <c r="Q77" t="s">
        <v>58</v>
      </c>
      <c r="R77" s="11" t="str">
        <f>HYPERLINK("\\imagefiles.bcgov\imagery\scanned_maps\moe_terrain_maps\Scanned_T_maps_all\B01\B01-4782","\\imagefiles.bcgov\imagery\scanned_maps\moe_terrain_maps\Scanned_T_maps_all\B01\B01-4782")</f>
        <v>\\imagefiles.bcgov\imagery\scanned_maps\moe_terrain_maps\Scanned_T_maps_all\B01\B01-4782</v>
      </c>
      <c r="S77" t="s">
        <v>62</v>
      </c>
      <c r="T77" s="11" t="str">
        <f>HYPERLINK("http://www.env.gov.bc.ca/esd/distdata/ecosystems/TEI_Scanned_Maps/B01/B01-4782","http://www.env.gov.bc.ca/esd/distdata/ecosystems/TEI_Scanned_Maps/B01/B01-4782")</f>
        <v>http://www.env.gov.bc.ca/esd/distdata/ecosystems/TEI_Scanned_Maps/B01/B01-4782</v>
      </c>
      <c r="U77" t="s">
        <v>269</v>
      </c>
      <c r="V77" s="11" t="str">
        <f t="shared" si="2"/>
        <v>http://www.library.for.gov.bc.ca/#focus</v>
      </c>
      <c r="W77" t="s">
        <v>58</v>
      </c>
      <c r="X77" t="s">
        <v>58</v>
      </c>
      <c r="Y77" t="s">
        <v>58</v>
      </c>
      <c r="Z77" t="s">
        <v>58</v>
      </c>
      <c r="AA77" t="s">
        <v>58</v>
      </c>
      <c r="AC77" t="s">
        <v>58</v>
      </c>
      <c r="AE77" t="s">
        <v>58</v>
      </c>
      <c r="AG77" t="s">
        <v>63</v>
      </c>
      <c r="AH77" s="11" t="str">
        <f t="shared" si="1"/>
        <v>mailto: soilterrain@victoria1.gov.bc.ca</v>
      </c>
    </row>
    <row r="78" spans="1:34">
      <c r="A78" t="s">
        <v>299</v>
      </c>
      <c r="B78" t="s">
        <v>56</v>
      </c>
      <c r="C78" s="10" t="s">
        <v>300</v>
      </c>
      <c r="D78" t="s">
        <v>58</v>
      </c>
      <c r="E78" t="s">
        <v>59</v>
      </c>
      <c r="F78" t="s">
        <v>276</v>
      </c>
      <c r="G78">
        <v>50000</v>
      </c>
      <c r="H78" t="s">
        <v>292</v>
      </c>
      <c r="I78" t="s">
        <v>289</v>
      </c>
      <c r="J78" t="s">
        <v>58</v>
      </c>
      <c r="K78" t="s">
        <v>61</v>
      </c>
      <c r="L78" t="s">
        <v>58</v>
      </c>
      <c r="M78" t="s">
        <v>58</v>
      </c>
      <c r="Q78" t="s">
        <v>58</v>
      </c>
      <c r="R78" s="11" t="str">
        <f>HYPERLINK("\\imagefiles.bcgov\imagery\scanned_maps\moe_terrain_maps\Scanned_T_maps_all\B01\B01-4783","\\imagefiles.bcgov\imagery\scanned_maps\moe_terrain_maps\Scanned_T_maps_all\B01\B01-4783")</f>
        <v>\\imagefiles.bcgov\imagery\scanned_maps\moe_terrain_maps\Scanned_T_maps_all\B01\B01-4783</v>
      </c>
      <c r="S78" t="s">
        <v>62</v>
      </c>
      <c r="T78" s="11" t="str">
        <f>HYPERLINK("http://www.env.gov.bc.ca/esd/distdata/ecosystems/TEI_Scanned_Maps/B01/B01-4783","http://www.env.gov.bc.ca/esd/distdata/ecosystems/TEI_Scanned_Maps/B01/B01-4783")</f>
        <v>http://www.env.gov.bc.ca/esd/distdata/ecosystems/TEI_Scanned_Maps/B01/B01-4783</v>
      </c>
      <c r="U78" t="s">
        <v>269</v>
      </c>
      <c r="V78" s="11" t="str">
        <f t="shared" si="2"/>
        <v>http://www.library.for.gov.bc.ca/#focus</v>
      </c>
      <c r="W78" t="s">
        <v>58</v>
      </c>
      <c r="X78" t="s">
        <v>58</v>
      </c>
      <c r="Y78" t="s">
        <v>58</v>
      </c>
      <c r="Z78" t="s">
        <v>58</v>
      </c>
      <c r="AA78" t="s">
        <v>58</v>
      </c>
      <c r="AC78" t="s">
        <v>58</v>
      </c>
      <c r="AE78" t="s">
        <v>58</v>
      </c>
      <c r="AG78" t="s">
        <v>63</v>
      </c>
      <c r="AH78" s="11" t="str">
        <f t="shared" si="1"/>
        <v>mailto: soilterrain@victoria1.gov.bc.ca</v>
      </c>
    </row>
    <row r="79" spans="1:34">
      <c r="A79" t="s">
        <v>301</v>
      </c>
      <c r="B79" t="s">
        <v>56</v>
      </c>
      <c r="C79" s="10" t="s">
        <v>302</v>
      </c>
      <c r="D79" t="s">
        <v>61</v>
      </c>
      <c r="E79" t="s">
        <v>59</v>
      </c>
      <c r="F79" t="s">
        <v>303</v>
      </c>
      <c r="G79">
        <v>20000</v>
      </c>
      <c r="H79">
        <v>1995</v>
      </c>
      <c r="I79" t="s">
        <v>58</v>
      </c>
      <c r="J79" t="s">
        <v>58</v>
      </c>
      <c r="K79" t="s">
        <v>61</v>
      </c>
      <c r="L79" t="s">
        <v>58</v>
      </c>
      <c r="M79" t="s">
        <v>58</v>
      </c>
      <c r="P79" t="s">
        <v>61</v>
      </c>
      <c r="Q79" t="s">
        <v>58</v>
      </c>
      <c r="R79" s="11" t="str">
        <f>HYPERLINK("\\imagefiles.bcgov\imagery\scanned_maps\moe_terrain_maps\Scanned_T_maps_all\B01\B01-4784","\\imagefiles.bcgov\imagery\scanned_maps\moe_terrain_maps\Scanned_T_maps_all\B01\B01-4784")</f>
        <v>\\imagefiles.bcgov\imagery\scanned_maps\moe_terrain_maps\Scanned_T_maps_all\B01\B01-4784</v>
      </c>
      <c r="S79" t="s">
        <v>62</v>
      </c>
      <c r="T79" s="11" t="str">
        <f>HYPERLINK("http://www.env.gov.bc.ca/esd/distdata/ecosystems/TEI_Scanned_Maps/B01/B01-4784","http://www.env.gov.bc.ca/esd/distdata/ecosystems/TEI_Scanned_Maps/B01/B01-4784")</f>
        <v>http://www.env.gov.bc.ca/esd/distdata/ecosystems/TEI_Scanned_Maps/B01/B01-4784</v>
      </c>
      <c r="U79" t="s">
        <v>269</v>
      </c>
      <c r="V79" s="11" t="str">
        <f t="shared" si="2"/>
        <v>http://www.library.for.gov.bc.ca/#focus</v>
      </c>
      <c r="W79" t="s">
        <v>58</v>
      </c>
      <c r="X79" t="s">
        <v>58</v>
      </c>
      <c r="Y79" t="s">
        <v>58</v>
      </c>
      <c r="Z79" t="s">
        <v>58</v>
      </c>
      <c r="AA79" t="s">
        <v>58</v>
      </c>
      <c r="AC79" t="s">
        <v>58</v>
      </c>
      <c r="AE79" t="s">
        <v>58</v>
      </c>
      <c r="AG79" t="s">
        <v>63</v>
      </c>
      <c r="AH79" s="11" t="str">
        <f t="shared" si="1"/>
        <v>mailto: soilterrain@victoria1.gov.bc.ca</v>
      </c>
    </row>
    <row r="80" spans="1:34">
      <c r="A80" t="s">
        <v>304</v>
      </c>
      <c r="B80" t="s">
        <v>56</v>
      </c>
      <c r="C80" s="10" t="s">
        <v>302</v>
      </c>
      <c r="D80" t="s">
        <v>61</v>
      </c>
      <c r="E80" t="s">
        <v>59</v>
      </c>
      <c r="F80" t="s">
        <v>305</v>
      </c>
      <c r="G80">
        <v>20000</v>
      </c>
      <c r="H80">
        <v>1995</v>
      </c>
      <c r="I80" t="s">
        <v>58</v>
      </c>
      <c r="J80" t="s">
        <v>58</v>
      </c>
      <c r="K80" t="s">
        <v>61</v>
      </c>
      <c r="L80" t="s">
        <v>58</v>
      </c>
      <c r="M80" t="s">
        <v>58</v>
      </c>
      <c r="Q80" t="s">
        <v>58</v>
      </c>
      <c r="R80" s="11" t="str">
        <f>HYPERLINK("\\imagefiles.bcgov\imagery\scanned_maps\moe_terrain_maps\Scanned_T_maps_all\B01\B01-4785","\\imagefiles.bcgov\imagery\scanned_maps\moe_terrain_maps\Scanned_T_maps_all\B01\B01-4785")</f>
        <v>\\imagefiles.bcgov\imagery\scanned_maps\moe_terrain_maps\Scanned_T_maps_all\B01\B01-4785</v>
      </c>
      <c r="S80" t="s">
        <v>62</v>
      </c>
      <c r="T80" s="11" t="str">
        <f>HYPERLINK("http://www.env.gov.bc.ca/esd/distdata/ecosystems/TEI_Scanned_Maps/B01/B01-4785","http://www.env.gov.bc.ca/esd/distdata/ecosystems/TEI_Scanned_Maps/B01/B01-4785")</f>
        <v>http://www.env.gov.bc.ca/esd/distdata/ecosystems/TEI_Scanned_Maps/B01/B01-4785</v>
      </c>
      <c r="U80" t="s">
        <v>269</v>
      </c>
      <c r="V80" s="11" t="str">
        <f t="shared" si="2"/>
        <v>http://www.library.for.gov.bc.ca/#focus</v>
      </c>
      <c r="W80" t="s">
        <v>58</v>
      </c>
      <c r="X80" t="s">
        <v>58</v>
      </c>
      <c r="Y80" t="s">
        <v>58</v>
      </c>
      <c r="Z80" t="s">
        <v>58</v>
      </c>
      <c r="AA80" t="s">
        <v>58</v>
      </c>
      <c r="AC80" t="s">
        <v>58</v>
      </c>
      <c r="AE80" t="s">
        <v>58</v>
      </c>
      <c r="AG80" t="s">
        <v>63</v>
      </c>
      <c r="AH80" s="11" t="str">
        <f t="shared" si="1"/>
        <v>mailto: soilterrain@victoria1.gov.bc.ca</v>
      </c>
    </row>
    <row r="81" spans="1:34">
      <c r="A81" t="s">
        <v>306</v>
      </c>
      <c r="B81" t="s">
        <v>56</v>
      </c>
      <c r="C81" s="10" t="s">
        <v>302</v>
      </c>
      <c r="D81" t="s">
        <v>61</v>
      </c>
      <c r="E81" t="s">
        <v>59</v>
      </c>
      <c r="F81" t="s">
        <v>307</v>
      </c>
      <c r="G81">
        <v>20000</v>
      </c>
      <c r="H81">
        <v>1995</v>
      </c>
      <c r="I81" t="s">
        <v>58</v>
      </c>
      <c r="J81" t="s">
        <v>58</v>
      </c>
      <c r="K81" t="s">
        <v>61</v>
      </c>
      <c r="L81" t="s">
        <v>58</v>
      </c>
      <c r="M81" t="s">
        <v>58</v>
      </c>
      <c r="P81" t="s">
        <v>61</v>
      </c>
      <c r="Q81" t="s">
        <v>58</v>
      </c>
      <c r="R81" s="11" t="str">
        <f>HYPERLINK("\\imagefiles.bcgov\imagery\scanned_maps\moe_terrain_maps\Scanned_T_maps_all\B01\B01-4786","\\imagefiles.bcgov\imagery\scanned_maps\moe_terrain_maps\Scanned_T_maps_all\B01\B01-4786")</f>
        <v>\\imagefiles.bcgov\imagery\scanned_maps\moe_terrain_maps\Scanned_T_maps_all\B01\B01-4786</v>
      </c>
      <c r="S81" t="s">
        <v>62</v>
      </c>
      <c r="T81" s="11" t="str">
        <f>HYPERLINK("http://www.env.gov.bc.ca/esd/distdata/ecosystems/TEI_Scanned_Maps/B01/B01-4786","http://www.env.gov.bc.ca/esd/distdata/ecosystems/TEI_Scanned_Maps/B01/B01-4786")</f>
        <v>http://www.env.gov.bc.ca/esd/distdata/ecosystems/TEI_Scanned_Maps/B01/B01-4786</v>
      </c>
      <c r="U81" t="s">
        <v>58</v>
      </c>
      <c r="V81" t="s">
        <v>58</v>
      </c>
      <c r="W81" t="s">
        <v>58</v>
      </c>
      <c r="X81" t="s">
        <v>58</v>
      </c>
      <c r="Y81" t="s">
        <v>58</v>
      </c>
      <c r="Z81" t="s">
        <v>58</v>
      </c>
      <c r="AA81" t="s">
        <v>58</v>
      </c>
      <c r="AC81" t="s">
        <v>58</v>
      </c>
      <c r="AE81" t="s">
        <v>58</v>
      </c>
      <c r="AG81" t="s">
        <v>63</v>
      </c>
      <c r="AH81" s="11" t="str">
        <f t="shared" si="1"/>
        <v>mailto: soilterrain@victoria1.gov.bc.ca</v>
      </c>
    </row>
    <row r="82" spans="1:34">
      <c r="A82" t="s">
        <v>308</v>
      </c>
      <c r="B82" t="s">
        <v>56</v>
      </c>
      <c r="C82" s="10" t="s">
        <v>302</v>
      </c>
      <c r="D82" t="s">
        <v>61</v>
      </c>
      <c r="E82" t="s">
        <v>59</v>
      </c>
      <c r="F82" t="s">
        <v>309</v>
      </c>
      <c r="G82">
        <v>20000</v>
      </c>
      <c r="H82">
        <v>1995</v>
      </c>
      <c r="I82" t="s">
        <v>58</v>
      </c>
      <c r="J82" t="s">
        <v>58</v>
      </c>
      <c r="K82" t="s">
        <v>61</v>
      </c>
      <c r="L82" t="s">
        <v>58</v>
      </c>
      <c r="M82" t="s">
        <v>58</v>
      </c>
      <c r="Q82" t="s">
        <v>58</v>
      </c>
      <c r="R82" s="11" t="str">
        <f>HYPERLINK("\\imagefiles.bcgov\imagery\scanned_maps\moe_terrain_maps\Scanned_T_maps_all\B01\B01-4787","\\imagefiles.bcgov\imagery\scanned_maps\moe_terrain_maps\Scanned_T_maps_all\B01\B01-4787")</f>
        <v>\\imagefiles.bcgov\imagery\scanned_maps\moe_terrain_maps\Scanned_T_maps_all\B01\B01-4787</v>
      </c>
      <c r="S82" t="s">
        <v>62</v>
      </c>
      <c r="T82" s="11" t="str">
        <f>HYPERLINK("http://www.env.gov.bc.ca/esd/distdata/ecosystems/TEI_Scanned_Maps/B01/B01-4787","http://www.env.gov.bc.ca/esd/distdata/ecosystems/TEI_Scanned_Maps/B01/B01-4787")</f>
        <v>http://www.env.gov.bc.ca/esd/distdata/ecosystems/TEI_Scanned_Maps/B01/B01-4787</v>
      </c>
      <c r="U82" t="s">
        <v>58</v>
      </c>
      <c r="V82" t="s">
        <v>58</v>
      </c>
      <c r="W82" t="s">
        <v>58</v>
      </c>
      <c r="X82" t="s">
        <v>58</v>
      </c>
      <c r="Y82" t="s">
        <v>58</v>
      </c>
      <c r="Z82" t="s">
        <v>58</v>
      </c>
      <c r="AA82" t="s">
        <v>58</v>
      </c>
      <c r="AC82" t="s">
        <v>58</v>
      </c>
      <c r="AE82" t="s">
        <v>58</v>
      </c>
      <c r="AG82" t="s">
        <v>63</v>
      </c>
      <c r="AH82" s="11" t="str">
        <f t="shared" si="1"/>
        <v>mailto: soilterrain@victoria1.gov.bc.ca</v>
      </c>
    </row>
    <row r="83" spans="1:34">
      <c r="A83" t="s">
        <v>310</v>
      </c>
      <c r="B83" t="s">
        <v>56</v>
      </c>
      <c r="C83" s="10" t="s">
        <v>311</v>
      </c>
      <c r="D83" t="s">
        <v>58</v>
      </c>
      <c r="E83" t="s">
        <v>59</v>
      </c>
      <c r="F83" t="s">
        <v>312</v>
      </c>
      <c r="G83">
        <v>50000</v>
      </c>
      <c r="H83">
        <v>1983</v>
      </c>
      <c r="I83" t="s">
        <v>58</v>
      </c>
      <c r="J83" t="s">
        <v>58</v>
      </c>
      <c r="K83" t="s">
        <v>58</v>
      </c>
      <c r="L83" t="s">
        <v>58</v>
      </c>
      <c r="M83" t="s">
        <v>58</v>
      </c>
      <c r="P83" t="s">
        <v>61</v>
      </c>
      <c r="Q83" t="s">
        <v>58</v>
      </c>
      <c r="R83" s="11" t="str">
        <f>HYPERLINK("\\imagefiles.bcgov\imagery\scanned_maps\moe_terrain_maps\Scanned_T_maps_all\B01\B01-4788","\\imagefiles.bcgov\imagery\scanned_maps\moe_terrain_maps\Scanned_T_maps_all\B01\B01-4788")</f>
        <v>\\imagefiles.bcgov\imagery\scanned_maps\moe_terrain_maps\Scanned_T_maps_all\B01\B01-4788</v>
      </c>
      <c r="S83" t="s">
        <v>62</v>
      </c>
      <c r="T83" s="11" t="str">
        <f>HYPERLINK("http://www.env.gov.bc.ca/esd/distdata/ecosystems/TEI_Scanned_Maps/B01/B01-4788","http://www.env.gov.bc.ca/esd/distdata/ecosystems/TEI_Scanned_Maps/B01/B01-4788")</f>
        <v>http://www.env.gov.bc.ca/esd/distdata/ecosystems/TEI_Scanned_Maps/B01/B01-4788</v>
      </c>
      <c r="U83" t="s">
        <v>58</v>
      </c>
      <c r="V83" t="s">
        <v>58</v>
      </c>
      <c r="W83" t="s">
        <v>58</v>
      </c>
      <c r="X83" t="s">
        <v>58</v>
      </c>
      <c r="Y83" t="s">
        <v>58</v>
      </c>
      <c r="Z83" t="s">
        <v>58</v>
      </c>
      <c r="AA83" t="s">
        <v>58</v>
      </c>
      <c r="AC83" t="s">
        <v>58</v>
      </c>
      <c r="AE83" t="s">
        <v>58</v>
      </c>
      <c r="AG83" t="s">
        <v>63</v>
      </c>
      <c r="AH83" s="11" t="str">
        <f t="shared" si="1"/>
        <v>mailto: soilterrain@victoria1.gov.bc.ca</v>
      </c>
    </row>
    <row r="84" spans="1:34">
      <c r="A84" t="s">
        <v>313</v>
      </c>
      <c r="B84" t="s">
        <v>56</v>
      </c>
      <c r="C84" s="10" t="s">
        <v>311</v>
      </c>
      <c r="D84" t="s">
        <v>58</v>
      </c>
      <c r="E84" t="s">
        <v>59</v>
      </c>
      <c r="F84" t="s">
        <v>314</v>
      </c>
      <c r="G84">
        <v>50000</v>
      </c>
      <c r="H84">
        <v>1983</v>
      </c>
      <c r="I84" t="s">
        <v>58</v>
      </c>
      <c r="J84" t="s">
        <v>58</v>
      </c>
      <c r="K84" t="s">
        <v>61</v>
      </c>
      <c r="L84" t="s">
        <v>58</v>
      </c>
      <c r="M84" t="s">
        <v>58</v>
      </c>
      <c r="Q84" t="s">
        <v>58</v>
      </c>
      <c r="R84" s="11" t="str">
        <f>HYPERLINK("\\imagefiles.bcgov\imagery\scanned_maps\moe_terrain_maps\Scanned_T_maps_all\B01\B01-4789","\\imagefiles.bcgov\imagery\scanned_maps\moe_terrain_maps\Scanned_T_maps_all\B01\B01-4789")</f>
        <v>\\imagefiles.bcgov\imagery\scanned_maps\moe_terrain_maps\Scanned_T_maps_all\B01\B01-4789</v>
      </c>
      <c r="S84" t="s">
        <v>62</v>
      </c>
      <c r="T84" s="11" t="str">
        <f>HYPERLINK("http://www.env.gov.bc.ca/esd/distdata/ecosystems/TEI_Scanned_Maps/B01/B01-4789","http://www.env.gov.bc.ca/esd/distdata/ecosystems/TEI_Scanned_Maps/B01/B01-4789")</f>
        <v>http://www.env.gov.bc.ca/esd/distdata/ecosystems/TEI_Scanned_Maps/B01/B01-4789</v>
      </c>
      <c r="U84" t="s">
        <v>58</v>
      </c>
      <c r="V84" t="s">
        <v>58</v>
      </c>
      <c r="W84" t="s">
        <v>58</v>
      </c>
      <c r="X84" t="s">
        <v>58</v>
      </c>
      <c r="Y84" t="s">
        <v>58</v>
      </c>
      <c r="Z84" t="s">
        <v>58</v>
      </c>
      <c r="AA84" t="s">
        <v>58</v>
      </c>
      <c r="AC84" t="s">
        <v>58</v>
      </c>
      <c r="AE84" t="s">
        <v>58</v>
      </c>
      <c r="AG84" t="s">
        <v>63</v>
      </c>
      <c r="AH84" s="11" t="str">
        <f t="shared" si="1"/>
        <v>mailto: soilterrain@victoria1.gov.bc.ca</v>
      </c>
    </row>
    <row r="85" spans="1:34">
      <c r="A85" t="s">
        <v>315</v>
      </c>
      <c r="B85" t="s">
        <v>56</v>
      </c>
      <c r="C85" s="10" t="s">
        <v>311</v>
      </c>
      <c r="D85" t="s">
        <v>58</v>
      </c>
      <c r="E85" t="s">
        <v>59</v>
      </c>
      <c r="F85" t="s">
        <v>316</v>
      </c>
      <c r="G85">
        <v>50000</v>
      </c>
      <c r="H85">
        <v>1983</v>
      </c>
      <c r="I85" t="s">
        <v>58</v>
      </c>
      <c r="J85" t="s">
        <v>58</v>
      </c>
      <c r="K85" t="s">
        <v>61</v>
      </c>
      <c r="L85" t="s">
        <v>58</v>
      </c>
      <c r="M85" t="s">
        <v>58</v>
      </c>
      <c r="P85" t="s">
        <v>61</v>
      </c>
      <c r="Q85" t="s">
        <v>58</v>
      </c>
      <c r="R85" s="11" t="str">
        <f>HYPERLINK("\\imagefiles.bcgov\imagery\scanned_maps\moe_terrain_maps\Scanned_T_maps_all\B01\B01-4790","\\imagefiles.bcgov\imagery\scanned_maps\moe_terrain_maps\Scanned_T_maps_all\B01\B01-4790")</f>
        <v>\\imagefiles.bcgov\imagery\scanned_maps\moe_terrain_maps\Scanned_T_maps_all\B01\B01-4790</v>
      </c>
      <c r="S85" t="s">
        <v>62</v>
      </c>
      <c r="T85" s="11" t="str">
        <f>HYPERLINK("http://www.env.gov.bc.ca/esd/distdata/ecosystems/TEI_Scanned_Maps/B01/B01-4790","http://www.env.gov.bc.ca/esd/distdata/ecosystems/TEI_Scanned_Maps/B01/B01-4790")</f>
        <v>http://www.env.gov.bc.ca/esd/distdata/ecosystems/TEI_Scanned_Maps/B01/B01-4790</v>
      </c>
      <c r="U85" t="s">
        <v>58</v>
      </c>
      <c r="V85" t="s">
        <v>58</v>
      </c>
      <c r="W85" t="s">
        <v>58</v>
      </c>
      <c r="X85" t="s">
        <v>58</v>
      </c>
      <c r="Y85" t="s">
        <v>58</v>
      </c>
      <c r="Z85" t="s">
        <v>58</v>
      </c>
      <c r="AA85" t="s">
        <v>58</v>
      </c>
      <c r="AC85" t="s">
        <v>58</v>
      </c>
      <c r="AE85" t="s">
        <v>58</v>
      </c>
      <c r="AG85" t="s">
        <v>63</v>
      </c>
      <c r="AH85" s="11" t="str">
        <f t="shared" si="1"/>
        <v>mailto: soilterrain@victoria1.gov.bc.ca</v>
      </c>
    </row>
    <row r="86" spans="1:34">
      <c r="A86" t="s">
        <v>317</v>
      </c>
      <c r="B86" t="s">
        <v>56</v>
      </c>
      <c r="C86" s="10" t="s">
        <v>318</v>
      </c>
      <c r="D86" t="s">
        <v>58</v>
      </c>
      <c r="E86" t="s">
        <v>59</v>
      </c>
      <c r="F86" t="s">
        <v>319</v>
      </c>
      <c r="G86">
        <v>50000</v>
      </c>
      <c r="H86" t="s">
        <v>320</v>
      </c>
      <c r="I86" t="s">
        <v>58</v>
      </c>
      <c r="J86" t="s">
        <v>58</v>
      </c>
      <c r="K86" t="s">
        <v>61</v>
      </c>
      <c r="L86" t="s">
        <v>58</v>
      </c>
      <c r="M86" t="s">
        <v>58</v>
      </c>
      <c r="Q86" t="s">
        <v>58</v>
      </c>
      <c r="R86" s="11" t="str">
        <f>HYPERLINK("\\imagefiles.bcgov\imagery\scanned_maps\moe_terrain_maps\Scanned_T_maps_all\B01\B01-4791","\\imagefiles.bcgov\imagery\scanned_maps\moe_terrain_maps\Scanned_T_maps_all\B01\B01-4791")</f>
        <v>\\imagefiles.bcgov\imagery\scanned_maps\moe_terrain_maps\Scanned_T_maps_all\B01\B01-4791</v>
      </c>
      <c r="S86" t="s">
        <v>62</v>
      </c>
      <c r="T86" s="11" t="str">
        <f>HYPERLINK("http://www.env.gov.bc.ca/esd/distdata/ecosystems/TEI_Scanned_Maps/B01/B01-4791","http://www.env.gov.bc.ca/esd/distdata/ecosystems/TEI_Scanned_Maps/B01/B01-4791")</f>
        <v>http://www.env.gov.bc.ca/esd/distdata/ecosystems/TEI_Scanned_Maps/B01/B01-4791</v>
      </c>
      <c r="U86" t="s">
        <v>58</v>
      </c>
      <c r="V86" t="s">
        <v>58</v>
      </c>
      <c r="W86" t="s">
        <v>58</v>
      </c>
      <c r="X86" t="s">
        <v>58</v>
      </c>
      <c r="Y86" t="s">
        <v>58</v>
      </c>
      <c r="Z86" t="s">
        <v>58</v>
      </c>
      <c r="AA86" t="s">
        <v>58</v>
      </c>
      <c r="AC86" t="s">
        <v>58</v>
      </c>
      <c r="AE86" t="s">
        <v>58</v>
      </c>
      <c r="AG86" t="s">
        <v>63</v>
      </c>
      <c r="AH86" s="11" t="str">
        <f t="shared" si="1"/>
        <v>mailto: soilterrain@victoria1.gov.bc.ca</v>
      </c>
    </row>
    <row r="87" spans="1:34">
      <c r="A87" t="s">
        <v>321</v>
      </c>
      <c r="B87" t="s">
        <v>56</v>
      </c>
      <c r="C87" s="10" t="s">
        <v>322</v>
      </c>
      <c r="D87" t="s">
        <v>58</v>
      </c>
      <c r="E87" t="s">
        <v>59</v>
      </c>
      <c r="F87" t="s">
        <v>319</v>
      </c>
      <c r="G87">
        <v>50000</v>
      </c>
      <c r="H87" t="s">
        <v>320</v>
      </c>
      <c r="I87" t="s">
        <v>58</v>
      </c>
      <c r="J87" t="s">
        <v>58</v>
      </c>
      <c r="K87" t="s">
        <v>61</v>
      </c>
      <c r="L87" t="s">
        <v>58</v>
      </c>
      <c r="M87" t="s">
        <v>58</v>
      </c>
      <c r="Q87" t="s">
        <v>58</v>
      </c>
      <c r="R87" s="11" t="str">
        <f>HYPERLINK("\\imagefiles.bcgov\imagery\scanned_maps\moe_terrain_maps\Scanned_T_maps_all\B01\B01-4792","\\imagefiles.bcgov\imagery\scanned_maps\moe_terrain_maps\Scanned_T_maps_all\B01\B01-4792")</f>
        <v>\\imagefiles.bcgov\imagery\scanned_maps\moe_terrain_maps\Scanned_T_maps_all\B01\B01-4792</v>
      </c>
      <c r="S87" t="s">
        <v>62</v>
      </c>
      <c r="T87" s="11" t="str">
        <f>HYPERLINK("http://www.env.gov.bc.ca/esd/distdata/ecosystems/TEI_Scanned_Maps/B01/B01-4792","http://www.env.gov.bc.ca/esd/distdata/ecosystems/TEI_Scanned_Maps/B01/B01-4792")</f>
        <v>http://www.env.gov.bc.ca/esd/distdata/ecosystems/TEI_Scanned_Maps/B01/B01-4792</v>
      </c>
      <c r="U87" t="s">
        <v>58</v>
      </c>
      <c r="V87" t="s">
        <v>58</v>
      </c>
      <c r="W87" t="s">
        <v>58</v>
      </c>
      <c r="X87" t="s">
        <v>58</v>
      </c>
      <c r="Y87" t="s">
        <v>58</v>
      </c>
      <c r="Z87" t="s">
        <v>58</v>
      </c>
      <c r="AA87" t="s">
        <v>58</v>
      </c>
      <c r="AC87" t="s">
        <v>58</v>
      </c>
      <c r="AE87" t="s">
        <v>58</v>
      </c>
      <c r="AG87" t="s">
        <v>63</v>
      </c>
      <c r="AH87" s="11" t="str">
        <f t="shared" si="1"/>
        <v>mailto: soilterrain@victoria1.gov.bc.ca</v>
      </c>
    </row>
    <row r="88" spans="1:34">
      <c r="A88" t="s">
        <v>323</v>
      </c>
      <c r="B88" t="s">
        <v>56</v>
      </c>
      <c r="C88" s="10" t="s">
        <v>324</v>
      </c>
      <c r="D88" t="s">
        <v>58</v>
      </c>
      <c r="E88" t="s">
        <v>59</v>
      </c>
      <c r="F88" t="s">
        <v>319</v>
      </c>
      <c r="G88">
        <v>50000</v>
      </c>
      <c r="H88" t="s">
        <v>320</v>
      </c>
      <c r="I88" t="s">
        <v>58</v>
      </c>
      <c r="J88" t="s">
        <v>58</v>
      </c>
      <c r="K88" t="s">
        <v>61</v>
      </c>
      <c r="L88" t="s">
        <v>58</v>
      </c>
      <c r="M88" t="s">
        <v>58</v>
      </c>
      <c r="Q88" t="s">
        <v>58</v>
      </c>
      <c r="R88" s="11" t="str">
        <f>HYPERLINK("\\imagefiles.bcgov\imagery\scanned_maps\moe_terrain_maps\Scanned_T_maps_all\B01\B01-4793","\\imagefiles.bcgov\imagery\scanned_maps\moe_terrain_maps\Scanned_T_maps_all\B01\B01-4793")</f>
        <v>\\imagefiles.bcgov\imagery\scanned_maps\moe_terrain_maps\Scanned_T_maps_all\B01\B01-4793</v>
      </c>
      <c r="S88" t="s">
        <v>62</v>
      </c>
      <c r="T88" s="11" t="str">
        <f>HYPERLINK("http://www.env.gov.bc.ca/esd/distdata/ecosystems/TEI_Scanned_Maps/B01/B01-4793","http://www.env.gov.bc.ca/esd/distdata/ecosystems/TEI_Scanned_Maps/B01/B01-4793")</f>
        <v>http://www.env.gov.bc.ca/esd/distdata/ecosystems/TEI_Scanned_Maps/B01/B01-4793</v>
      </c>
      <c r="U88" t="s">
        <v>58</v>
      </c>
      <c r="V88" t="s">
        <v>58</v>
      </c>
      <c r="W88" t="s">
        <v>58</v>
      </c>
      <c r="X88" t="s">
        <v>58</v>
      </c>
      <c r="Y88" t="s">
        <v>58</v>
      </c>
      <c r="Z88" t="s">
        <v>58</v>
      </c>
      <c r="AA88" t="s">
        <v>58</v>
      </c>
      <c r="AC88" t="s">
        <v>58</v>
      </c>
      <c r="AE88" t="s">
        <v>58</v>
      </c>
      <c r="AG88" t="s">
        <v>63</v>
      </c>
      <c r="AH88" s="11" t="str">
        <f t="shared" si="1"/>
        <v>mailto: soilterrain@victoria1.gov.bc.ca</v>
      </c>
    </row>
    <row r="89" spans="1:34">
      <c r="A89" t="s">
        <v>325</v>
      </c>
      <c r="B89" t="s">
        <v>56</v>
      </c>
      <c r="C89" s="10" t="s">
        <v>326</v>
      </c>
      <c r="D89" t="s">
        <v>58</v>
      </c>
      <c r="E89" t="s">
        <v>59</v>
      </c>
      <c r="F89" t="s">
        <v>319</v>
      </c>
      <c r="G89">
        <v>50000</v>
      </c>
      <c r="H89" t="s">
        <v>320</v>
      </c>
      <c r="I89" t="s">
        <v>58</v>
      </c>
      <c r="J89" t="s">
        <v>58</v>
      </c>
      <c r="K89" t="s">
        <v>61</v>
      </c>
      <c r="L89" t="s">
        <v>58</v>
      </c>
      <c r="M89" t="s">
        <v>58</v>
      </c>
      <c r="Q89" t="s">
        <v>58</v>
      </c>
      <c r="R89" s="11" t="str">
        <f>HYPERLINK("\\imagefiles.bcgov\imagery\scanned_maps\moe_terrain_maps\Scanned_T_maps_all\B01\B01-4794","\\imagefiles.bcgov\imagery\scanned_maps\moe_terrain_maps\Scanned_T_maps_all\B01\B01-4794")</f>
        <v>\\imagefiles.bcgov\imagery\scanned_maps\moe_terrain_maps\Scanned_T_maps_all\B01\B01-4794</v>
      </c>
      <c r="S89" t="s">
        <v>62</v>
      </c>
      <c r="T89" s="11" t="str">
        <f>HYPERLINK("http://www.env.gov.bc.ca/esd/distdata/ecosystems/TEI_Scanned_Maps/B01/B01-4794","http://www.env.gov.bc.ca/esd/distdata/ecosystems/TEI_Scanned_Maps/B01/B01-4794")</f>
        <v>http://www.env.gov.bc.ca/esd/distdata/ecosystems/TEI_Scanned_Maps/B01/B01-4794</v>
      </c>
      <c r="U89" t="s">
        <v>58</v>
      </c>
      <c r="V89" t="s">
        <v>58</v>
      </c>
      <c r="W89" t="s">
        <v>58</v>
      </c>
      <c r="X89" t="s">
        <v>58</v>
      </c>
      <c r="Y89" t="s">
        <v>58</v>
      </c>
      <c r="Z89" t="s">
        <v>58</v>
      </c>
      <c r="AA89" t="s">
        <v>58</v>
      </c>
      <c r="AC89" t="s">
        <v>58</v>
      </c>
      <c r="AE89" t="s">
        <v>58</v>
      </c>
      <c r="AG89" t="s">
        <v>63</v>
      </c>
      <c r="AH89" s="11" t="str">
        <f t="shared" si="1"/>
        <v>mailto: soilterrain@victoria1.gov.bc.ca</v>
      </c>
    </row>
    <row r="90" spans="1:34">
      <c r="A90" t="s">
        <v>327</v>
      </c>
      <c r="B90" t="s">
        <v>56</v>
      </c>
      <c r="C90" s="10" t="s">
        <v>328</v>
      </c>
      <c r="D90" t="s">
        <v>58</v>
      </c>
      <c r="E90" t="s">
        <v>59</v>
      </c>
      <c r="F90" t="s">
        <v>329</v>
      </c>
      <c r="G90">
        <v>50000</v>
      </c>
      <c r="H90">
        <v>1977</v>
      </c>
      <c r="I90" t="s">
        <v>58</v>
      </c>
      <c r="J90" t="s">
        <v>58</v>
      </c>
      <c r="K90" t="s">
        <v>61</v>
      </c>
      <c r="L90" t="s">
        <v>58</v>
      </c>
      <c r="M90" t="s">
        <v>58</v>
      </c>
      <c r="Q90" t="s">
        <v>58</v>
      </c>
      <c r="R90" s="11" t="str">
        <f>HYPERLINK("\\imagefiles.bcgov\imagery\scanned_maps\moe_terrain_maps\Scanned_T_maps_all\B01\B01-4795","\\imagefiles.bcgov\imagery\scanned_maps\moe_terrain_maps\Scanned_T_maps_all\B01\B01-4795")</f>
        <v>\\imagefiles.bcgov\imagery\scanned_maps\moe_terrain_maps\Scanned_T_maps_all\B01\B01-4795</v>
      </c>
      <c r="S90" t="s">
        <v>62</v>
      </c>
      <c r="T90" s="11" t="str">
        <f>HYPERLINK("http://www.env.gov.bc.ca/esd/distdata/ecosystems/TEI_Scanned_Maps/B01/B01-4795","http://www.env.gov.bc.ca/esd/distdata/ecosystems/TEI_Scanned_Maps/B01/B01-4795")</f>
        <v>http://www.env.gov.bc.ca/esd/distdata/ecosystems/TEI_Scanned_Maps/B01/B01-4795</v>
      </c>
      <c r="U90" t="s">
        <v>58</v>
      </c>
      <c r="V90" t="s">
        <v>58</v>
      </c>
      <c r="W90" t="s">
        <v>58</v>
      </c>
      <c r="X90" t="s">
        <v>58</v>
      </c>
      <c r="Y90" t="s">
        <v>58</v>
      </c>
      <c r="Z90" t="s">
        <v>58</v>
      </c>
      <c r="AA90" t="s">
        <v>58</v>
      </c>
      <c r="AC90" t="s">
        <v>58</v>
      </c>
      <c r="AE90" t="s">
        <v>58</v>
      </c>
      <c r="AG90" t="s">
        <v>63</v>
      </c>
      <c r="AH90" s="11" t="str">
        <f t="shared" si="1"/>
        <v>mailto: soilterrain@victoria1.gov.bc.ca</v>
      </c>
    </row>
    <row r="91" spans="1:34">
      <c r="A91" t="s">
        <v>330</v>
      </c>
      <c r="B91" t="s">
        <v>56</v>
      </c>
      <c r="C91" s="10" t="s">
        <v>331</v>
      </c>
      <c r="D91" t="s">
        <v>58</v>
      </c>
      <c r="E91" t="s">
        <v>59</v>
      </c>
      <c r="F91" t="s">
        <v>332</v>
      </c>
      <c r="G91">
        <v>50000</v>
      </c>
      <c r="H91">
        <v>1977</v>
      </c>
      <c r="I91" t="s">
        <v>58</v>
      </c>
      <c r="J91" t="s">
        <v>58</v>
      </c>
      <c r="K91" t="s">
        <v>61</v>
      </c>
      <c r="L91" t="s">
        <v>58</v>
      </c>
      <c r="M91" t="s">
        <v>58</v>
      </c>
      <c r="Q91" t="s">
        <v>58</v>
      </c>
      <c r="R91" s="11" t="str">
        <f>HYPERLINK("\\imagefiles.bcgov\imagery\scanned_maps\moe_terrain_maps\Scanned_T_maps_all\B01\B01-4796","\\imagefiles.bcgov\imagery\scanned_maps\moe_terrain_maps\Scanned_T_maps_all\B01\B01-4796")</f>
        <v>\\imagefiles.bcgov\imagery\scanned_maps\moe_terrain_maps\Scanned_T_maps_all\B01\B01-4796</v>
      </c>
      <c r="S91" t="s">
        <v>62</v>
      </c>
      <c r="T91" s="11" t="str">
        <f>HYPERLINK("http://www.env.gov.bc.ca/esd/distdata/ecosystems/TEI_Scanned_Maps/B01/B01-4796","http://www.env.gov.bc.ca/esd/distdata/ecosystems/TEI_Scanned_Maps/B01/B01-4796")</f>
        <v>http://www.env.gov.bc.ca/esd/distdata/ecosystems/TEI_Scanned_Maps/B01/B01-4796</v>
      </c>
      <c r="U91" t="s">
        <v>58</v>
      </c>
      <c r="V91" t="s">
        <v>58</v>
      </c>
      <c r="W91" t="s">
        <v>58</v>
      </c>
      <c r="X91" t="s">
        <v>58</v>
      </c>
      <c r="Y91" t="s">
        <v>58</v>
      </c>
      <c r="Z91" t="s">
        <v>58</v>
      </c>
      <c r="AA91" t="s">
        <v>58</v>
      </c>
      <c r="AC91" t="s">
        <v>58</v>
      </c>
      <c r="AE91" t="s">
        <v>58</v>
      </c>
      <c r="AG91" t="s">
        <v>63</v>
      </c>
      <c r="AH91" s="11" t="str">
        <f t="shared" si="1"/>
        <v>mailto: soilterrain@victoria1.gov.bc.ca</v>
      </c>
    </row>
    <row r="92" spans="1:34">
      <c r="A92" t="s">
        <v>333</v>
      </c>
      <c r="B92" t="s">
        <v>56</v>
      </c>
      <c r="C92" s="10" t="s">
        <v>334</v>
      </c>
      <c r="D92" t="s">
        <v>58</v>
      </c>
      <c r="E92" t="s">
        <v>59</v>
      </c>
      <c r="F92" t="s">
        <v>335</v>
      </c>
      <c r="G92">
        <v>50000</v>
      </c>
      <c r="H92">
        <v>1977</v>
      </c>
      <c r="I92" t="s">
        <v>58</v>
      </c>
      <c r="J92" t="s">
        <v>58</v>
      </c>
      <c r="K92" t="s">
        <v>61</v>
      </c>
      <c r="L92" t="s">
        <v>58</v>
      </c>
      <c r="M92" t="s">
        <v>58</v>
      </c>
      <c r="Q92" t="s">
        <v>58</v>
      </c>
      <c r="R92" s="11" t="str">
        <f>HYPERLINK("\\imagefiles.bcgov\imagery\scanned_maps\moe_terrain_maps\Scanned_T_maps_all\B01\B01-4797","\\imagefiles.bcgov\imagery\scanned_maps\moe_terrain_maps\Scanned_T_maps_all\B01\B01-4797")</f>
        <v>\\imagefiles.bcgov\imagery\scanned_maps\moe_terrain_maps\Scanned_T_maps_all\B01\B01-4797</v>
      </c>
      <c r="S92" t="s">
        <v>62</v>
      </c>
      <c r="T92" s="11" t="str">
        <f>HYPERLINK("http://www.env.gov.bc.ca/esd/distdata/ecosystems/TEI_Scanned_Maps/B01/B01-4797","http://www.env.gov.bc.ca/esd/distdata/ecosystems/TEI_Scanned_Maps/B01/B01-4797")</f>
        <v>http://www.env.gov.bc.ca/esd/distdata/ecosystems/TEI_Scanned_Maps/B01/B01-4797</v>
      </c>
      <c r="U92" t="s">
        <v>58</v>
      </c>
      <c r="V92" t="s">
        <v>58</v>
      </c>
      <c r="W92" t="s">
        <v>58</v>
      </c>
      <c r="X92" t="s">
        <v>58</v>
      </c>
      <c r="Y92" t="s">
        <v>58</v>
      </c>
      <c r="Z92" t="s">
        <v>58</v>
      </c>
      <c r="AA92" t="s">
        <v>58</v>
      </c>
      <c r="AC92" t="s">
        <v>58</v>
      </c>
      <c r="AE92" t="s">
        <v>58</v>
      </c>
      <c r="AG92" t="s">
        <v>63</v>
      </c>
      <c r="AH92" s="11" t="str">
        <f t="shared" si="1"/>
        <v>mailto: soilterrain@victoria1.gov.bc.ca</v>
      </c>
    </row>
    <row r="93" spans="1:34">
      <c r="A93" t="s">
        <v>336</v>
      </c>
      <c r="B93" t="s">
        <v>56</v>
      </c>
      <c r="C93" s="10" t="s">
        <v>337</v>
      </c>
      <c r="D93" t="s">
        <v>58</v>
      </c>
      <c r="E93" t="s">
        <v>59</v>
      </c>
      <c r="F93" t="s">
        <v>338</v>
      </c>
      <c r="G93">
        <v>50000</v>
      </c>
      <c r="H93">
        <v>1977</v>
      </c>
      <c r="I93" t="s">
        <v>58</v>
      </c>
      <c r="J93" t="s">
        <v>58</v>
      </c>
      <c r="K93" t="s">
        <v>61</v>
      </c>
      <c r="L93" t="s">
        <v>58</v>
      </c>
      <c r="M93" t="s">
        <v>58</v>
      </c>
      <c r="Q93" t="s">
        <v>58</v>
      </c>
      <c r="R93" s="11" t="str">
        <f>HYPERLINK("\\imagefiles.bcgov\imagery\scanned_maps\moe_terrain_maps\Scanned_T_maps_all\B01\B01-4798","\\imagefiles.bcgov\imagery\scanned_maps\moe_terrain_maps\Scanned_T_maps_all\B01\B01-4798")</f>
        <v>\\imagefiles.bcgov\imagery\scanned_maps\moe_terrain_maps\Scanned_T_maps_all\B01\B01-4798</v>
      </c>
      <c r="S93" t="s">
        <v>62</v>
      </c>
      <c r="T93" s="11" t="str">
        <f>HYPERLINK("http://www.env.gov.bc.ca/esd/distdata/ecosystems/TEI_Scanned_Maps/B01/B01-4798","http://www.env.gov.bc.ca/esd/distdata/ecosystems/TEI_Scanned_Maps/B01/B01-4798")</f>
        <v>http://www.env.gov.bc.ca/esd/distdata/ecosystems/TEI_Scanned_Maps/B01/B01-4798</v>
      </c>
      <c r="U93" t="s">
        <v>58</v>
      </c>
      <c r="V93" t="s">
        <v>58</v>
      </c>
      <c r="W93" t="s">
        <v>58</v>
      </c>
      <c r="X93" t="s">
        <v>58</v>
      </c>
      <c r="Y93" t="s">
        <v>58</v>
      </c>
      <c r="Z93" t="s">
        <v>58</v>
      </c>
      <c r="AA93" t="s">
        <v>58</v>
      </c>
      <c r="AC93" t="s">
        <v>58</v>
      </c>
      <c r="AE93" t="s">
        <v>58</v>
      </c>
      <c r="AG93" t="s">
        <v>63</v>
      </c>
      <c r="AH93" s="11" t="str">
        <f t="shared" si="1"/>
        <v>mailto: soilterrain@victoria1.gov.bc.ca</v>
      </c>
    </row>
    <row r="94" spans="1:34">
      <c r="A94" t="s">
        <v>339</v>
      </c>
      <c r="B94" t="s">
        <v>56</v>
      </c>
      <c r="C94" s="10" t="s">
        <v>340</v>
      </c>
      <c r="D94" t="s">
        <v>58</v>
      </c>
      <c r="E94" t="s">
        <v>59</v>
      </c>
      <c r="F94" t="s">
        <v>341</v>
      </c>
      <c r="G94">
        <v>50000</v>
      </c>
      <c r="H94" t="s">
        <v>342</v>
      </c>
      <c r="I94" t="s">
        <v>58</v>
      </c>
      <c r="J94" t="s">
        <v>58</v>
      </c>
      <c r="K94" t="s">
        <v>61</v>
      </c>
      <c r="L94" t="s">
        <v>58</v>
      </c>
      <c r="M94" t="s">
        <v>58</v>
      </c>
      <c r="Q94" t="s">
        <v>58</v>
      </c>
      <c r="R94" s="11" t="str">
        <f>HYPERLINK("\\imagefiles.bcgov\imagery\scanned_maps\moe_terrain_maps\Scanned_T_maps_all\B01\B01-4799","\\imagefiles.bcgov\imagery\scanned_maps\moe_terrain_maps\Scanned_T_maps_all\B01\B01-4799")</f>
        <v>\\imagefiles.bcgov\imagery\scanned_maps\moe_terrain_maps\Scanned_T_maps_all\B01\B01-4799</v>
      </c>
      <c r="S94" t="s">
        <v>62</v>
      </c>
      <c r="T94" s="11" t="str">
        <f>HYPERLINK("http://www.env.gov.bc.ca/esd/distdata/ecosystems/TEI_Scanned_Maps/B01/B01-4799","http://www.env.gov.bc.ca/esd/distdata/ecosystems/TEI_Scanned_Maps/B01/B01-4799")</f>
        <v>http://www.env.gov.bc.ca/esd/distdata/ecosystems/TEI_Scanned_Maps/B01/B01-4799</v>
      </c>
      <c r="U94" t="s">
        <v>58</v>
      </c>
      <c r="V94" t="s">
        <v>58</v>
      </c>
      <c r="W94" t="s">
        <v>58</v>
      </c>
      <c r="X94" t="s">
        <v>58</v>
      </c>
      <c r="Y94" t="s">
        <v>58</v>
      </c>
      <c r="Z94" t="s">
        <v>58</v>
      </c>
      <c r="AA94" t="s">
        <v>58</v>
      </c>
      <c r="AC94" t="s">
        <v>58</v>
      </c>
      <c r="AE94" t="s">
        <v>58</v>
      </c>
      <c r="AG94" t="s">
        <v>63</v>
      </c>
      <c r="AH94" s="11" t="str">
        <f t="shared" si="1"/>
        <v>mailto: soilterrain@victoria1.gov.bc.ca</v>
      </c>
    </row>
    <row r="95" spans="1:34">
      <c r="A95" t="s">
        <v>343</v>
      </c>
      <c r="B95" t="s">
        <v>56</v>
      </c>
      <c r="C95" s="10" t="s">
        <v>344</v>
      </c>
      <c r="D95" t="s">
        <v>58</v>
      </c>
      <c r="E95" t="s">
        <v>59</v>
      </c>
      <c r="F95" t="s">
        <v>345</v>
      </c>
      <c r="G95">
        <v>50000</v>
      </c>
      <c r="H95" t="s">
        <v>342</v>
      </c>
      <c r="I95" t="s">
        <v>58</v>
      </c>
      <c r="J95" t="s">
        <v>58</v>
      </c>
      <c r="K95" t="s">
        <v>61</v>
      </c>
      <c r="L95" t="s">
        <v>58</v>
      </c>
      <c r="M95" t="s">
        <v>58</v>
      </c>
      <c r="Q95" t="s">
        <v>58</v>
      </c>
      <c r="R95" s="11" t="str">
        <f>HYPERLINK("\\imagefiles.bcgov\imagery\scanned_maps\moe_terrain_maps\Scanned_T_maps_all\B01\B01-4800","\\imagefiles.bcgov\imagery\scanned_maps\moe_terrain_maps\Scanned_T_maps_all\B01\B01-4800")</f>
        <v>\\imagefiles.bcgov\imagery\scanned_maps\moe_terrain_maps\Scanned_T_maps_all\B01\B01-4800</v>
      </c>
      <c r="S95" t="s">
        <v>62</v>
      </c>
      <c r="T95" s="11" t="str">
        <f>HYPERLINK("http://www.env.gov.bc.ca/esd/distdata/ecosystems/TEI_Scanned_Maps/B01/B01-4800","http://www.env.gov.bc.ca/esd/distdata/ecosystems/TEI_Scanned_Maps/B01/B01-4800")</f>
        <v>http://www.env.gov.bc.ca/esd/distdata/ecosystems/TEI_Scanned_Maps/B01/B01-4800</v>
      </c>
      <c r="U95" t="s">
        <v>58</v>
      </c>
      <c r="V95" t="s">
        <v>58</v>
      </c>
      <c r="W95" t="s">
        <v>58</v>
      </c>
      <c r="X95" t="s">
        <v>58</v>
      </c>
      <c r="Y95" t="s">
        <v>58</v>
      </c>
      <c r="Z95" t="s">
        <v>58</v>
      </c>
      <c r="AA95" t="s">
        <v>58</v>
      </c>
      <c r="AC95" t="s">
        <v>58</v>
      </c>
      <c r="AE95" t="s">
        <v>58</v>
      </c>
      <c r="AG95" t="s">
        <v>63</v>
      </c>
      <c r="AH95" s="11" t="str">
        <f t="shared" si="1"/>
        <v>mailto: soilterrain@victoria1.gov.bc.ca</v>
      </c>
    </row>
    <row r="96" spans="1:34">
      <c r="A96" t="s">
        <v>346</v>
      </c>
      <c r="B96" t="s">
        <v>56</v>
      </c>
      <c r="C96" s="10" t="s">
        <v>347</v>
      </c>
      <c r="D96" t="s">
        <v>58</v>
      </c>
      <c r="E96" t="s">
        <v>59</v>
      </c>
      <c r="F96" t="s">
        <v>348</v>
      </c>
      <c r="G96">
        <v>50000</v>
      </c>
      <c r="H96" t="s">
        <v>342</v>
      </c>
      <c r="I96" t="s">
        <v>58</v>
      </c>
      <c r="J96" t="s">
        <v>58</v>
      </c>
      <c r="K96" t="s">
        <v>61</v>
      </c>
      <c r="L96" t="s">
        <v>58</v>
      </c>
      <c r="M96" t="s">
        <v>58</v>
      </c>
      <c r="Q96" t="s">
        <v>58</v>
      </c>
      <c r="R96" s="11" t="str">
        <f>HYPERLINK("\\imagefiles.bcgov\imagery\scanned_maps\moe_terrain_maps\Scanned_T_maps_all\B01\B01-4801","\\imagefiles.bcgov\imagery\scanned_maps\moe_terrain_maps\Scanned_T_maps_all\B01\B01-4801")</f>
        <v>\\imagefiles.bcgov\imagery\scanned_maps\moe_terrain_maps\Scanned_T_maps_all\B01\B01-4801</v>
      </c>
      <c r="S96" t="s">
        <v>62</v>
      </c>
      <c r="T96" s="11" t="str">
        <f>HYPERLINK("http://www.env.gov.bc.ca/esd/distdata/ecosystems/TEI_Scanned_Maps/B01/B01-4801","http://www.env.gov.bc.ca/esd/distdata/ecosystems/TEI_Scanned_Maps/B01/B01-4801")</f>
        <v>http://www.env.gov.bc.ca/esd/distdata/ecosystems/TEI_Scanned_Maps/B01/B01-4801</v>
      </c>
      <c r="U96" t="s">
        <v>58</v>
      </c>
      <c r="V96" t="s">
        <v>58</v>
      </c>
      <c r="W96" t="s">
        <v>58</v>
      </c>
      <c r="X96" t="s">
        <v>58</v>
      </c>
      <c r="Y96" t="s">
        <v>58</v>
      </c>
      <c r="Z96" t="s">
        <v>58</v>
      </c>
      <c r="AA96" t="s">
        <v>58</v>
      </c>
      <c r="AC96" t="s">
        <v>58</v>
      </c>
      <c r="AE96" t="s">
        <v>58</v>
      </c>
      <c r="AG96" t="s">
        <v>63</v>
      </c>
      <c r="AH96" s="11" t="str">
        <f t="shared" si="1"/>
        <v>mailto: soilterrain@victoria1.gov.bc.ca</v>
      </c>
    </row>
    <row r="97" spans="1:34">
      <c r="A97" t="s">
        <v>349</v>
      </c>
      <c r="B97" t="s">
        <v>56</v>
      </c>
      <c r="C97" s="10" t="s">
        <v>350</v>
      </c>
      <c r="D97" t="s">
        <v>58</v>
      </c>
      <c r="E97" t="s">
        <v>59</v>
      </c>
      <c r="F97" t="s">
        <v>351</v>
      </c>
      <c r="G97">
        <v>50000</v>
      </c>
      <c r="H97" t="s">
        <v>352</v>
      </c>
      <c r="I97" t="s">
        <v>58</v>
      </c>
      <c r="J97" t="s">
        <v>58</v>
      </c>
      <c r="K97" t="s">
        <v>61</v>
      </c>
      <c r="L97" t="s">
        <v>58</v>
      </c>
      <c r="M97" t="s">
        <v>58</v>
      </c>
      <c r="Q97" t="s">
        <v>58</v>
      </c>
      <c r="R97" s="11" t="str">
        <f>HYPERLINK("\\imagefiles.bcgov\imagery\scanned_maps\moe_terrain_maps\Scanned_T_maps_all\B01\B01-4802","\\imagefiles.bcgov\imagery\scanned_maps\moe_terrain_maps\Scanned_T_maps_all\B01\B01-4802")</f>
        <v>\\imagefiles.bcgov\imagery\scanned_maps\moe_terrain_maps\Scanned_T_maps_all\B01\B01-4802</v>
      </c>
      <c r="S97" t="s">
        <v>62</v>
      </c>
      <c r="T97" s="11" t="str">
        <f>HYPERLINK("http://www.env.gov.bc.ca/esd/distdata/ecosystems/TEI_Scanned_Maps/B01/B01-4802","http://www.env.gov.bc.ca/esd/distdata/ecosystems/TEI_Scanned_Maps/B01/B01-4802")</f>
        <v>http://www.env.gov.bc.ca/esd/distdata/ecosystems/TEI_Scanned_Maps/B01/B01-4802</v>
      </c>
      <c r="U97" t="s">
        <v>58</v>
      </c>
      <c r="V97" t="s">
        <v>58</v>
      </c>
      <c r="W97" t="s">
        <v>58</v>
      </c>
      <c r="X97" t="s">
        <v>58</v>
      </c>
      <c r="Y97" t="s">
        <v>58</v>
      </c>
      <c r="Z97" t="s">
        <v>58</v>
      </c>
      <c r="AA97" t="s">
        <v>58</v>
      </c>
      <c r="AC97" t="s">
        <v>58</v>
      </c>
      <c r="AE97" t="s">
        <v>58</v>
      </c>
      <c r="AG97" t="s">
        <v>63</v>
      </c>
      <c r="AH97" s="11" t="str">
        <f t="shared" si="1"/>
        <v>mailto: soilterrain@victoria1.gov.bc.ca</v>
      </c>
    </row>
    <row r="98" spans="1:34">
      <c r="A98" t="s">
        <v>353</v>
      </c>
      <c r="B98" t="s">
        <v>56</v>
      </c>
      <c r="C98" s="10" t="s">
        <v>354</v>
      </c>
      <c r="D98" t="s">
        <v>58</v>
      </c>
      <c r="E98" t="s">
        <v>59</v>
      </c>
      <c r="F98" t="s">
        <v>355</v>
      </c>
      <c r="G98">
        <v>50000</v>
      </c>
      <c r="H98" t="s">
        <v>352</v>
      </c>
      <c r="I98" t="s">
        <v>58</v>
      </c>
      <c r="J98" t="s">
        <v>58</v>
      </c>
      <c r="K98" t="s">
        <v>61</v>
      </c>
      <c r="L98" t="s">
        <v>58</v>
      </c>
      <c r="M98" t="s">
        <v>58</v>
      </c>
      <c r="Q98" t="s">
        <v>58</v>
      </c>
      <c r="R98" s="11" t="str">
        <f>HYPERLINK("\\imagefiles.bcgov\imagery\scanned_maps\moe_terrain_maps\Scanned_T_maps_all\B01\B01-4803","\\imagefiles.bcgov\imagery\scanned_maps\moe_terrain_maps\Scanned_T_maps_all\B01\B01-4803")</f>
        <v>\\imagefiles.bcgov\imagery\scanned_maps\moe_terrain_maps\Scanned_T_maps_all\B01\B01-4803</v>
      </c>
      <c r="S98" t="s">
        <v>62</v>
      </c>
      <c r="T98" s="11" t="str">
        <f>HYPERLINK("http://www.env.gov.bc.ca/esd/distdata/ecosystems/TEI_Scanned_Maps/B01/B01-4803","http://www.env.gov.bc.ca/esd/distdata/ecosystems/TEI_Scanned_Maps/B01/B01-4803")</f>
        <v>http://www.env.gov.bc.ca/esd/distdata/ecosystems/TEI_Scanned_Maps/B01/B01-4803</v>
      </c>
      <c r="U98" t="s">
        <v>58</v>
      </c>
      <c r="V98" t="s">
        <v>58</v>
      </c>
      <c r="W98" t="s">
        <v>58</v>
      </c>
      <c r="X98" t="s">
        <v>58</v>
      </c>
      <c r="Y98" t="s">
        <v>58</v>
      </c>
      <c r="Z98" t="s">
        <v>58</v>
      </c>
      <c r="AA98" t="s">
        <v>58</v>
      </c>
      <c r="AC98" t="s">
        <v>58</v>
      </c>
      <c r="AE98" t="s">
        <v>58</v>
      </c>
      <c r="AG98" t="s">
        <v>63</v>
      </c>
      <c r="AH98" s="11" t="str">
        <f t="shared" si="1"/>
        <v>mailto: soilterrain@victoria1.gov.bc.ca</v>
      </c>
    </row>
    <row r="99" spans="1:34">
      <c r="A99" t="s">
        <v>356</v>
      </c>
      <c r="B99" t="s">
        <v>56</v>
      </c>
      <c r="C99" s="10" t="s">
        <v>357</v>
      </c>
      <c r="D99" t="s">
        <v>58</v>
      </c>
      <c r="E99" t="s">
        <v>59</v>
      </c>
      <c r="F99" t="s">
        <v>358</v>
      </c>
      <c r="G99">
        <v>50000</v>
      </c>
      <c r="H99" t="s">
        <v>352</v>
      </c>
      <c r="I99" t="s">
        <v>58</v>
      </c>
      <c r="J99" t="s">
        <v>58</v>
      </c>
      <c r="K99" t="s">
        <v>61</v>
      </c>
      <c r="L99" t="s">
        <v>58</v>
      </c>
      <c r="M99" t="s">
        <v>58</v>
      </c>
      <c r="Q99" t="s">
        <v>58</v>
      </c>
      <c r="R99" s="11" t="str">
        <f>HYPERLINK("\\imagefiles.bcgov\imagery\scanned_maps\moe_terrain_maps\Scanned_T_maps_all\B01\B01-4804","\\imagefiles.bcgov\imagery\scanned_maps\moe_terrain_maps\Scanned_T_maps_all\B01\B01-4804")</f>
        <v>\\imagefiles.bcgov\imagery\scanned_maps\moe_terrain_maps\Scanned_T_maps_all\B01\B01-4804</v>
      </c>
      <c r="S99" t="s">
        <v>62</v>
      </c>
      <c r="T99" s="11" t="str">
        <f>HYPERLINK("http://www.env.gov.bc.ca/esd/distdata/ecosystems/TEI_Scanned_Maps/B01/B01-4804","http://www.env.gov.bc.ca/esd/distdata/ecosystems/TEI_Scanned_Maps/B01/B01-4804")</f>
        <v>http://www.env.gov.bc.ca/esd/distdata/ecosystems/TEI_Scanned_Maps/B01/B01-4804</v>
      </c>
      <c r="U99" t="s">
        <v>58</v>
      </c>
      <c r="V99" t="s">
        <v>58</v>
      </c>
      <c r="W99" t="s">
        <v>58</v>
      </c>
      <c r="X99" t="s">
        <v>58</v>
      </c>
      <c r="Y99" t="s">
        <v>58</v>
      </c>
      <c r="Z99" t="s">
        <v>58</v>
      </c>
      <c r="AA99" t="s">
        <v>58</v>
      </c>
      <c r="AC99" t="s">
        <v>58</v>
      </c>
      <c r="AE99" t="s">
        <v>58</v>
      </c>
      <c r="AG99" t="s">
        <v>63</v>
      </c>
      <c r="AH99" s="11" t="str">
        <f t="shared" si="1"/>
        <v>mailto: soilterrain@victoria1.gov.bc.ca</v>
      </c>
    </row>
    <row r="100" spans="1:34">
      <c r="A100" t="s">
        <v>359</v>
      </c>
      <c r="B100" t="s">
        <v>56</v>
      </c>
      <c r="C100" s="10" t="s">
        <v>360</v>
      </c>
      <c r="D100" t="s">
        <v>58</v>
      </c>
      <c r="E100" t="s">
        <v>59</v>
      </c>
      <c r="F100" t="s">
        <v>361</v>
      </c>
      <c r="G100">
        <v>50000</v>
      </c>
      <c r="H100" t="s">
        <v>352</v>
      </c>
      <c r="I100" t="s">
        <v>58</v>
      </c>
      <c r="J100" t="s">
        <v>58</v>
      </c>
      <c r="K100" t="s">
        <v>61</v>
      </c>
      <c r="L100" t="s">
        <v>58</v>
      </c>
      <c r="M100" t="s">
        <v>58</v>
      </c>
      <c r="Q100" t="s">
        <v>58</v>
      </c>
      <c r="R100" s="11" t="str">
        <f>HYPERLINK("\\imagefiles.bcgov\imagery\scanned_maps\moe_terrain_maps\Scanned_T_maps_all\B01\B01-4805","\\imagefiles.bcgov\imagery\scanned_maps\moe_terrain_maps\Scanned_T_maps_all\B01\B01-4805")</f>
        <v>\\imagefiles.bcgov\imagery\scanned_maps\moe_terrain_maps\Scanned_T_maps_all\B01\B01-4805</v>
      </c>
      <c r="S100" t="s">
        <v>62</v>
      </c>
      <c r="T100" s="11" t="str">
        <f>HYPERLINK("http://www.env.gov.bc.ca/esd/distdata/ecosystems/TEI_Scanned_Maps/B01/B01-4805","http://www.env.gov.bc.ca/esd/distdata/ecosystems/TEI_Scanned_Maps/B01/B01-4805")</f>
        <v>http://www.env.gov.bc.ca/esd/distdata/ecosystems/TEI_Scanned_Maps/B01/B01-4805</v>
      </c>
      <c r="U100" t="s">
        <v>58</v>
      </c>
      <c r="V100" t="s">
        <v>58</v>
      </c>
      <c r="W100" t="s">
        <v>58</v>
      </c>
      <c r="X100" t="s">
        <v>58</v>
      </c>
      <c r="Y100" t="s">
        <v>58</v>
      </c>
      <c r="Z100" t="s">
        <v>58</v>
      </c>
      <c r="AA100" t="s">
        <v>58</v>
      </c>
      <c r="AC100" t="s">
        <v>58</v>
      </c>
      <c r="AE100" t="s">
        <v>58</v>
      </c>
      <c r="AG100" t="s">
        <v>63</v>
      </c>
      <c r="AH100" s="11" t="str">
        <f t="shared" si="1"/>
        <v>mailto: soilterrain@victoria1.gov.bc.ca</v>
      </c>
    </row>
    <row r="101" spans="1:34">
      <c r="A101" t="s">
        <v>362</v>
      </c>
      <c r="B101" t="s">
        <v>56</v>
      </c>
      <c r="C101" s="10" t="s">
        <v>363</v>
      </c>
      <c r="D101" t="s">
        <v>58</v>
      </c>
      <c r="E101" t="s">
        <v>59</v>
      </c>
      <c r="F101" t="s">
        <v>364</v>
      </c>
      <c r="G101">
        <v>50000</v>
      </c>
      <c r="H101" t="s">
        <v>352</v>
      </c>
      <c r="I101" t="s">
        <v>58</v>
      </c>
      <c r="J101" t="s">
        <v>58</v>
      </c>
      <c r="K101" t="s">
        <v>61</v>
      </c>
      <c r="L101" t="s">
        <v>58</v>
      </c>
      <c r="M101" t="s">
        <v>58</v>
      </c>
      <c r="Q101" t="s">
        <v>58</v>
      </c>
      <c r="R101" s="11" t="str">
        <f>HYPERLINK("\\imagefiles.bcgov\imagery\scanned_maps\moe_terrain_maps\Scanned_T_maps_all\B01\B01-4806","\\imagefiles.bcgov\imagery\scanned_maps\moe_terrain_maps\Scanned_T_maps_all\B01\B01-4806")</f>
        <v>\\imagefiles.bcgov\imagery\scanned_maps\moe_terrain_maps\Scanned_T_maps_all\B01\B01-4806</v>
      </c>
      <c r="S101" t="s">
        <v>62</v>
      </c>
      <c r="T101" s="11" t="str">
        <f>HYPERLINK("http://www.env.gov.bc.ca/esd/distdata/ecosystems/TEI_Scanned_Maps/B01/B01-4806","http://www.env.gov.bc.ca/esd/distdata/ecosystems/TEI_Scanned_Maps/B01/B01-4806")</f>
        <v>http://www.env.gov.bc.ca/esd/distdata/ecosystems/TEI_Scanned_Maps/B01/B01-4806</v>
      </c>
      <c r="U101" t="s">
        <v>58</v>
      </c>
      <c r="V101" t="s">
        <v>58</v>
      </c>
      <c r="W101" t="s">
        <v>58</v>
      </c>
      <c r="X101" t="s">
        <v>58</v>
      </c>
      <c r="Y101" t="s">
        <v>58</v>
      </c>
      <c r="Z101" t="s">
        <v>58</v>
      </c>
      <c r="AA101" t="s">
        <v>58</v>
      </c>
      <c r="AC101" t="s">
        <v>58</v>
      </c>
      <c r="AE101" t="s">
        <v>58</v>
      </c>
      <c r="AG101" t="s">
        <v>63</v>
      </c>
      <c r="AH101" s="11" t="str">
        <f t="shared" si="1"/>
        <v>mailto: soilterrain@victoria1.gov.bc.ca</v>
      </c>
    </row>
    <row r="102" spans="1:34">
      <c r="A102" t="s">
        <v>365</v>
      </c>
      <c r="B102" t="s">
        <v>56</v>
      </c>
      <c r="C102" s="10" t="s">
        <v>366</v>
      </c>
      <c r="D102" t="s">
        <v>58</v>
      </c>
      <c r="E102" t="s">
        <v>59</v>
      </c>
      <c r="F102" t="s">
        <v>367</v>
      </c>
      <c r="G102">
        <v>50000</v>
      </c>
      <c r="H102" t="s">
        <v>352</v>
      </c>
      <c r="I102" t="s">
        <v>58</v>
      </c>
      <c r="J102" t="s">
        <v>58</v>
      </c>
      <c r="K102" t="s">
        <v>61</v>
      </c>
      <c r="L102" t="s">
        <v>58</v>
      </c>
      <c r="M102" t="s">
        <v>58</v>
      </c>
      <c r="Q102" t="s">
        <v>58</v>
      </c>
      <c r="R102" s="11" t="str">
        <f>HYPERLINK("\\imagefiles.bcgov\imagery\scanned_maps\moe_terrain_maps\Scanned_T_maps_all\B01\B01-4807","\\imagefiles.bcgov\imagery\scanned_maps\moe_terrain_maps\Scanned_T_maps_all\B01\B01-4807")</f>
        <v>\\imagefiles.bcgov\imagery\scanned_maps\moe_terrain_maps\Scanned_T_maps_all\B01\B01-4807</v>
      </c>
      <c r="S102" t="s">
        <v>62</v>
      </c>
      <c r="T102" s="11" t="str">
        <f>HYPERLINK("http://www.env.gov.bc.ca/esd/distdata/ecosystems/TEI_Scanned_Maps/B01/B01-4807","http://www.env.gov.bc.ca/esd/distdata/ecosystems/TEI_Scanned_Maps/B01/B01-4807")</f>
        <v>http://www.env.gov.bc.ca/esd/distdata/ecosystems/TEI_Scanned_Maps/B01/B01-4807</v>
      </c>
      <c r="U102" t="s">
        <v>58</v>
      </c>
      <c r="V102" t="s">
        <v>58</v>
      </c>
      <c r="W102" t="s">
        <v>58</v>
      </c>
      <c r="X102" t="s">
        <v>58</v>
      </c>
      <c r="Y102" t="s">
        <v>58</v>
      </c>
      <c r="Z102" t="s">
        <v>58</v>
      </c>
      <c r="AA102" t="s">
        <v>58</v>
      </c>
      <c r="AC102" t="s">
        <v>58</v>
      </c>
      <c r="AE102" t="s">
        <v>58</v>
      </c>
      <c r="AG102" t="s">
        <v>63</v>
      </c>
      <c r="AH102" s="11" t="str">
        <f t="shared" si="1"/>
        <v>mailto: soilterrain@victoria1.gov.bc.ca</v>
      </c>
    </row>
    <row r="103" spans="1:34">
      <c r="A103" t="s">
        <v>368</v>
      </c>
      <c r="B103" t="s">
        <v>56</v>
      </c>
      <c r="C103" s="10" t="s">
        <v>369</v>
      </c>
      <c r="D103" t="s">
        <v>58</v>
      </c>
      <c r="E103" t="s">
        <v>59</v>
      </c>
      <c r="F103" t="s">
        <v>370</v>
      </c>
      <c r="G103">
        <v>50000</v>
      </c>
      <c r="H103" t="s">
        <v>352</v>
      </c>
      <c r="I103" t="s">
        <v>58</v>
      </c>
      <c r="J103" t="s">
        <v>58</v>
      </c>
      <c r="K103" t="s">
        <v>61</v>
      </c>
      <c r="L103" t="s">
        <v>58</v>
      </c>
      <c r="M103" t="s">
        <v>58</v>
      </c>
      <c r="Q103" t="s">
        <v>58</v>
      </c>
      <c r="R103" s="11" t="str">
        <f>HYPERLINK("\\imagefiles.bcgov\imagery\scanned_maps\moe_terrain_maps\Scanned_T_maps_all\B01\B01-4808","\\imagefiles.bcgov\imagery\scanned_maps\moe_terrain_maps\Scanned_T_maps_all\B01\B01-4808")</f>
        <v>\\imagefiles.bcgov\imagery\scanned_maps\moe_terrain_maps\Scanned_T_maps_all\B01\B01-4808</v>
      </c>
      <c r="S103" t="s">
        <v>62</v>
      </c>
      <c r="T103" s="11" t="str">
        <f>HYPERLINK("http://www.env.gov.bc.ca/esd/distdata/ecosystems/TEI_Scanned_Maps/B01/B01-4808","http://www.env.gov.bc.ca/esd/distdata/ecosystems/TEI_Scanned_Maps/B01/B01-4808")</f>
        <v>http://www.env.gov.bc.ca/esd/distdata/ecosystems/TEI_Scanned_Maps/B01/B01-4808</v>
      </c>
      <c r="U103" t="s">
        <v>58</v>
      </c>
      <c r="V103" t="s">
        <v>58</v>
      </c>
      <c r="W103" t="s">
        <v>58</v>
      </c>
      <c r="X103" t="s">
        <v>58</v>
      </c>
      <c r="Y103" t="s">
        <v>58</v>
      </c>
      <c r="Z103" t="s">
        <v>58</v>
      </c>
      <c r="AA103" t="s">
        <v>58</v>
      </c>
      <c r="AC103" t="s">
        <v>58</v>
      </c>
      <c r="AE103" t="s">
        <v>58</v>
      </c>
      <c r="AG103" t="s">
        <v>63</v>
      </c>
      <c r="AH103" s="11" t="str">
        <f t="shared" si="1"/>
        <v>mailto: soilterrain@victoria1.gov.bc.ca</v>
      </c>
    </row>
    <row r="104" spans="1:34">
      <c r="A104" t="s">
        <v>371</v>
      </c>
      <c r="B104" t="s">
        <v>56</v>
      </c>
      <c r="C104" s="10" t="s">
        <v>372</v>
      </c>
      <c r="D104" t="s">
        <v>58</v>
      </c>
      <c r="E104" t="s">
        <v>59</v>
      </c>
      <c r="F104" t="s">
        <v>373</v>
      </c>
      <c r="G104">
        <v>50000</v>
      </c>
      <c r="H104" t="s">
        <v>352</v>
      </c>
      <c r="I104" t="s">
        <v>58</v>
      </c>
      <c r="J104" t="s">
        <v>58</v>
      </c>
      <c r="K104" t="s">
        <v>61</v>
      </c>
      <c r="L104" t="s">
        <v>58</v>
      </c>
      <c r="M104" t="s">
        <v>58</v>
      </c>
      <c r="Q104" t="s">
        <v>58</v>
      </c>
      <c r="R104" s="11" t="str">
        <f>HYPERLINK("\\imagefiles.bcgov\imagery\scanned_maps\moe_terrain_maps\Scanned_T_maps_all\B01\B01-4809","\\imagefiles.bcgov\imagery\scanned_maps\moe_terrain_maps\Scanned_T_maps_all\B01\B01-4809")</f>
        <v>\\imagefiles.bcgov\imagery\scanned_maps\moe_terrain_maps\Scanned_T_maps_all\B01\B01-4809</v>
      </c>
      <c r="S104" t="s">
        <v>62</v>
      </c>
      <c r="T104" s="11" t="str">
        <f>HYPERLINK("http://www.env.gov.bc.ca/esd/distdata/ecosystems/TEI_Scanned_Maps/B01/B01-4809","http://www.env.gov.bc.ca/esd/distdata/ecosystems/TEI_Scanned_Maps/B01/B01-4809")</f>
        <v>http://www.env.gov.bc.ca/esd/distdata/ecosystems/TEI_Scanned_Maps/B01/B01-4809</v>
      </c>
      <c r="U104" t="s">
        <v>58</v>
      </c>
      <c r="V104" t="s">
        <v>58</v>
      </c>
      <c r="W104" t="s">
        <v>58</v>
      </c>
      <c r="X104" t="s">
        <v>58</v>
      </c>
      <c r="Y104" t="s">
        <v>58</v>
      </c>
      <c r="Z104" t="s">
        <v>58</v>
      </c>
      <c r="AA104" t="s">
        <v>58</v>
      </c>
      <c r="AC104" t="s">
        <v>58</v>
      </c>
      <c r="AE104" t="s">
        <v>58</v>
      </c>
      <c r="AG104" t="s">
        <v>63</v>
      </c>
      <c r="AH104" s="11" t="str">
        <f t="shared" si="1"/>
        <v>mailto: soilterrain@victoria1.gov.bc.ca</v>
      </c>
    </row>
    <row r="105" spans="1:34">
      <c r="A105" t="s">
        <v>374</v>
      </c>
      <c r="B105" t="s">
        <v>56</v>
      </c>
      <c r="C105" s="10" t="s">
        <v>375</v>
      </c>
      <c r="D105" t="s">
        <v>58</v>
      </c>
      <c r="E105" t="s">
        <v>59</v>
      </c>
      <c r="F105" t="s">
        <v>376</v>
      </c>
      <c r="G105">
        <v>50000</v>
      </c>
      <c r="H105" t="s">
        <v>352</v>
      </c>
      <c r="I105" t="s">
        <v>58</v>
      </c>
      <c r="J105" t="s">
        <v>58</v>
      </c>
      <c r="K105" t="s">
        <v>61</v>
      </c>
      <c r="L105" t="s">
        <v>58</v>
      </c>
      <c r="M105" t="s">
        <v>58</v>
      </c>
      <c r="Q105" t="s">
        <v>58</v>
      </c>
      <c r="R105" s="11" t="str">
        <f>HYPERLINK("\\imagefiles.bcgov\imagery\scanned_maps\moe_terrain_maps\Scanned_T_maps_all\B01\B01-4810","\\imagefiles.bcgov\imagery\scanned_maps\moe_terrain_maps\Scanned_T_maps_all\B01\B01-4810")</f>
        <v>\\imagefiles.bcgov\imagery\scanned_maps\moe_terrain_maps\Scanned_T_maps_all\B01\B01-4810</v>
      </c>
      <c r="S105" t="s">
        <v>62</v>
      </c>
      <c r="T105" s="11" t="str">
        <f>HYPERLINK("http://www.env.gov.bc.ca/esd/distdata/ecosystems/TEI_Scanned_Maps/B01/B01-4810","http://www.env.gov.bc.ca/esd/distdata/ecosystems/TEI_Scanned_Maps/B01/B01-4810")</f>
        <v>http://www.env.gov.bc.ca/esd/distdata/ecosystems/TEI_Scanned_Maps/B01/B01-4810</v>
      </c>
      <c r="U105" t="s">
        <v>58</v>
      </c>
      <c r="V105" t="s">
        <v>58</v>
      </c>
      <c r="W105" t="s">
        <v>58</v>
      </c>
      <c r="X105" t="s">
        <v>58</v>
      </c>
      <c r="Y105" t="s">
        <v>58</v>
      </c>
      <c r="Z105" t="s">
        <v>58</v>
      </c>
      <c r="AA105" t="s">
        <v>58</v>
      </c>
      <c r="AC105" t="s">
        <v>58</v>
      </c>
      <c r="AE105" t="s">
        <v>58</v>
      </c>
      <c r="AG105" t="s">
        <v>63</v>
      </c>
      <c r="AH105" s="11" t="str">
        <f t="shared" si="1"/>
        <v>mailto: soilterrain@victoria1.gov.bc.ca</v>
      </c>
    </row>
    <row r="106" spans="1:34">
      <c r="A106" t="s">
        <v>377</v>
      </c>
      <c r="B106" t="s">
        <v>56</v>
      </c>
      <c r="C106" s="10" t="s">
        <v>378</v>
      </c>
      <c r="D106" t="s">
        <v>58</v>
      </c>
      <c r="E106" t="s">
        <v>59</v>
      </c>
      <c r="F106" t="s">
        <v>379</v>
      </c>
      <c r="G106">
        <v>250000</v>
      </c>
      <c r="H106">
        <v>1955</v>
      </c>
      <c r="I106" t="s">
        <v>58</v>
      </c>
      <c r="J106" t="s">
        <v>58</v>
      </c>
      <c r="K106" t="s">
        <v>58</v>
      </c>
      <c r="L106" t="s">
        <v>58</v>
      </c>
      <c r="M106" t="s">
        <v>58</v>
      </c>
      <c r="P106" t="s">
        <v>61</v>
      </c>
      <c r="Q106" t="s">
        <v>58</v>
      </c>
      <c r="R106" s="11" t="str">
        <f>HYPERLINK("\\imagefiles.bcgov\imagery\scanned_maps\moe_terrain_maps\Scanned_T_maps_all\B01\B01-4811","\\imagefiles.bcgov\imagery\scanned_maps\moe_terrain_maps\Scanned_T_maps_all\B01\B01-4811")</f>
        <v>\\imagefiles.bcgov\imagery\scanned_maps\moe_terrain_maps\Scanned_T_maps_all\B01\B01-4811</v>
      </c>
      <c r="S106" t="s">
        <v>62</v>
      </c>
      <c r="T106" s="11" t="str">
        <f>HYPERLINK("http://www.env.gov.bc.ca/esd/distdata/ecosystems/TEI_Scanned_Maps/B01/B01-4811","http://www.env.gov.bc.ca/esd/distdata/ecosystems/TEI_Scanned_Maps/B01/B01-4811")</f>
        <v>http://www.env.gov.bc.ca/esd/distdata/ecosystems/TEI_Scanned_Maps/B01/B01-4811</v>
      </c>
      <c r="U106" t="s">
        <v>58</v>
      </c>
      <c r="V106" t="s">
        <v>58</v>
      </c>
      <c r="W106" t="s">
        <v>58</v>
      </c>
      <c r="X106" t="s">
        <v>58</v>
      </c>
      <c r="Y106" t="s">
        <v>58</v>
      </c>
      <c r="Z106" t="s">
        <v>58</v>
      </c>
      <c r="AA106" t="s">
        <v>58</v>
      </c>
      <c r="AC106" t="s">
        <v>58</v>
      </c>
      <c r="AE106" t="s">
        <v>58</v>
      </c>
      <c r="AG106" t="s">
        <v>63</v>
      </c>
      <c r="AH106" s="11" t="str">
        <f t="shared" si="1"/>
        <v>mailto: soilterrain@victoria1.gov.bc.ca</v>
      </c>
    </row>
    <row r="107" spans="1:34">
      <c r="A107" t="s">
        <v>380</v>
      </c>
      <c r="B107" t="s">
        <v>56</v>
      </c>
      <c r="C107" s="10" t="s">
        <v>381</v>
      </c>
      <c r="D107" t="s">
        <v>58</v>
      </c>
      <c r="E107" t="s">
        <v>59</v>
      </c>
      <c r="F107" t="s">
        <v>382</v>
      </c>
      <c r="G107">
        <v>20000</v>
      </c>
      <c r="H107">
        <v>1995</v>
      </c>
      <c r="I107" t="s">
        <v>58</v>
      </c>
      <c r="J107" t="s">
        <v>58</v>
      </c>
      <c r="K107" t="s">
        <v>61</v>
      </c>
      <c r="L107" t="s">
        <v>58</v>
      </c>
      <c r="M107" t="s">
        <v>58</v>
      </c>
      <c r="Q107" t="s">
        <v>58</v>
      </c>
      <c r="R107" s="11" t="str">
        <f>HYPERLINK("\\imagefiles.bcgov\imagery\scanned_maps\moe_terrain_maps\Scanned_T_maps_all\B01\B01-4812","\\imagefiles.bcgov\imagery\scanned_maps\moe_terrain_maps\Scanned_T_maps_all\B01\B01-4812")</f>
        <v>\\imagefiles.bcgov\imagery\scanned_maps\moe_terrain_maps\Scanned_T_maps_all\B01\B01-4812</v>
      </c>
      <c r="S107" t="s">
        <v>62</v>
      </c>
      <c r="T107" s="11" t="str">
        <f>HYPERLINK("http://www.env.gov.bc.ca/esd/distdata/ecosystems/TEI_Scanned_Maps/B01/B01-4812","http://www.env.gov.bc.ca/esd/distdata/ecosystems/TEI_Scanned_Maps/B01/B01-4812")</f>
        <v>http://www.env.gov.bc.ca/esd/distdata/ecosystems/TEI_Scanned_Maps/B01/B01-4812</v>
      </c>
      <c r="U107" t="s">
        <v>58</v>
      </c>
      <c r="V107" t="s">
        <v>58</v>
      </c>
      <c r="W107" t="s">
        <v>58</v>
      </c>
      <c r="X107" t="s">
        <v>58</v>
      </c>
      <c r="Y107" t="s">
        <v>58</v>
      </c>
      <c r="Z107" t="s">
        <v>58</v>
      </c>
      <c r="AA107" t="s">
        <v>58</v>
      </c>
      <c r="AC107" t="s">
        <v>58</v>
      </c>
      <c r="AE107" t="s">
        <v>58</v>
      </c>
      <c r="AG107" t="s">
        <v>63</v>
      </c>
      <c r="AH107" s="11" t="str">
        <f t="shared" si="1"/>
        <v>mailto: soilterrain@victoria1.gov.bc.ca</v>
      </c>
    </row>
    <row r="108" spans="1:34">
      <c r="A108" t="s">
        <v>383</v>
      </c>
      <c r="B108" t="s">
        <v>56</v>
      </c>
      <c r="C108" s="10" t="s">
        <v>384</v>
      </c>
      <c r="D108" t="s">
        <v>58</v>
      </c>
      <c r="E108" t="s">
        <v>59</v>
      </c>
      <c r="F108" t="s">
        <v>382</v>
      </c>
      <c r="G108">
        <v>20000</v>
      </c>
      <c r="H108">
        <v>1995</v>
      </c>
      <c r="I108" t="s">
        <v>58</v>
      </c>
      <c r="J108" t="s">
        <v>58</v>
      </c>
      <c r="K108" t="s">
        <v>61</v>
      </c>
      <c r="L108" t="s">
        <v>58</v>
      </c>
      <c r="M108" t="s">
        <v>58</v>
      </c>
      <c r="Q108" t="s">
        <v>58</v>
      </c>
      <c r="R108" s="11" t="str">
        <f>HYPERLINK("\\imagefiles.bcgov\imagery\scanned_maps\moe_terrain_maps\Scanned_T_maps_all\B01\B01-4813","\\imagefiles.bcgov\imagery\scanned_maps\moe_terrain_maps\Scanned_T_maps_all\B01\B01-4813")</f>
        <v>\\imagefiles.bcgov\imagery\scanned_maps\moe_terrain_maps\Scanned_T_maps_all\B01\B01-4813</v>
      </c>
      <c r="S108" t="s">
        <v>62</v>
      </c>
      <c r="T108" s="11" t="str">
        <f>HYPERLINK("http://www.env.gov.bc.ca/esd/distdata/ecosystems/TEI_Scanned_Maps/B01/B01-4813","http://www.env.gov.bc.ca/esd/distdata/ecosystems/TEI_Scanned_Maps/B01/B01-4813")</f>
        <v>http://www.env.gov.bc.ca/esd/distdata/ecosystems/TEI_Scanned_Maps/B01/B01-4813</v>
      </c>
      <c r="U108" t="s">
        <v>58</v>
      </c>
      <c r="V108" t="s">
        <v>58</v>
      </c>
      <c r="W108" t="s">
        <v>58</v>
      </c>
      <c r="X108" t="s">
        <v>58</v>
      </c>
      <c r="Y108" t="s">
        <v>58</v>
      </c>
      <c r="Z108" t="s">
        <v>58</v>
      </c>
      <c r="AA108" t="s">
        <v>58</v>
      </c>
      <c r="AC108" t="s">
        <v>58</v>
      </c>
      <c r="AE108" t="s">
        <v>58</v>
      </c>
      <c r="AG108" t="s">
        <v>63</v>
      </c>
      <c r="AH108" s="11" t="str">
        <f t="shared" si="1"/>
        <v>mailto: soilterrain@victoria1.gov.bc.ca</v>
      </c>
    </row>
    <row r="109" spans="1:34">
      <c r="A109" t="s">
        <v>385</v>
      </c>
      <c r="B109" t="s">
        <v>56</v>
      </c>
      <c r="C109" s="10" t="s">
        <v>386</v>
      </c>
      <c r="D109" t="s">
        <v>58</v>
      </c>
      <c r="E109" t="s">
        <v>59</v>
      </c>
      <c r="F109" t="s">
        <v>382</v>
      </c>
      <c r="G109">
        <v>20000</v>
      </c>
      <c r="H109">
        <v>1995</v>
      </c>
      <c r="I109" t="s">
        <v>58</v>
      </c>
      <c r="J109" t="s">
        <v>58</v>
      </c>
      <c r="K109" t="s">
        <v>61</v>
      </c>
      <c r="L109" t="s">
        <v>58</v>
      </c>
      <c r="M109" t="s">
        <v>58</v>
      </c>
      <c r="Q109" t="s">
        <v>58</v>
      </c>
      <c r="R109" s="11" t="str">
        <f>HYPERLINK("\\imagefiles.bcgov\imagery\scanned_maps\moe_terrain_maps\Scanned_T_maps_all\B01\B01-4814","\\imagefiles.bcgov\imagery\scanned_maps\moe_terrain_maps\Scanned_T_maps_all\B01\B01-4814")</f>
        <v>\\imagefiles.bcgov\imagery\scanned_maps\moe_terrain_maps\Scanned_T_maps_all\B01\B01-4814</v>
      </c>
      <c r="S109" t="s">
        <v>62</v>
      </c>
      <c r="T109" s="11" t="str">
        <f>HYPERLINK("http://www.env.gov.bc.ca/esd/distdata/ecosystems/TEI_Scanned_Maps/B01/B01-4814","http://www.env.gov.bc.ca/esd/distdata/ecosystems/TEI_Scanned_Maps/B01/B01-4814")</f>
        <v>http://www.env.gov.bc.ca/esd/distdata/ecosystems/TEI_Scanned_Maps/B01/B01-4814</v>
      </c>
      <c r="U109" t="s">
        <v>58</v>
      </c>
      <c r="V109" t="s">
        <v>58</v>
      </c>
      <c r="W109" t="s">
        <v>58</v>
      </c>
      <c r="X109" t="s">
        <v>58</v>
      </c>
      <c r="Y109" t="s">
        <v>58</v>
      </c>
      <c r="Z109" t="s">
        <v>58</v>
      </c>
      <c r="AA109" t="s">
        <v>58</v>
      </c>
      <c r="AC109" t="s">
        <v>58</v>
      </c>
      <c r="AE109" t="s">
        <v>58</v>
      </c>
      <c r="AG109" t="s">
        <v>63</v>
      </c>
      <c r="AH109" s="11" t="str">
        <f t="shared" si="1"/>
        <v>mailto: soilterrain@victoria1.gov.bc.ca</v>
      </c>
    </row>
    <row r="110" spans="1:34">
      <c r="A110" t="s">
        <v>387</v>
      </c>
      <c r="B110" t="s">
        <v>56</v>
      </c>
      <c r="C110" s="10" t="s">
        <v>388</v>
      </c>
      <c r="D110" t="s">
        <v>58</v>
      </c>
      <c r="E110" t="s">
        <v>59</v>
      </c>
      <c r="F110" t="s">
        <v>382</v>
      </c>
      <c r="G110">
        <v>20000</v>
      </c>
      <c r="H110">
        <v>1995</v>
      </c>
      <c r="I110" t="s">
        <v>58</v>
      </c>
      <c r="J110" t="s">
        <v>58</v>
      </c>
      <c r="K110" t="s">
        <v>61</v>
      </c>
      <c r="L110" t="s">
        <v>58</v>
      </c>
      <c r="M110" t="s">
        <v>58</v>
      </c>
      <c r="Q110" t="s">
        <v>58</v>
      </c>
      <c r="R110" s="11" t="str">
        <f>HYPERLINK("\\imagefiles.bcgov\imagery\scanned_maps\moe_terrain_maps\Scanned_T_maps_all\B01\B01-4815","\\imagefiles.bcgov\imagery\scanned_maps\moe_terrain_maps\Scanned_T_maps_all\B01\B01-4815")</f>
        <v>\\imagefiles.bcgov\imagery\scanned_maps\moe_terrain_maps\Scanned_T_maps_all\B01\B01-4815</v>
      </c>
      <c r="S110" t="s">
        <v>62</v>
      </c>
      <c r="T110" s="11" t="str">
        <f>HYPERLINK("http://www.env.gov.bc.ca/esd/distdata/ecosystems/TEI_Scanned_Maps/B01/B01-4815","http://www.env.gov.bc.ca/esd/distdata/ecosystems/TEI_Scanned_Maps/B01/B01-4815")</f>
        <v>http://www.env.gov.bc.ca/esd/distdata/ecosystems/TEI_Scanned_Maps/B01/B01-4815</v>
      </c>
      <c r="U110" t="s">
        <v>58</v>
      </c>
      <c r="V110" t="s">
        <v>58</v>
      </c>
      <c r="W110" t="s">
        <v>58</v>
      </c>
      <c r="X110" t="s">
        <v>58</v>
      </c>
      <c r="Y110" t="s">
        <v>58</v>
      </c>
      <c r="Z110" t="s">
        <v>58</v>
      </c>
      <c r="AA110" t="s">
        <v>58</v>
      </c>
      <c r="AC110" t="s">
        <v>58</v>
      </c>
      <c r="AE110" t="s">
        <v>58</v>
      </c>
      <c r="AG110" t="s">
        <v>63</v>
      </c>
      <c r="AH110" s="11" t="str">
        <f t="shared" si="1"/>
        <v>mailto: soilterrain@victoria1.gov.bc.ca</v>
      </c>
    </row>
    <row r="111" spans="1:34">
      <c r="A111" t="s">
        <v>389</v>
      </c>
      <c r="B111" t="s">
        <v>56</v>
      </c>
      <c r="C111" s="10" t="s">
        <v>390</v>
      </c>
      <c r="D111" t="s">
        <v>58</v>
      </c>
      <c r="E111" t="s">
        <v>59</v>
      </c>
      <c r="F111" t="s">
        <v>382</v>
      </c>
      <c r="G111">
        <v>20000</v>
      </c>
      <c r="H111">
        <v>1995</v>
      </c>
      <c r="I111" t="s">
        <v>58</v>
      </c>
      <c r="J111" t="s">
        <v>58</v>
      </c>
      <c r="K111" t="s">
        <v>61</v>
      </c>
      <c r="L111" t="s">
        <v>58</v>
      </c>
      <c r="M111" t="s">
        <v>58</v>
      </c>
      <c r="Q111" t="s">
        <v>58</v>
      </c>
      <c r="R111" s="11" t="str">
        <f>HYPERLINK("\\imagefiles.bcgov\imagery\scanned_maps\moe_terrain_maps\Scanned_T_maps_all\B01\B01-4816","\\imagefiles.bcgov\imagery\scanned_maps\moe_terrain_maps\Scanned_T_maps_all\B01\B01-4816")</f>
        <v>\\imagefiles.bcgov\imagery\scanned_maps\moe_terrain_maps\Scanned_T_maps_all\B01\B01-4816</v>
      </c>
      <c r="S111" t="s">
        <v>62</v>
      </c>
      <c r="T111" s="11" t="str">
        <f>HYPERLINK("http://www.env.gov.bc.ca/esd/distdata/ecosystems/TEI_Scanned_Maps/B01/B01-4816","http://www.env.gov.bc.ca/esd/distdata/ecosystems/TEI_Scanned_Maps/B01/B01-4816")</f>
        <v>http://www.env.gov.bc.ca/esd/distdata/ecosystems/TEI_Scanned_Maps/B01/B01-4816</v>
      </c>
      <c r="U111" t="s">
        <v>58</v>
      </c>
      <c r="V111" t="s">
        <v>58</v>
      </c>
      <c r="W111" t="s">
        <v>58</v>
      </c>
      <c r="X111" t="s">
        <v>58</v>
      </c>
      <c r="Y111" t="s">
        <v>58</v>
      </c>
      <c r="Z111" t="s">
        <v>58</v>
      </c>
      <c r="AA111" t="s">
        <v>58</v>
      </c>
      <c r="AC111" t="s">
        <v>58</v>
      </c>
      <c r="AE111" t="s">
        <v>58</v>
      </c>
      <c r="AG111" t="s">
        <v>63</v>
      </c>
      <c r="AH111" s="11" t="str">
        <f t="shared" si="1"/>
        <v>mailto: soilterrain@victoria1.gov.bc.ca</v>
      </c>
    </row>
    <row r="112" spans="1:34">
      <c r="A112" t="s">
        <v>391</v>
      </c>
      <c r="B112" t="s">
        <v>56</v>
      </c>
      <c r="C112" s="10" t="s">
        <v>392</v>
      </c>
      <c r="D112" t="s">
        <v>58</v>
      </c>
      <c r="E112" t="s">
        <v>59</v>
      </c>
      <c r="F112" t="s">
        <v>382</v>
      </c>
      <c r="G112">
        <v>20000</v>
      </c>
      <c r="H112">
        <v>1995</v>
      </c>
      <c r="I112" t="s">
        <v>58</v>
      </c>
      <c r="J112" t="s">
        <v>58</v>
      </c>
      <c r="K112" t="s">
        <v>61</v>
      </c>
      <c r="L112" t="s">
        <v>58</v>
      </c>
      <c r="M112" t="s">
        <v>58</v>
      </c>
      <c r="Q112" t="s">
        <v>58</v>
      </c>
      <c r="R112" s="11" t="str">
        <f>HYPERLINK("\\imagefiles.bcgov\imagery\scanned_maps\moe_terrain_maps\Scanned_T_maps_all\B01\B01-4817","\\imagefiles.bcgov\imagery\scanned_maps\moe_terrain_maps\Scanned_T_maps_all\B01\B01-4817")</f>
        <v>\\imagefiles.bcgov\imagery\scanned_maps\moe_terrain_maps\Scanned_T_maps_all\B01\B01-4817</v>
      </c>
      <c r="S112" t="s">
        <v>62</v>
      </c>
      <c r="T112" s="11" t="str">
        <f>HYPERLINK("http://www.env.gov.bc.ca/esd/distdata/ecosystems/TEI_Scanned_Maps/B01/B01-4817","http://www.env.gov.bc.ca/esd/distdata/ecosystems/TEI_Scanned_Maps/B01/B01-4817")</f>
        <v>http://www.env.gov.bc.ca/esd/distdata/ecosystems/TEI_Scanned_Maps/B01/B01-4817</v>
      </c>
      <c r="U112" t="s">
        <v>58</v>
      </c>
      <c r="V112" t="s">
        <v>58</v>
      </c>
      <c r="W112" t="s">
        <v>58</v>
      </c>
      <c r="X112" t="s">
        <v>58</v>
      </c>
      <c r="Y112" t="s">
        <v>58</v>
      </c>
      <c r="Z112" t="s">
        <v>58</v>
      </c>
      <c r="AA112" t="s">
        <v>58</v>
      </c>
      <c r="AC112" t="s">
        <v>58</v>
      </c>
      <c r="AE112" t="s">
        <v>58</v>
      </c>
      <c r="AG112" t="s">
        <v>63</v>
      </c>
      <c r="AH112" s="11" t="str">
        <f t="shared" si="1"/>
        <v>mailto: soilterrain@victoria1.gov.bc.ca</v>
      </c>
    </row>
    <row r="113" spans="1:34">
      <c r="A113" t="s">
        <v>393</v>
      </c>
      <c r="B113" t="s">
        <v>56</v>
      </c>
      <c r="C113" s="10" t="s">
        <v>394</v>
      </c>
      <c r="D113" t="s">
        <v>58</v>
      </c>
      <c r="E113" t="s">
        <v>59</v>
      </c>
      <c r="F113" t="s">
        <v>382</v>
      </c>
      <c r="G113">
        <v>20000</v>
      </c>
      <c r="H113">
        <v>1995</v>
      </c>
      <c r="I113" t="s">
        <v>58</v>
      </c>
      <c r="J113" t="s">
        <v>58</v>
      </c>
      <c r="K113" t="s">
        <v>61</v>
      </c>
      <c r="L113" t="s">
        <v>58</v>
      </c>
      <c r="M113" t="s">
        <v>58</v>
      </c>
      <c r="Q113" t="s">
        <v>58</v>
      </c>
      <c r="R113" s="11" t="str">
        <f>HYPERLINK("\\imagefiles.bcgov\imagery\scanned_maps\moe_terrain_maps\Scanned_T_maps_all\B01\B01-4818","\\imagefiles.bcgov\imagery\scanned_maps\moe_terrain_maps\Scanned_T_maps_all\B01\B01-4818")</f>
        <v>\\imagefiles.bcgov\imagery\scanned_maps\moe_terrain_maps\Scanned_T_maps_all\B01\B01-4818</v>
      </c>
      <c r="S113" t="s">
        <v>62</v>
      </c>
      <c r="T113" s="11" t="str">
        <f>HYPERLINK("http://www.env.gov.bc.ca/esd/distdata/ecosystems/TEI_Scanned_Maps/B01/B01-4818","http://www.env.gov.bc.ca/esd/distdata/ecosystems/TEI_Scanned_Maps/B01/B01-4818")</f>
        <v>http://www.env.gov.bc.ca/esd/distdata/ecosystems/TEI_Scanned_Maps/B01/B01-4818</v>
      </c>
      <c r="U113" t="s">
        <v>58</v>
      </c>
      <c r="V113" t="s">
        <v>58</v>
      </c>
      <c r="W113" t="s">
        <v>58</v>
      </c>
      <c r="X113" t="s">
        <v>58</v>
      </c>
      <c r="Y113" t="s">
        <v>58</v>
      </c>
      <c r="Z113" t="s">
        <v>58</v>
      </c>
      <c r="AA113" t="s">
        <v>58</v>
      </c>
      <c r="AC113" t="s">
        <v>58</v>
      </c>
      <c r="AE113" t="s">
        <v>58</v>
      </c>
      <c r="AG113" t="s">
        <v>63</v>
      </c>
      <c r="AH113" s="11" t="str">
        <f t="shared" si="1"/>
        <v>mailto: soilterrain@victoria1.gov.bc.ca</v>
      </c>
    </row>
    <row r="114" spans="1:34">
      <c r="A114" t="s">
        <v>395</v>
      </c>
      <c r="B114" t="s">
        <v>56</v>
      </c>
      <c r="C114" s="10" t="s">
        <v>396</v>
      </c>
      <c r="D114" t="s">
        <v>58</v>
      </c>
      <c r="E114" t="s">
        <v>59</v>
      </c>
      <c r="F114" t="s">
        <v>382</v>
      </c>
      <c r="G114">
        <v>20000</v>
      </c>
      <c r="H114">
        <v>1995</v>
      </c>
      <c r="I114" t="s">
        <v>58</v>
      </c>
      <c r="J114" t="s">
        <v>58</v>
      </c>
      <c r="K114" t="s">
        <v>61</v>
      </c>
      <c r="L114" t="s">
        <v>58</v>
      </c>
      <c r="M114" t="s">
        <v>58</v>
      </c>
      <c r="Q114" t="s">
        <v>58</v>
      </c>
      <c r="R114" s="11" t="str">
        <f>HYPERLINK("\\imagefiles.bcgov\imagery\scanned_maps\moe_terrain_maps\Scanned_T_maps_all\B01\B01-4819","\\imagefiles.bcgov\imagery\scanned_maps\moe_terrain_maps\Scanned_T_maps_all\B01\B01-4819")</f>
        <v>\\imagefiles.bcgov\imagery\scanned_maps\moe_terrain_maps\Scanned_T_maps_all\B01\B01-4819</v>
      </c>
      <c r="S114" t="s">
        <v>62</v>
      </c>
      <c r="T114" s="11" t="str">
        <f>HYPERLINK("http://www.env.gov.bc.ca/esd/distdata/ecosystems/TEI_Scanned_Maps/B01/B01-4819","http://www.env.gov.bc.ca/esd/distdata/ecosystems/TEI_Scanned_Maps/B01/B01-4819")</f>
        <v>http://www.env.gov.bc.ca/esd/distdata/ecosystems/TEI_Scanned_Maps/B01/B01-4819</v>
      </c>
      <c r="U114" t="s">
        <v>58</v>
      </c>
      <c r="V114" t="s">
        <v>58</v>
      </c>
      <c r="W114" t="s">
        <v>58</v>
      </c>
      <c r="X114" t="s">
        <v>58</v>
      </c>
      <c r="Y114" t="s">
        <v>58</v>
      </c>
      <c r="Z114" t="s">
        <v>58</v>
      </c>
      <c r="AA114" t="s">
        <v>58</v>
      </c>
      <c r="AC114" t="s">
        <v>58</v>
      </c>
      <c r="AE114" t="s">
        <v>58</v>
      </c>
      <c r="AG114" t="s">
        <v>63</v>
      </c>
      <c r="AH114" s="11" t="str">
        <f t="shared" si="1"/>
        <v>mailto: soilterrain@victoria1.gov.bc.ca</v>
      </c>
    </row>
    <row r="115" spans="1:34">
      <c r="A115" t="s">
        <v>397</v>
      </c>
      <c r="B115" t="s">
        <v>56</v>
      </c>
      <c r="C115" s="10" t="s">
        <v>398</v>
      </c>
      <c r="D115" t="s">
        <v>58</v>
      </c>
      <c r="E115" t="s">
        <v>59</v>
      </c>
      <c r="F115" t="s">
        <v>399</v>
      </c>
      <c r="G115">
        <v>250000</v>
      </c>
      <c r="H115" t="s">
        <v>400</v>
      </c>
      <c r="I115" t="s">
        <v>401</v>
      </c>
      <c r="J115" t="s">
        <v>58</v>
      </c>
      <c r="K115" t="s">
        <v>61</v>
      </c>
      <c r="L115" t="s">
        <v>58</v>
      </c>
      <c r="M115" t="s">
        <v>58</v>
      </c>
      <c r="Q115" t="s">
        <v>58</v>
      </c>
      <c r="R115" s="11" t="str">
        <f>HYPERLINK("\\imagefiles.bcgov\imagery\scanned_maps\moe_terrain_maps\Scanned_T_maps_all\B01\B01-4820","\\imagefiles.bcgov\imagery\scanned_maps\moe_terrain_maps\Scanned_T_maps_all\B01\B01-4820")</f>
        <v>\\imagefiles.bcgov\imagery\scanned_maps\moe_terrain_maps\Scanned_T_maps_all\B01\B01-4820</v>
      </c>
      <c r="S115" t="s">
        <v>62</v>
      </c>
      <c r="T115" s="11" t="str">
        <f>HYPERLINK("http://www.env.gov.bc.ca/esd/distdata/ecosystems/TEI_Scanned_Maps/B01/B01-4820","http://www.env.gov.bc.ca/esd/distdata/ecosystems/TEI_Scanned_Maps/B01/B01-4820")</f>
        <v>http://www.env.gov.bc.ca/esd/distdata/ecosystems/TEI_Scanned_Maps/B01/B01-4820</v>
      </c>
      <c r="U115" t="s">
        <v>58</v>
      </c>
      <c r="V115" t="s">
        <v>58</v>
      </c>
      <c r="W115" t="s">
        <v>58</v>
      </c>
      <c r="X115" t="s">
        <v>58</v>
      </c>
      <c r="Y115" t="s">
        <v>58</v>
      </c>
      <c r="Z115" t="s">
        <v>58</v>
      </c>
      <c r="AA115" t="s">
        <v>58</v>
      </c>
      <c r="AC115" t="s">
        <v>58</v>
      </c>
      <c r="AE115" t="s">
        <v>58</v>
      </c>
      <c r="AG115" t="s">
        <v>63</v>
      </c>
      <c r="AH115" s="11" t="str">
        <f t="shared" si="1"/>
        <v>mailto: soilterrain@victoria1.gov.bc.ca</v>
      </c>
    </row>
    <row r="116" spans="1:34">
      <c r="A116" t="s">
        <v>402</v>
      </c>
      <c r="B116" t="s">
        <v>56</v>
      </c>
      <c r="C116" s="10" t="s">
        <v>398</v>
      </c>
      <c r="D116" t="s">
        <v>58</v>
      </c>
      <c r="E116" t="s">
        <v>59</v>
      </c>
      <c r="F116" t="s">
        <v>403</v>
      </c>
      <c r="G116">
        <v>250000</v>
      </c>
      <c r="H116" t="s">
        <v>400</v>
      </c>
      <c r="I116" t="s">
        <v>401</v>
      </c>
      <c r="J116" t="s">
        <v>58</v>
      </c>
      <c r="K116" t="s">
        <v>58</v>
      </c>
      <c r="L116" t="s">
        <v>58</v>
      </c>
      <c r="M116" t="s">
        <v>58</v>
      </c>
      <c r="P116" t="s">
        <v>61</v>
      </c>
      <c r="Q116" t="s">
        <v>58</v>
      </c>
      <c r="R116" s="11" t="str">
        <f>HYPERLINK("\\imagefiles.bcgov\imagery\scanned_maps\moe_terrain_maps\Scanned_T_maps_all\B01\B01-4821","\\imagefiles.bcgov\imagery\scanned_maps\moe_terrain_maps\Scanned_T_maps_all\B01\B01-4821")</f>
        <v>\\imagefiles.bcgov\imagery\scanned_maps\moe_terrain_maps\Scanned_T_maps_all\B01\B01-4821</v>
      </c>
      <c r="S116" t="s">
        <v>62</v>
      </c>
      <c r="T116" s="11" t="str">
        <f>HYPERLINK("http://www.env.gov.bc.ca/esd/distdata/ecosystems/TEI_Scanned_Maps/B01/B01-4821","http://www.env.gov.bc.ca/esd/distdata/ecosystems/TEI_Scanned_Maps/B01/B01-4821")</f>
        <v>http://www.env.gov.bc.ca/esd/distdata/ecosystems/TEI_Scanned_Maps/B01/B01-4821</v>
      </c>
      <c r="U116" t="s">
        <v>58</v>
      </c>
      <c r="V116" t="s">
        <v>58</v>
      </c>
      <c r="W116" t="s">
        <v>58</v>
      </c>
      <c r="X116" t="s">
        <v>58</v>
      </c>
      <c r="Y116" t="s">
        <v>58</v>
      </c>
      <c r="Z116" t="s">
        <v>58</v>
      </c>
      <c r="AA116" t="s">
        <v>58</v>
      </c>
      <c r="AC116" t="s">
        <v>58</v>
      </c>
      <c r="AE116" t="s">
        <v>58</v>
      </c>
      <c r="AG116" t="s">
        <v>63</v>
      </c>
      <c r="AH116" s="11" t="str">
        <f t="shared" si="1"/>
        <v>mailto: soilterrain@victoria1.gov.bc.ca</v>
      </c>
    </row>
    <row r="117" spans="1:34">
      <c r="A117" t="s">
        <v>404</v>
      </c>
      <c r="B117" t="s">
        <v>56</v>
      </c>
      <c r="C117" s="10" t="s">
        <v>378</v>
      </c>
      <c r="D117" t="s">
        <v>58</v>
      </c>
      <c r="E117" t="s">
        <v>59</v>
      </c>
      <c r="F117" t="s">
        <v>405</v>
      </c>
      <c r="G117">
        <v>250000</v>
      </c>
      <c r="H117" t="s">
        <v>400</v>
      </c>
      <c r="I117" t="s">
        <v>401</v>
      </c>
      <c r="J117" t="s">
        <v>58</v>
      </c>
      <c r="K117" t="s">
        <v>61</v>
      </c>
      <c r="L117" t="s">
        <v>58</v>
      </c>
      <c r="M117" t="s">
        <v>58</v>
      </c>
      <c r="Q117" t="s">
        <v>58</v>
      </c>
      <c r="R117" s="11" t="str">
        <f>HYPERLINK("\\imagefiles.bcgov\imagery\scanned_maps\moe_terrain_maps\Scanned_T_maps_all\B01\B01-4822","\\imagefiles.bcgov\imagery\scanned_maps\moe_terrain_maps\Scanned_T_maps_all\B01\B01-4822")</f>
        <v>\\imagefiles.bcgov\imagery\scanned_maps\moe_terrain_maps\Scanned_T_maps_all\B01\B01-4822</v>
      </c>
      <c r="S117" t="s">
        <v>62</v>
      </c>
      <c r="T117" s="11" t="str">
        <f>HYPERLINK("http://www.env.gov.bc.ca/esd/distdata/ecosystems/TEI_Scanned_Maps/B01/B01-4822","http://www.env.gov.bc.ca/esd/distdata/ecosystems/TEI_Scanned_Maps/B01/B01-4822")</f>
        <v>http://www.env.gov.bc.ca/esd/distdata/ecosystems/TEI_Scanned_Maps/B01/B01-4822</v>
      </c>
      <c r="U117" t="s">
        <v>269</v>
      </c>
      <c r="V117" s="11" t="str">
        <f t="shared" ref="V117:V148" si="3">HYPERLINK("http://www.library.for.gov.bc.ca/#focus","http://www.library.for.gov.bc.ca/#focus")</f>
        <v>http://www.library.for.gov.bc.ca/#focus</v>
      </c>
      <c r="W117" t="s">
        <v>58</v>
      </c>
      <c r="X117" t="s">
        <v>58</v>
      </c>
      <c r="Y117" t="s">
        <v>58</v>
      </c>
      <c r="Z117" t="s">
        <v>58</v>
      </c>
      <c r="AA117" t="s">
        <v>58</v>
      </c>
      <c r="AC117" t="s">
        <v>58</v>
      </c>
      <c r="AE117" t="s">
        <v>58</v>
      </c>
      <c r="AG117" t="s">
        <v>63</v>
      </c>
      <c r="AH117" s="11" t="str">
        <f t="shared" si="1"/>
        <v>mailto: soilterrain@victoria1.gov.bc.ca</v>
      </c>
    </row>
    <row r="118" spans="1:34">
      <c r="A118" t="s">
        <v>406</v>
      </c>
      <c r="B118" t="s">
        <v>56</v>
      </c>
      <c r="C118" s="10" t="s">
        <v>378</v>
      </c>
      <c r="D118" t="s">
        <v>58</v>
      </c>
      <c r="E118" t="s">
        <v>59</v>
      </c>
      <c r="F118" t="s">
        <v>407</v>
      </c>
      <c r="G118">
        <v>250000</v>
      </c>
      <c r="H118" t="s">
        <v>400</v>
      </c>
      <c r="I118" t="s">
        <v>401</v>
      </c>
      <c r="J118" t="s">
        <v>58</v>
      </c>
      <c r="K118" t="s">
        <v>58</v>
      </c>
      <c r="L118" t="s">
        <v>58</v>
      </c>
      <c r="M118" t="s">
        <v>58</v>
      </c>
      <c r="P118" t="s">
        <v>61</v>
      </c>
      <c r="Q118" t="s">
        <v>58</v>
      </c>
      <c r="R118" s="11" t="str">
        <f>HYPERLINK("\\imagefiles.bcgov\imagery\scanned_maps\moe_terrain_maps\Scanned_T_maps_all\B01\B01-4823","\\imagefiles.bcgov\imagery\scanned_maps\moe_terrain_maps\Scanned_T_maps_all\B01\B01-4823")</f>
        <v>\\imagefiles.bcgov\imagery\scanned_maps\moe_terrain_maps\Scanned_T_maps_all\B01\B01-4823</v>
      </c>
      <c r="S118" t="s">
        <v>62</v>
      </c>
      <c r="T118" s="11" t="str">
        <f>HYPERLINK("http://www.env.gov.bc.ca/esd/distdata/ecosystems/TEI_Scanned_Maps/B01/B01-4823","http://www.env.gov.bc.ca/esd/distdata/ecosystems/TEI_Scanned_Maps/B01/B01-4823")</f>
        <v>http://www.env.gov.bc.ca/esd/distdata/ecosystems/TEI_Scanned_Maps/B01/B01-4823</v>
      </c>
      <c r="U118" t="s">
        <v>269</v>
      </c>
      <c r="V118" s="11" t="str">
        <f t="shared" si="3"/>
        <v>http://www.library.for.gov.bc.ca/#focus</v>
      </c>
      <c r="W118" t="s">
        <v>58</v>
      </c>
      <c r="X118" t="s">
        <v>58</v>
      </c>
      <c r="Y118" t="s">
        <v>58</v>
      </c>
      <c r="Z118" t="s">
        <v>58</v>
      </c>
      <c r="AA118" t="s">
        <v>58</v>
      </c>
      <c r="AC118" t="s">
        <v>58</v>
      </c>
      <c r="AE118" t="s">
        <v>58</v>
      </c>
      <c r="AG118" t="s">
        <v>63</v>
      </c>
      <c r="AH118" s="11" t="str">
        <f t="shared" si="1"/>
        <v>mailto: soilterrain@victoria1.gov.bc.ca</v>
      </c>
    </row>
    <row r="119" spans="1:34">
      <c r="A119" t="s">
        <v>408</v>
      </c>
      <c r="B119" t="s">
        <v>56</v>
      </c>
      <c r="C119" s="10" t="s">
        <v>409</v>
      </c>
      <c r="D119" t="s">
        <v>58</v>
      </c>
      <c r="E119" t="s">
        <v>59</v>
      </c>
      <c r="F119" t="s">
        <v>410</v>
      </c>
      <c r="G119">
        <v>250000</v>
      </c>
      <c r="H119" t="s">
        <v>400</v>
      </c>
      <c r="I119" t="s">
        <v>401</v>
      </c>
      <c r="J119" t="s">
        <v>58</v>
      </c>
      <c r="K119" t="s">
        <v>61</v>
      </c>
      <c r="L119" t="s">
        <v>58</v>
      </c>
      <c r="M119" t="s">
        <v>58</v>
      </c>
      <c r="Q119" t="s">
        <v>58</v>
      </c>
      <c r="R119" s="11" t="str">
        <f>HYPERLINK("\\imagefiles.bcgov\imagery\scanned_maps\moe_terrain_maps\Scanned_T_maps_all\B01\B01-4824","\\imagefiles.bcgov\imagery\scanned_maps\moe_terrain_maps\Scanned_T_maps_all\B01\B01-4824")</f>
        <v>\\imagefiles.bcgov\imagery\scanned_maps\moe_terrain_maps\Scanned_T_maps_all\B01\B01-4824</v>
      </c>
      <c r="S119" t="s">
        <v>62</v>
      </c>
      <c r="T119" s="11" t="str">
        <f>HYPERLINK("http://www.env.gov.bc.ca/esd/distdata/ecosystems/TEI_Scanned_Maps/B01/B01-4824","http://www.env.gov.bc.ca/esd/distdata/ecosystems/TEI_Scanned_Maps/B01/B01-4824")</f>
        <v>http://www.env.gov.bc.ca/esd/distdata/ecosystems/TEI_Scanned_Maps/B01/B01-4824</v>
      </c>
      <c r="U119" t="s">
        <v>269</v>
      </c>
      <c r="V119" s="11" t="str">
        <f t="shared" si="3"/>
        <v>http://www.library.for.gov.bc.ca/#focus</v>
      </c>
      <c r="W119" t="s">
        <v>58</v>
      </c>
      <c r="X119" t="s">
        <v>58</v>
      </c>
      <c r="Y119" t="s">
        <v>58</v>
      </c>
      <c r="Z119" t="s">
        <v>58</v>
      </c>
      <c r="AA119" t="s">
        <v>58</v>
      </c>
      <c r="AC119" t="s">
        <v>58</v>
      </c>
      <c r="AE119" t="s">
        <v>58</v>
      </c>
      <c r="AG119" t="s">
        <v>63</v>
      </c>
      <c r="AH119" s="11" t="str">
        <f t="shared" si="1"/>
        <v>mailto: soilterrain@victoria1.gov.bc.ca</v>
      </c>
    </row>
    <row r="120" spans="1:34">
      <c r="A120" t="s">
        <v>411</v>
      </c>
      <c r="B120" t="s">
        <v>56</v>
      </c>
      <c r="C120" s="10" t="s">
        <v>409</v>
      </c>
      <c r="D120" t="s">
        <v>58</v>
      </c>
      <c r="E120" t="s">
        <v>59</v>
      </c>
      <c r="F120" t="s">
        <v>412</v>
      </c>
      <c r="G120">
        <v>250000</v>
      </c>
      <c r="H120" t="s">
        <v>400</v>
      </c>
      <c r="I120" t="s">
        <v>401</v>
      </c>
      <c r="J120" t="s">
        <v>58</v>
      </c>
      <c r="K120" t="s">
        <v>58</v>
      </c>
      <c r="L120" t="s">
        <v>58</v>
      </c>
      <c r="M120" t="s">
        <v>58</v>
      </c>
      <c r="P120" t="s">
        <v>61</v>
      </c>
      <c r="Q120" t="s">
        <v>58</v>
      </c>
      <c r="R120" s="11" t="str">
        <f>HYPERLINK("\\imagefiles.bcgov\imagery\scanned_maps\moe_terrain_maps\Scanned_T_maps_all\B01\B01-4825","\\imagefiles.bcgov\imagery\scanned_maps\moe_terrain_maps\Scanned_T_maps_all\B01\B01-4825")</f>
        <v>\\imagefiles.bcgov\imagery\scanned_maps\moe_terrain_maps\Scanned_T_maps_all\B01\B01-4825</v>
      </c>
      <c r="S120" t="s">
        <v>62</v>
      </c>
      <c r="T120" s="11" t="str">
        <f>HYPERLINK("http://www.env.gov.bc.ca/esd/distdata/ecosystems/TEI_Scanned_Maps/B01/B01-4825","http://www.env.gov.bc.ca/esd/distdata/ecosystems/TEI_Scanned_Maps/B01/B01-4825")</f>
        <v>http://www.env.gov.bc.ca/esd/distdata/ecosystems/TEI_Scanned_Maps/B01/B01-4825</v>
      </c>
      <c r="U120" t="s">
        <v>269</v>
      </c>
      <c r="V120" s="11" t="str">
        <f t="shared" si="3"/>
        <v>http://www.library.for.gov.bc.ca/#focus</v>
      </c>
      <c r="W120" t="s">
        <v>58</v>
      </c>
      <c r="X120" t="s">
        <v>58</v>
      </c>
      <c r="Y120" t="s">
        <v>58</v>
      </c>
      <c r="Z120" t="s">
        <v>58</v>
      </c>
      <c r="AA120" t="s">
        <v>58</v>
      </c>
      <c r="AC120" t="s">
        <v>58</v>
      </c>
      <c r="AE120" t="s">
        <v>58</v>
      </c>
      <c r="AG120" t="s">
        <v>63</v>
      </c>
      <c r="AH120" s="11" t="str">
        <f t="shared" si="1"/>
        <v>mailto: soilterrain@victoria1.gov.bc.ca</v>
      </c>
    </row>
    <row r="121" spans="1:34">
      <c r="A121" t="s">
        <v>413</v>
      </c>
      <c r="B121" t="s">
        <v>56</v>
      </c>
      <c r="C121" s="10" t="s">
        <v>409</v>
      </c>
      <c r="D121" t="s">
        <v>58</v>
      </c>
      <c r="E121" t="s">
        <v>59</v>
      </c>
      <c r="F121" t="s">
        <v>414</v>
      </c>
      <c r="G121">
        <v>250000</v>
      </c>
      <c r="H121" t="s">
        <v>400</v>
      </c>
      <c r="I121" t="s">
        <v>401</v>
      </c>
      <c r="J121" t="s">
        <v>58</v>
      </c>
      <c r="K121" t="s">
        <v>58</v>
      </c>
      <c r="L121" t="s">
        <v>58</v>
      </c>
      <c r="M121" t="s">
        <v>58</v>
      </c>
      <c r="P121" t="s">
        <v>61</v>
      </c>
      <c r="Q121" t="s">
        <v>58</v>
      </c>
      <c r="R121" s="11" t="str">
        <f>HYPERLINK("\\imagefiles.bcgov\imagery\scanned_maps\moe_terrain_maps\Scanned_T_maps_all\B01\B01-4826","\\imagefiles.bcgov\imagery\scanned_maps\moe_terrain_maps\Scanned_T_maps_all\B01\B01-4826")</f>
        <v>\\imagefiles.bcgov\imagery\scanned_maps\moe_terrain_maps\Scanned_T_maps_all\B01\B01-4826</v>
      </c>
      <c r="S121" t="s">
        <v>62</v>
      </c>
      <c r="T121" s="11" t="str">
        <f>HYPERLINK("http://www.env.gov.bc.ca/esd/distdata/ecosystems/TEI_Scanned_Maps/B01/B01-4826","http://www.env.gov.bc.ca/esd/distdata/ecosystems/TEI_Scanned_Maps/B01/B01-4826")</f>
        <v>http://www.env.gov.bc.ca/esd/distdata/ecosystems/TEI_Scanned_Maps/B01/B01-4826</v>
      </c>
      <c r="U121" t="s">
        <v>269</v>
      </c>
      <c r="V121" s="11" t="str">
        <f t="shared" si="3"/>
        <v>http://www.library.for.gov.bc.ca/#focus</v>
      </c>
      <c r="W121" t="s">
        <v>58</v>
      </c>
      <c r="X121" t="s">
        <v>58</v>
      </c>
      <c r="Y121" t="s">
        <v>58</v>
      </c>
      <c r="Z121" t="s">
        <v>58</v>
      </c>
      <c r="AA121" t="s">
        <v>58</v>
      </c>
      <c r="AC121" t="s">
        <v>58</v>
      </c>
      <c r="AE121" t="s">
        <v>58</v>
      </c>
      <c r="AG121" t="s">
        <v>63</v>
      </c>
      <c r="AH121" s="11" t="str">
        <f t="shared" si="1"/>
        <v>mailto: soilterrain@victoria1.gov.bc.ca</v>
      </c>
    </row>
    <row r="122" spans="1:34">
      <c r="A122" t="s">
        <v>415</v>
      </c>
      <c r="B122" t="s">
        <v>56</v>
      </c>
      <c r="C122" s="10" t="s">
        <v>416</v>
      </c>
      <c r="D122" t="s">
        <v>61</v>
      </c>
      <c r="E122" t="s">
        <v>59</v>
      </c>
      <c r="F122" t="s">
        <v>417</v>
      </c>
      <c r="G122">
        <v>20000</v>
      </c>
      <c r="H122" t="s">
        <v>187</v>
      </c>
      <c r="I122" t="s">
        <v>418</v>
      </c>
      <c r="J122" t="s">
        <v>58</v>
      </c>
      <c r="K122" t="s">
        <v>61</v>
      </c>
      <c r="L122" t="s">
        <v>58</v>
      </c>
      <c r="M122" t="s">
        <v>58</v>
      </c>
      <c r="Q122" t="s">
        <v>58</v>
      </c>
      <c r="R122" s="11" t="str">
        <f>HYPERLINK("\\imagefiles.bcgov\imagery\scanned_maps\moe_terrain_maps\Scanned_T_maps_all\B01\B01-4827","\\imagefiles.bcgov\imagery\scanned_maps\moe_terrain_maps\Scanned_T_maps_all\B01\B01-4827")</f>
        <v>\\imagefiles.bcgov\imagery\scanned_maps\moe_terrain_maps\Scanned_T_maps_all\B01\B01-4827</v>
      </c>
      <c r="S122" t="s">
        <v>62</v>
      </c>
      <c r="T122" s="11" t="str">
        <f>HYPERLINK("http://www.env.gov.bc.ca/esd/distdata/ecosystems/TEI_Scanned_Maps/B01/B01-4827","http://www.env.gov.bc.ca/esd/distdata/ecosystems/TEI_Scanned_Maps/B01/B01-4827")</f>
        <v>http://www.env.gov.bc.ca/esd/distdata/ecosystems/TEI_Scanned_Maps/B01/B01-4827</v>
      </c>
      <c r="U122" t="s">
        <v>269</v>
      </c>
      <c r="V122" s="11" t="str">
        <f t="shared" si="3"/>
        <v>http://www.library.for.gov.bc.ca/#focus</v>
      </c>
      <c r="W122" t="s">
        <v>58</v>
      </c>
      <c r="X122" t="s">
        <v>58</v>
      </c>
      <c r="Y122" t="s">
        <v>58</v>
      </c>
      <c r="Z122" t="s">
        <v>58</v>
      </c>
      <c r="AA122" t="s">
        <v>58</v>
      </c>
      <c r="AC122" t="s">
        <v>58</v>
      </c>
      <c r="AE122" t="s">
        <v>58</v>
      </c>
      <c r="AG122" t="s">
        <v>63</v>
      </c>
      <c r="AH122" s="11" t="str">
        <f t="shared" si="1"/>
        <v>mailto: soilterrain@victoria1.gov.bc.ca</v>
      </c>
    </row>
    <row r="123" spans="1:34">
      <c r="A123" t="s">
        <v>419</v>
      </c>
      <c r="B123" t="s">
        <v>56</v>
      </c>
      <c r="C123" s="10" t="s">
        <v>420</v>
      </c>
      <c r="D123" t="s">
        <v>58</v>
      </c>
      <c r="E123" t="s">
        <v>59</v>
      </c>
      <c r="F123" t="s">
        <v>421</v>
      </c>
      <c r="G123">
        <v>20000</v>
      </c>
      <c r="H123" t="s">
        <v>187</v>
      </c>
      <c r="I123" t="s">
        <v>418</v>
      </c>
      <c r="J123" t="s">
        <v>58</v>
      </c>
      <c r="K123" t="s">
        <v>61</v>
      </c>
      <c r="L123" t="s">
        <v>58</v>
      </c>
      <c r="M123" t="s">
        <v>58</v>
      </c>
      <c r="Q123" t="s">
        <v>58</v>
      </c>
      <c r="R123" s="11" t="str">
        <f>HYPERLINK("\\imagefiles.bcgov\imagery\scanned_maps\moe_terrain_maps\Scanned_T_maps_all\B01\B01-4828","\\imagefiles.bcgov\imagery\scanned_maps\moe_terrain_maps\Scanned_T_maps_all\B01\B01-4828")</f>
        <v>\\imagefiles.bcgov\imagery\scanned_maps\moe_terrain_maps\Scanned_T_maps_all\B01\B01-4828</v>
      </c>
      <c r="S123" t="s">
        <v>62</v>
      </c>
      <c r="T123" s="11" t="str">
        <f>HYPERLINK("http://www.env.gov.bc.ca/esd/distdata/ecosystems/TEI_Scanned_Maps/B01/B01-4828","http://www.env.gov.bc.ca/esd/distdata/ecosystems/TEI_Scanned_Maps/B01/B01-4828")</f>
        <v>http://www.env.gov.bc.ca/esd/distdata/ecosystems/TEI_Scanned_Maps/B01/B01-4828</v>
      </c>
      <c r="U123" t="s">
        <v>269</v>
      </c>
      <c r="V123" s="11" t="str">
        <f t="shared" si="3"/>
        <v>http://www.library.for.gov.bc.ca/#focus</v>
      </c>
      <c r="W123" t="s">
        <v>58</v>
      </c>
      <c r="X123" t="s">
        <v>58</v>
      </c>
      <c r="Y123" t="s">
        <v>58</v>
      </c>
      <c r="Z123" t="s">
        <v>58</v>
      </c>
      <c r="AA123" t="s">
        <v>58</v>
      </c>
      <c r="AC123" t="s">
        <v>58</v>
      </c>
      <c r="AE123" t="s">
        <v>58</v>
      </c>
      <c r="AG123" t="s">
        <v>63</v>
      </c>
      <c r="AH123" s="11" t="str">
        <f t="shared" si="1"/>
        <v>mailto: soilterrain@victoria1.gov.bc.ca</v>
      </c>
    </row>
    <row r="124" spans="1:34">
      <c r="A124" t="s">
        <v>422</v>
      </c>
      <c r="B124" t="s">
        <v>56</v>
      </c>
      <c r="C124" s="10" t="s">
        <v>416</v>
      </c>
      <c r="D124" t="s">
        <v>58</v>
      </c>
      <c r="E124" t="s">
        <v>59</v>
      </c>
      <c r="F124" t="s">
        <v>423</v>
      </c>
      <c r="G124">
        <v>20000</v>
      </c>
      <c r="H124" t="s">
        <v>187</v>
      </c>
      <c r="I124" t="s">
        <v>418</v>
      </c>
      <c r="J124" t="s">
        <v>58</v>
      </c>
      <c r="K124" t="s">
        <v>61</v>
      </c>
      <c r="L124" t="s">
        <v>58</v>
      </c>
      <c r="M124" t="s">
        <v>58</v>
      </c>
      <c r="Q124" t="s">
        <v>58</v>
      </c>
      <c r="R124" s="11" t="str">
        <f>HYPERLINK("\\imagefiles.bcgov\imagery\scanned_maps\moe_terrain_maps\Scanned_T_maps_all\B01\B01-4829","\\imagefiles.bcgov\imagery\scanned_maps\moe_terrain_maps\Scanned_T_maps_all\B01\B01-4829")</f>
        <v>\\imagefiles.bcgov\imagery\scanned_maps\moe_terrain_maps\Scanned_T_maps_all\B01\B01-4829</v>
      </c>
      <c r="S124" t="s">
        <v>62</v>
      </c>
      <c r="T124" s="11" t="str">
        <f>HYPERLINK("http://www.env.gov.bc.ca/esd/distdata/ecosystems/TEI_Scanned_Maps/B01/B01-4829","http://www.env.gov.bc.ca/esd/distdata/ecosystems/TEI_Scanned_Maps/B01/B01-4829")</f>
        <v>http://www.env.gov.bc.ca/esd/distdata/ecosystems/TEI_Scanned_Maps/B01/B01-4829</v>
      </c>
      <c r="U124" t="s">
        <v>269</v>
      </c>
      <c r="V124" s="11" t="str">
        <f t="shared" si="3"/>
        <v>http://www.library.for.gov.bc.ca/#focus</v>
      </c>
      <c r="W124" t="s">
        <v>58</v>
      </c>
      <c r="X124" t="s">
        <v>58</v>
      </c>
      <c r="Y124" t="s">
        <v>58</v>
      </c>
      <c r="Z124" t="s">
        <v>58</v>
      </c>
      <c r="AA124" t="s">
        <v>58</v>
      </c>
      <c r="AC124" t="s">
        <v>58</v>
      </c>
      <c r="AE124" t="s">
        <v>58</v>
      </c>
      <c r="AG124" t="s">
        <v>63</v>
      </c>
      <c r="AH124" s="11" t="str">
        <f t="shared" si="1"/>
        <v>mailto: soilterrain@victoria1.gov.bc.ca</v>
      </c>
    </row>
    <row r="125" spans="1:34">
      <c r="A125" t="s">
        <v>424</v>
      </c>
      <c r="B125" t="s">
        <v>56</v>
      </c>
      <c r="C125" s="10" t="s">
        <v>416</v>
      </c>
      <c r="D125" t="s">
        <v>61</v>
      </c>
      <c r="E125" t="s">
        <v>59</v>
      </c>
      <c r="F125" t="s">
        <v>425</v>
      </c>
      <c r="G125">
        <v>20000</v>
      </c>
      <c r="H125" t="s">
        <v>187</v>
      </c>
      <c r="I125" t="s">
        <v>418</v>
      </c>
      <c r="J125" t="s">
        <v>58</v>
      </c>
      <c r="K125" t="s">
        <v>61</v>
      </c>
      <c r="L125" t="s">
        <v>58</v>
      </c>
      <c r="M125" t="s">
        <v>58</v>
      </c>
      <c r="Q125" t="s">
        <v>58</v>
      </c>
      <c r="R125" s="11" t="str">
        <f>HYPERLINK("\\imagefiles.bcgov\imagery\scanned_maps\moe_terrain_maps\Scanned_T_maps_all\B01\B01-4830","\\imagefiles.bcgov\imagery\scanned_maps\moe_terrain_maps\Scanned_T_maps_all\B01\B01-4830")</f>
        <v>\\imagefiles.bcgov\imagery\scanned_maps\moe_terrain_maps\Scanned_T_maps_all\B01\B01-4830</v>
      </c>
      <c r="S125" t="s">
        <v>62</v>
      </c>
      <c r="T125" s="11" t="str">
        <f>HYPERLINK("http://www.env.gov.bc.ca/esd/distdata/ecosystems/TEI_Scanned_Maps/B01/B01-4830","http://www.env.gov.bc.ca/esd/distdata/ecosystems/TEI_Scanned_Maps/B01/B01-4830")</f>
        <v>http://www.env.gov.bc.ca/esd/distdata/ecosystems/TEI_Scanned_Maps/B01/B01-4830</v>
      </c>
      <c r="U125" t="s">
        <v>269</v>
      </c>
      <c r="V125" s="11" t="str">
        <f t="shared" si="3"/>
        <v>http://www.library.for.gov.bc.ca/#focus</v>
      </c>
      <c r="W125" t="s">
        <v>58</v>
      </c>
      <c r="X125" t="s">
        <v>58</v>
      </c>
      <c r="Y125" t="s">
        <v>58</v>
      </c>
      <c r="Z125" t="s">
        <v>58</v>
      </c>
      <c r="AA125" t="s">
        <v>58</v>
      </c>
      <c r="AC125" t="s">
        <v>58</v>
      </c>
      <c r="AE125" t="s">
        <v>58</v>
      </c>
      <c r="AG125" t="s">
        <v>63</v>
      </c>
      <c r="AH125" s="11" t="str">
        <f t="shared" si="1"/>
        <v>mailto: soilterrain@victoria1.gov.bc.ca</v>
      </c>
    </row>
    <row r="126" spans="1:34">
      <c r="A126" t="s">
        <v>426</v>
      </c>
      <c r="B126" t="s">
        <v>56</v>
      </c>
      <c r="C126" s="10" t="s">
        <v>416</v>
      </c>
      <c r="D126" t="s">
        <v>61</v>
      </c>
      <c r="E126" t="s">
        <v>59</v>
      </c>
      <c r="F126" t="s">
        <v>427</v>
      </c>
      <c r="G126">
        <v>20000</v>
      </c>
      <c r="H126" t="s">
        <v>187</v>
      </c>
      <c r="I126" t="s">
        <v>418</v>
      </c>
      <c r="J126" t="s">
        <v>58</v>
      </c>
      <c r="K126" t="s">
        <v>61</v>
      </c>
      <c r="L126" t="s">
        <v>58</v>
      </c>
      <c r="M126" t="s">
        <v>58</v>
      </c>
      <c r="Q126" t="s">
        <v>58</v>
      </c>
      <c r="R126" s="11" t="str">
        <f>HYPERLINK("\\imagefiles.bcgov\imagery\scanned_maps\moe_terrain_maps\Scanned_T_maps_all\B01\B01-4831","\\imagefiles.bcgov\imagery\scanned_maps\moe_terrain_maps\Scanned_T_maps_all\B01\B01-4831")</f>
        <v>\\imagefiles.bcgov\imagery\scanned_maps\moe_terrain_maps\Scanned_T_maps_all\B01\B01-4831</v>
      </c>
      <c r="S126" t="s">
        <v>62</v>
      </c>
      <c r="T126" s="11" t="str">
        <f>HYPERLINK("http://www.env.gov.bc.ca/esd/distdata/ecosystems/TEI_Scanned_Maps/B01/B01-4831","http://www.env.gov.bc.ca/esd/distdata/ecosystems/TEI_Scanned_Maps/B01/B01-4831")</f>
        <v>http://www.env.gov.bc.ca/esd/distdata/ecosystems/TEI_Scanned_Maps/B01/B01-4831</v>
      </c>
      <c r="U126" t="s">
        <v>269</v>
      </c>
      <c r="V126" s="11" t="str">
        <f t="shared" si="3"/>
        <v>http://www.library.for.gov.bc.ca/#focus</v>
      </c>
      <c r="W126" t="s">
        <v>58</v>
      </c>
      <c r="X126" t="s">
        <v>58</v>
      </c>
      <c r="Y126" t="s">
        <v>58</v>
      </c>
      <c r="Z126" t="s">
        <v>58</v>
      </c>
      <c r="AA126" t="s">
        <v>58</v>
      </c>
      <c r="AC126" t="s">
        <v>58</v>
      </c>
      <c r="AE126" t="s">
        <v>58</v>
      </c>
      <c r="AG126" t="s">
        <v>63</v>
      </c>
      <c r="AH126" s="11" t="str">
        <f t="shared" si="1"/>
        <v>mailto: soilterrain@victoria1.gov.bc.ca</v>
      </c>
    </row>
    <row r="127" spans="1:34">
      <c r="A127" t="s">
        <v>428</v>
      </c>
      <c r="B127" t="s">
        <v>56</v>
      </c>
      <c r="C127" s="10" t="s">
        <v>429</v>
      </c>
      <c r="D127" t="s">
        <v>58</v>
      </c>
      <c r="E127" t="s">
        <v>59</v>
      </c>
      <c r="F127" t="s">
        <v>430</v>
      </c>
      <c r="G127">
        <v>20000</v>
      </c>
      <c r="H127" t="s">
        <v>187</v>
      </c>
      <c r="I127" t="s">
        <v>418</v>
      </c>
      <c r="J127" t="s">
        <v>58</v>
      </c>
      <c r="K127" t="s">
        <v>61</v>
      </c>
      <c r="L127" t="s">
        <v>58</v>
      </c>
      <c r="M127" t="s">
        <v>58</v>
      </c>
      <c r="Q127" t="s">
        <v>58</v>
      </c>
      <c r="R127" s="11" t="str">
        <f>HYPERLINK("\\imagefiles.bcgov\imagery\scanned_maps\moe_terrain_maps\Scanned_T_maps_all\B01\B01-4832","\\imagefiles.bcgov\imagery\scanned_maps\moe_terrain_maps\Scanned_T_maps_all\B01\B01-4832")</f>
        <v>\\imagefiles.bcgov\imagery\scanned_maps\moe_terrain_maps\Scanned_T_maps_all\B01\B01-4832</v>
      </c>
      <c r="S127" t="s">
        <v>62</v>
      </c>
      <c r="T127" s="11" t="str">
        <f>HYPERLINK("http://www.env.gov.bc.ca/esd/distdata/ecosystems/TEI_Scanned_Maps/B01/B01-4832","http://www.env.gov.bc.ca/esd/distdata/ecosystems/TEI_Scanned_Maps/B01/B01-4832")</f>
        <v>http://www.env.gov.bc.ca/esd/distdata/ecosystems/TEI_Scanned_Maps/B01/B01-4832</v>
      </c>
      <c r="U127" t="s">
        <v>269</v>
      </c>
      <c r="V127" s="11" t="str">
        <f t="shared" si="3"/>
        <v>http://www.library.for.gov.bc.ca/#focus</v>
      </c>
      <c r="W127" t="s">
        <v>58</v>
      </c>
      <c r="X127" t="s">
        <v>58</v>
      </c>
      <c r="Y127" t="s">
        <v>58</v>
      </c>
      <c r="Z127" t="s">
        <v>58</v>
      </c>
      <c r="AA127" t="s">
        <v>58</v>
      </c>
      <c r="AC127" t="s">
        <v>58</v>
      </c>
      <c r="AE127" t="s">
        <v>58</v>
      </c>
      <c r="AG127" t="s">
        <v>63</v>
      </c>
      <c r="AH127" s="11" t="str">
        <f t="shared" si="1"/>
        <v>mailto: soilterrain@victoria1.gov.bc.ca</v>
      </c>
    </row>
    <row r="128" spans="1:34">
      <c r="A128" t="s">
        <v>431</v>
      </c>
      <c r="B128" t="s">
        <v>56</v>
      </c>
      <c r="C128" s="10" t="s">
        <v>429</v>
      </c>
      <c r="D128" t="s">
        <v>61</v>
      </c>
      <c r="E128" t="s">
        <v>59</v>
      </c>
      <c r="F128" t="s">
        <v>432</v>
      </c>
      <c r="G128">
        <v>20000</v>
      </c>
      <c r="H128" t="s">
        <v>187</v>
      </c>
      <c r="I128" t="s">
        <v>418</v>
      </c>
      <c r="J128" t="s">
        <v>58</v>
      </c>
      <c r="K128" t="s">
        <v>61</v>
      </c>
      <c r="L128" t="s">
        <v>58</v>
      </c>
      <c r="M128" t="s">
        <v>58</v>
      </c>
      <c r="Q128" t="s">
        <v>58</v>
      </c>
      <c r="R128" s="11" t="str">
        <f>HYPERLINK("\\imagefiles.bcgov\imagery\scanned_maps\moe_terrain_maps\Scanned_T_maps_all\B01\B01-4833","\\imagefiles.bcgov\imagery\scanned_maps\moe_terrain_maps\Scanned_T_maps_all\B01\B01-4833")</f>
        <v>\\imagefiles.bcgov\imagery\scanned_maps\moe_terrain_maps\Scanned_T_maps_all\B01\B01-4833</v>
      </c>
      <c r="S128" t="s">
        <v>62</v>
      </c>
      <c r="T128" s="11" t="str">
        <f>HYPERLINK("http://www.env.gov.bc.ca/esd/distdata/ecosystems/TEI_Scanned_Maps/B01/B01-4833","http://www.env.gov.bc.ca/esd/distdata/ecosystems/TEI_Scanned_Maps/B01/B01-4833")</f>
        <v>http://www.env.gov.bc.ca/esd/distdata/ecosystems/TEI_Scanned_Maps/B01/B01-4833</v>
      </c>
      <c r="U128" t="s">
        <v>269</v>
      </c>
      <c r="V128" s="11" t="str">
        <f t="shared" si="3"/>
        <v>http://www.library.for.gov.bc.ca/#focus</v>
      </c>
      <c r="W128" t="s">
        <v>58</v>
      </c>
      <c r="X128" t="s">
        <v>58</v>
      </c>
      <c r="Y128" t="s">
        <v>58</v>
      </c>
      <c r="Z128" t="s">
        <v>58</v>
      </c>
      <c r="AA128" t="s">
        <v>58</v>
      </c>
      <c r="AC128" t="s">
        <v>58</v>
      </c>
      <c r="AE128" t="s">
        <v>58</v>
      </c>
      <c r="AG128" t="s">
        <v>63</v>
      </c>
      <c r="AH128" s="11" t="str">
        <f t="shared" si="1"/>
        <v>mailto: soilterrain@victoria1.gov.bc.ca</v>
      </c>
    </row>
    <row r="129" spans="1:34">
      <c r="A129" t="s">
        <v>433</v>
      </c>
      <c r="B129" t="s">
        <v>56</v>
      </c>
      <c r="C129" s="10" t="s">
        <v>429</v>
      </c>
      <c r="D129" t="s">
        <v>58</v>
      </c>
      <c r="E129" t="s">
        <v>59</v>
      </c>
      <c r="F129" t="s">
        <v>434</v>
      </c>
      <c r="G129">
        <v>20000</v>
      </c>
      <c r="H129" t="s">
        <v>187</v>
      </c>
      <c r="I129" t="s">
        <v>418</v>
      </c>
      <c r="J129" t="s">
        <v>58</v>
      </c>
      <c r="K129" t="s">
        <v>61</v>
      </c>
      <c r="L129" t="s">
        <v>58</v>
      </c>
      <c r="M129" t="s">
        <v>58</v>
      </c>
      <c r="Q129" t="s">
        <v>58</v>
      </c>
      <c r="R129" s="11" t="str">
        <f>HYPERLINK("\\imagefiles.bcgov\imagery\scanned_maps\moe_terrain_maps\Scanned_T_maps_all\B01\B01-4834","\\imagefiles.bcgov\imagery\scanned_maps\moe_terrain_maps\Scanned_T_maps_all\B01\B01-4834")</f>
        <v>\\imagefiles.bcgov\imagery\scanned_maps\moe_terrain_maps\Scanned_T_maps_all\B01\B01-4834</v>
      </c>
      <c r="S129" t="s">
        <v>62</v>
      </c>
      <c r="T129" s="11" t="str">
        <f>HYPERLINK("http://www.env.gov.bc.ca/esd/distdata/ecosystems/TEI_Scanned_Maps/B01/B01-4834","http://www.env.gov.bc.ca/esd/distdata/ecosystems/TEI_Scanned_Maps/B01/B01-4834")</f>
        <v>http://www.env.gov.bc.ca/esd/distdata/ecosystems/TEI_Scanned_Maps/B01/B01-4834</v>
      </c>
      <c r="U129" t="s">
        <v>269</v>
      </c>
      <c r="V129" s="11" t="str">
        <f t="shared" si="3"/>
        <v>http://www.library.for.gov.bc.ca/#focus</v>
      </c>
      <c r="W129" t="s">
        <v>58</v>
      </c>
      <c r="X129" t="s">
        <v>58</v>
      </c>
      <c r="Y129" t="s">
        <v>58</v>
      </c>
      <c r="Z129" t="s">
        <v>58</v>
      </c>
      <c r="AA129" t="s">
        <v>58</v>
      </c>
      <c r="AC129" t="s">
        <v>58</v>
      </c>
      <c r="AE129" t="s">
        <v>58</v>
      </c>
      <c r="AG129" t="s">
        <v>63</v>
      </c>
      <c r="AH129" s="11" t="str">
        <f t="shared" si="1"/>
        <v>mailto: soilterrain@victoria1.gov.bc.ca</v>
      </c>
    </row>
    <row r="130" spans="1:34">
      <c r="A130" t="s">
        <v>435</v>
      </c>
      <c r="B130" t="s">
        <v>56</v>
      </c>
      <c r="C130" s="10" t="s">
        <v>429</v>
      </c>
      <c r="D130" t="s">
        <v>61</v>
      </c>
      <c r="E130" t="s">
        <v>59</v>
      </c>
      <c r="F130" t="s">
        <v>436</v>
      </c>
      <c r="G130">
        <v>20000</v>
      </c>
      <c r="H130" t="s">
        <v>187</v>
      </c>
      <c r="I130" t="s">
        <v>418</v>
      </c>
      <c r="J130" t="s">
        <v>58</v>
      </c>
      <c r="K130" t="s">
        <v>61</v>
      </c>
      <c r="L130" t="s">
        <v>58</v>
      </c>
      <c r="M130" t="s">
        <v>58</v>
      </c>
      <c r="Q130" t="s">
        <v>58</v>
      </c>
      <c r="R130" s="11" t="str">
        <f>HYPERLINK("\\imagefiles.bcgov\imagery\scanned_maps\moe_terrain_maps\Scanned_T_maps_all\B01\B01-4835","\\imagefiles.bcgov\imagery\scanned_maps\moe_terrain_maps\Scanned_T_maps_all\B01\B01-4835")</f>
        <v>\\imagefiles.bcgov\imagery\scanned_maps\moe_terrain_maps\Scanned_T_maps_all\B01\B01-4835</v>
      </c>
      <c r="S130" t="s">
        <v>62</v>
      </c>
      <c r="T130" s="11" t="str">
        <f>HYPERLINK("http://www.env.gov.bc.ca/esd/distdata/ecosystems/TEI_Scanned_Maps/B01/B01-4835","http://www.env.gov.bc.ca/esd/distdata/ecosystems/TEI_Scanned_Maps/B01/B01-4835")</f>
        <v>http://www.env.gov.bc.ca/esd/distdata/ecosystems/TEI_Scanned_Maps/B01/B01-4835</v>
      </c>
      <c r="U130" t="s">
        <v>269</v>
      </c>
      <c r="V130" s="11" t="str">
        <f t="shared" si="3"/>
        <v>http://www.library.for.gov.bc.ca/#focus</v>
      </c>
      <c r="W130" t="s">
        <v>58</v>
      </c>
      <c r="X130" t="s">
        <v>58</v>
      </c>
      <c r="Y130" t="s">
        <v>58</v>
      </c>
      <c r="Z130" t="s">
        <v>58</v>
      </c>
      <c r="AA130" t="s">
        <v>58</v>
      </c>
      <c r="AC130" t="s">
        <v>58</v>
      </c>
      <c r="AE130" t="s">
        <v>58</v>
      </c>
      <c r="AG130" t="s">
        <v>63</v>
      </c>
      <c r="AH130" s="11" t="str">
        <f t="shared" ref="AH130:AH193" si="4">HYPERLINK("mailto: soilterrain@victoria1.gov.bc.ca","mailto: soilterrain@victoria1.gov.bc.ca")</f>
        <v>mailto: soilterrain@victoria1.gov.bc.ca</v>
      </c>
    </row>
    <row r="131" spans="1:34">
      <c r="A131" t="s">
        <v>437</v>
      </c>
      <c r="B131" t="s">
        <v>56</v>
      </c>
      <c r="C131" s="10" t="s">
        <v>438</v>
      </c>
      <c r="D131" t="s">
        <v>61</v>
      </c>
      <c r="E131" t="s">
        <v>59</v>
      </c>
      <c r="F131" t="s">
        <v>439</v>
      </c>
      <c r="G131">
        <v>20000</v>
      </c>
      <c r="H131" t="s">
        <v>187</v>
      </c>
      <c r="I131" t="s">
        <v>418</v>
      </c>
      <c r="J131" t="s">
        <v>58</v>
      </c>
      <c r="K131" t="s">
        <v>61</v>
      </c>
      <c r="L131" t="s">
        <v>58</v>
      </c>
      <c r="M131" t="s">
        <v>58</v>
      </c>
      <c r="Q131" t="s">
        <v>58</v>
      </c>
      <c r="R131" s="11" t="str">
        <f>HYPERLINK("\\imagefiles.bcgov\imagery\scanned_maps\moe_terrain_maps\Scanned_T_maps_all\B01\B01-4836","\\imagefiles.bcgov\imagery\scanned_maps\moe_terrain_maps\Scanned_T_maps_all\B01\B01-4836")</f>
        <v>\\imagefiles.bcgov\imagery\scanned_maps\moe_terrain_maps\Scanned_T_maps_all\B01\B01-4836</v>
      </c>
      <c r="S131" t="s">
        <v>62</v>
      </c>
      <c r="T131" s="11" t="str">
        <f>HYPERLINK("http://www.env.gov.bc.ca/esd/distdata/ecosystems/TEI_Scanned_Maps/B01/B01-4836","http://www.env.gov.bc.ca/esd/distdata/ecosystems/TEI_Scanned_Maps/B01/B01-4836")</f>
        <v>http://www.env.gov.bc.ca/esd/distdata/ecosystems/TEI_Scanned_Maps/B01/B01-4836</v>
      </c>
      <c r="U131" t="s">
        <v>269</v>
      </c>
      <c r="V131" s="11" t="str">
        <f t="shared" si="3"/>
        <v>http://www.library.for.gov.bc.ca/#focus</v>
      </c>
      <c r="W131" t="s">
        <v>58</v>
      </c>
      <c r="X131" t="s">
        <v>58</v>
      </c>
      <c r="Y131" t="s">
        <v>58</v>
      </c>
      <c r="Z131" t="s">
        <v>58</v>
      </c>
      <c r="AA131" t="s">
        <v>58</v>
      </c>
      <c r="AC131" t="s">
        <v>58</v>
      </c>
      <c r="AE131" t="s">
        <v>58</v>
      </c>
      <c r="AG131" t="s">
        <v>63</v>
      </c>
      <c r="AH131" s="11" t="str">
        <f t="shared" si="4"/>
        <v>mailto: soilterrain@victoria1.gov.bc.ca</v>
      </c>
    </row>
    <row r="132" spans="1:34">
      <c r="A132" t="s">
        <v>440</v>
      </c>
      <c r="B132" t="s">
        <v>56</v>
      </c>
      <c r="C132" s="10" t="s">
        <v>429</v>
      </c>
      <c r="D132" t="s">
        <v>61</v>
      </c>
      <c r="E132" t="s">
        <v>59</v>
      </c>
      <c r="F132" t="s">
        <v>441</v>
      </c>
      <c r="G132">
        <v>20000</v>
      </c>
      <c r="H132" t="s">
        <v>187</v>
      </c>
      <c r="I132" t="s">
        <v>418</v>
      </c>
      <c r="J132" t="s">
        <v>58</v>
      </c>
      <c r="K132" t="s">
        <v>61</v>
      </c>
      <c r="L132" t="s">
        <v>58</v>
      </c>
      <c r="M132" t="s">
        <v>58</v>
      </c>
      <c r="Q132" t="s">
        <v>58</v>
      </c>
      <c r="R132" s="11" t="str">
        <f>HYPERLINK("\\imagefiles.bcgov\imagery\scanned_maps\moe_terrain_maps\Scanned_T_maps_all\B01\B01-4837","\\imagefiles.bcgov\imagery\scanned_maps\moe_terrain_maps\Scanned_T_maps_all\B01\B01-4837")</f>
        <v>\\imagefiles.bcgov\imagery\scanned_maps\moe_terrain_maps\Scanned_T_maps_all\B01\B01-4837</v>
      </c>
      <c r="S132" t="s">
        <v>62</v>
      </c>
      <c r="T132" s="11" t="str">
        <f>HYPERLINK("http://www.env.gov.bc.ca/esd/distdata/ecosystems/TEI_Scanned_Maps/B01/B01-4837","http://www.env.gov.bc.ca/esd/distdata/ecosystems/TEI_Scanned_Maps/B01/B01-4837")</f>
        <v>http://www.env.gov.bc.ca/esd/distdata/ecosystems/TEI_Scanned_Maps/B01/B01-4837</v>
      </c>
      <c r="U132" t="s">
        <v>269</v>
      </c>
      <c r="V132" s="11" t="str">
        <f t="shared" si="3"/>
        <v>http://www.library.for.gov.bc.ca/#focus</v>
      </c>
      <c r="W132" t="s">
        <v>58</v>
      </c>
      <c r="X132" t="s">
        <v>58</v>
      </c>
      <c r="Y132" t="s">
        <v>58</v>
      </c>
      <c r="Z132" t="s">
        <v>58</v>
      </c>
      <c r="AA132" t="s">
        <v>58</v>
      </c>
      <c r="AC132" t="s">
        <v>58</v>
      </c>
      <c r="AE132" t="s">
        <v>58</v>
      </c>
      <c r="AG132" t="s">
        <v>63</v>
      </c>
      <c r="AH132" s="11" t="str">
        <f t="shared" si="4"/>
        <v>mailto: soilterrain@victoria1.gov.bc.ca</v>
      </c>
    </row>
    <row r="133" spans="1:34">
      <c r="A133" t="s">
        <v>442</v>
      </c>
      <c r="B133" t="s">
        <v>56</v>
      </c>
      <c r="C133" s="10" t="s">
        <v>429</v>
      </c>
      <c r="D133" t="s">
        <v>61</v>
      </c>
      <c r="E133" t="s">
        <v>59</v>
      </c>
      <c r="F133" t="s">
        <v>443</v>
      </c>
      <c r="G133">
        <v>20000</v>
      </c>
      <c r="H133" t="s">
        <v>187</v>
      </c>
      <c r="I133" t="s">
        <v>418</v>
      </c>
      <c r="J133" t="s">
        <v>58</v>
      </c>
      <c r="K133" t="s">
        <v>61</v>
      </c>
      <c r="L133" t="s">
        <v>58</v>
      </c>
      <c r="M133" t="s">
        <v>58</v>
      </c>
      <c r="Q133" t="s">
        <v>58</v>
      </c>
      <c r="R133" s="11" t="str">
        <f>HYPERLINK("\\imagefiles.bcgov\imagery\scanned_maps\moe_terrain_maps\Scanned_T_maps_all\B01\B01-4838","\\imagefiles.bcgov\imagery\scanned_maps\moe_terrain_maps\Scanned_T_maps_all\B01\B01-4838")</f>
        <v>\\imagefiles.bcgov\imagery\scanned_maps\moe_terrain_maps\Scanned_T_maps_all\B01\B01-4838</v>
      </c>
      <c r="S133" t="s">
        <v>62</v>
      </c>
      <c r="T133" s="11" t="str">
        <f>HYPERLINK("http://www.env.gov.bc.ca/esd/distdata/ecosystems/TEI_Scanned_Maps/B01/B01-4838","http://www.env.gov.bc.ca/esd/distdata/ecosystems/TEI_Scanned_Maps/B01/B01-4838")</f>
        <v>http://www.env.gov.bc.ca/esd/distdata/ecosystems/TEI_Scanned_Maps/B01/B01-4838</v>
      </c>
      <c r="U133" t="s">
        <v>269</v>
      </c>
      <c r="V133" s="11" t="str">
        <f t="shared" si="3"/>
        <v>http://www.library.for.gov.bc.ca/#focus</v>
      </c>
      <c r="W133" t="s">
        <v>58</v>
      </c>
      <c r="X133" t="s">
        <v>58</v>
      </c>
      <c r="Y133" t="s">
        <v>58</v>
      </c>
      <c r="Z133" t="s">
        <v>58</v>
      </c>
      <c r="AA133" t="s">
        <v>58</v>
      </c>
      <c r="AC133" t="s">
        <v>58</v>
      </c>
      <c r="AE133" t="s">
        <v>58</v>
      </c>
      <c r="AG133" t="s">
        <v>63</v>
      </c>
      <c r="AH133" s="11" t="str">
        <f t="shared" si="4"/>
        <v>mailto: soilterrain@victoria1.gov.bc.ca</v>
      </c>
    </row>
    <row r="134" spans="1:34">
      <c r="A134" t="s">
        <v>444</v>
      </c>
      <c r="B134" t="s">
        <v>56</v>
      </c>
      <c r="C134" s="10" t="s">
        <v>438</v>
      </c>
      <c r="D134" t="s">
        <v>61</v>
      </c>
      <c r="E134" t="s">
        <v>59</v>
      </c>
      <c r="F134" t="s">
        <v>445</v>
      </c>
      <c r="G134">
        <v>20000</v>
      </c>
      <c r="H134" t="s">
        <v>187</v>
      </c>
      <c r="I134" t="s">
        <v>418</v>
      </c>
      <c r="J134" t="s">
        <v>58</v>
      </c>
      <c r="K134" t="s">
        <v>61</v>
      </c>
      <c r="L134" t="s">
        <v>58</v>
      </c>
      <c r="M134" t="s">
        <v>58</v>
      </c>
      <c r="Q134" t="s">
        <v>58</v>
      </c>
      <c r="R134" s="11" t="str">
        <f>HYPERLINK("\\imagefiles.bcgov\imagery\scanned_maps\moe_terrain_maps\Scanned_T_maps_all\B01\B01-4839","\\imagefiles.bcgov\imagery\scanned_maps\moe_terrain_maps\Scanned_T_maps_all\B01\B01-4839")</f>
        <v>\\imagefiles.bcgov\imagery\scanned_maps\moe_terrain_maps\Scanned_T_maps_all\B01\B01-4839</v>
      </c>
      <c r="S134" t="s">
        <v>62</v>
      </c>
      <c r="T134" s="11" t="str">
        <f>HYPERLINK("http://www.env.gov.bc.ca/esd/distdata/ecosystems/TEI_Scanned_Maps/B01/B01-4839","http://www.env.gov.bc.ca/esd/distdata/ecosystems/TEI_Scanned_Maps/B01/B01-4839")</f>
        <v>http://www.env.gov.bc.ca/esd/distdata/ecosystems/TEI_Scanned_Maps/B01/B01-4839</v>
      </c>
      <c r="U134" t="s">
        <v>269</v>
      </c>
      <c r="V134" s="11" t="str">
        <f t="shared" si="3"/>
        <v>http://www.library.for.gov.bc.ca/#focus</v>
      </c>
      <c r="W134" t="s">
        <v>58</v>
      </c>
      <c r="X134" t="s">
        <v>58</v>
      </c>
      <c r="Y134" t="s">
        <v>58</v>
      </c>
      <c r="Z134" t="s">
        <v>58</v>
      </c>
      <c r="AA134" t="s">
        <v>58</v>
      </c>
      <c r="AC134" t="s">
        <v>58</v>
      </c>
      <c r="AE134" t="s">
        <v>58</v>
      </c>
      <c r="AG134" t="s">
        <v>63</v>
      </c>
      <c r="AH134" s="11" t="str">
        <f t="shared" si="4"/>
        <v>mailto: soilterrain@victoria1.gov.bc.ca</v>
      </c>
    </row>
    <row r="135" spans="1:34">
      <c r="A135" t="s">
        <v>446</v>
      </c>
      <c r="B135" t="s">
        <v>56</v>
      </c>
      <c r="C135" s="10" t="s">
        <v>438</v>
      </c>
      <c r="D135" t="s">
        <v>61</v>
      </c>
      <c r="E135" t="s">
        <v>59</v>
      </c>
      <c r="F135" t="s">
        <v>447</v>
      </c>
      <c r="G135">
        <v>20000</v>
      </c>
      <c r="H135" t="s">
        <v>187</v>
      </c>
      <c r="I135" t="s">
        <v>418</v>
      </c>
      <c r="J135" t="s">
        <v>58</v>
      </c>
      <c r="K135" t="s">
        <v>61</v>
      </c>
      <c r="L135" t="s">
        <v>58</v>
      </c>
      <c r="M135" t="s">
        <v>58</v>
      </c>
      <c r="Q135" t="s">
        <v>58</v>
      </c>
      <c r="R135" s="11" t="str">
        <f>HYPERLINK("\\imagefiles.bcgov\imagery\scanned_maps\moe_terrain_maps\Scanned_T_maps_all\B01\B01-4840","\\imagefiles.bcgov\imagery\scanned_maps\moe_terrain_maps\Scanned_T_maps_all\B01\B01-4840")</f>
        <v>\\imagefiles.bcgov\imagery\scanned_maps\moe_terrain_maps\Scanned_T_maps_all\B01\B01-4840</v>
      </c>
      <c r="S135" t="s">
        <v>62</v>
      </c>
      <c r="T135" s="11" t="str">
        <f>HYPERLINK("http://www.env.gov.bc.ca/esd/distdata/ecosystems/TEI_Scanned_Maps/B01/B01-4840","http://www.env.gov.bc.ca/esd/distdata/ecosystems/TEI_Scanned_Maps/B01/B01-4840")</f>
        <v>http://www.env.gov.bc.ca/esd/distdata/ecosystems/TEI_Scanned_Maps/B01/B01-4840</v>
      </c>
      <c r="U135" t="s">
        <v>269</v>
      </c>
      <c r="V135" s="11" t="str">
        <f t="shared" si="3"/>
        <v>http://www.library.for.gov.bc.ca/#focus</v>
      </c>
      <c r="W135" t="s">
        <v>58</v>
      </c>
      <c r="X135" t="s">
        <v>58</v>
      </c>
      <c r="Y135" t="s">
        <v>58</v>
      </c>
      <c r="Z135" t="s">
        <v>58</v>
      </c>
      <c r="AA135" t="s">
        <v>58</v>
      </c>
      <c r="AC135" t="s">
        <v>58</v>
      </c>
      <c r="AE135" t="s">
        <v>58</v>
      </c>
      <c r="AG135" t="s">
        <v>63</v>
      </c>
      <c r="AH135" s="11" t="str">
        <f t="shared" si="4"/>
        <v>mailto: soilterrain@victoria1.gov.bc.ca</v>
      </c>
    </row>
    <row r="136" spans="1:34">
      <c r="A136" t="s">
        <v>448</v>
      </c>
      <c r="B136" t="s">
        <v>56</v>
      </c>
      <c r="C136" s="10" t="s">
        <v>429</v>
      </c>
      <c r="D136" t="s">
        <v>61</v>
      </c>
      <c r="E136" t="s">
        <v>59</v>
      </c>
      <c r="F136" t="s">
        <v>449</v>
      </c>
      <c r="G136">
        <v>20000</v>
      </c>
      <c r="H136" t="s">
        <v>187</v>
      </c>
      <c r="I136" t="s">
        <v>418</v>
      </c>
      <c r="J136" t="s">
        <v>58</v>
      </c>
      <c r="K136" t="s">
        <v>61</v>
      </c>
      <c r="L136" t="s">
        <v>58</v>
      </c>
      <c r="M136" t="s">
        <v>58</v>
      </c>
      <c r="Q136" t="s">
        <v>58</v>
      </c>
      <c r="R136" s="11" t="str">
        <f>HYPERLINK("\\imagefiles.bcgov\imagery\scanned_maps\moe_terrain_maps\Scanned_T_maps_all\B01\B01-4841","\\imagefiles.bcgov\imagery\scanned_maps\moe_terrain_maps\Scanned_T_maps_all\B01\B01-4841")</f>
        <v>\\imagefiles.bcgov\imagery\scanned_maps\moe_terrain_maps\Scanned_T_maps_all\B01\B01-4841</v>
      </c>
      <c r="S136" t="s">
        <v>62</v>
      </c>
      <c r="T136" s="11" t="str">
        <f>HYPERLINK("http://www.env.gov.bc.ca/esd/distdata/ecosystems/TEI_Scanned_Maps/B01/B01-4841","http://www.env.gov.bc.ca/esd/distdata/ecosystems/TEI_Scanned_Maps/B01/B01-4841")</f>
        <v>http://www.env.gov.bc.ca/esd/distdata/ecosystems/TEI_Scanned_Maps/B01/B01-4841</v>
      </c>
      <c r="U136" t="s">
        <v>269</v>
      </c>
      <c r="V136" s="11" t="str">
        <f t="shared" si="3"/>
        <v>http://www.library.for.gov.bc.ca/#focus</v>
      </c>
      <c r="W136" t="s">
        <v>58</v>
      </c>
      <c r="X136" t="s">
        <v>58</v>
      </c>
      <c r="Y136" t="s">
        <v>58</v>
      </c>
      <c r="Z136" t="s">
        <v>58</v>
      </c>
      <c r="AA136" t="s">
        <v>58</v>
      </c>
      <c r="AC136" t="s">
        <v>58</v>
      </c>
      <c r="AE136" t="s">
        <v>58</v>
      </c>
      <c r="AG136" t="s">
        <v>63</v>
      </c>
      <c r="AH136" s="11" t="str">
        <f t="shared" si="4"/>
        <v>mailto: soilterrain@victoria1.gov.bc.ca</v>
      </c>
    </row>
    <row r="137" spans="1:34">
      <c r="A137" t="s">
        <v>450</v>
      </c>
      <c r="B137" t="s">
        <v>56</v>
      </c>
      <c r="C137" s="10" t="s">
        <v>451</v>
      </c>
      <c r="D137" t="s">
        <v>61</v>
      </c>
      <c r="E137" t="s">
        <v>59</v>
      </c>
      <c r="F137" t="s">
        <v>452</v>
      </c>
      <c r="G137">
        <v>20000</v>
      </c>
      <c r="H137" t="s">
        <v>187</v>
      </c>
      <c r="I137" t="s">
        <v>418</v>
      </c>
      <c r="J137" t="s">
        <v>58</v>
      </c>
      <c r="K137" t="s">
        <v>61</v>
      </c>
      <c r="L137" t="s">
        <v>58</v>
      </c>
      <c r="M137" t="s">
        <v>58</v>
      </c>
      <c r="Q137" t="s">
        <v>58</v>
      </c>
      <c r="R137" s="11" t="str">
        <f>HYPERLINK("\\imagefiles.bcgov\imagery\scanned_maps\moe_terrain_maps\Scanned_T_maps_all\B01\B01-4842","\\imagefiles.bcgov\imagery\scanned_maps\moe_terrain_maps\Scanned_T_maps_all\B01\B01-4842")</f>
        <v>\\imagefiles.bcgov\imagery\scanned_maps\moe_terrain_maps\Scanned_T_maps_all\B01\B01-4842</v>
      </c>
      <c r="S137" t="s">
        <v>62</v>
      </c>
      <c r="T137" s="11" t="str">
        <f>HYPERLINK("http://www.env.gov.bc.ca/esd/distdata/ecosystems/TEI_Scanned_Maps/B01/B01-4842","http://www.env.gov.bc.ca/esd/distdata/ecosystems/TEI_Scanned_Maps/B01/B01-4842")</f>
        <v>http://www.env.gov.bc.ca/esd/distdata/ecosystems/TEI_Scanned_Maps/B01/B01-4842</v>
      </c>
      <c r="U137" t="s">
        <v>269</v>
      </c>
      <c r="V137" s="11" t="str">
        <f t="shared" si="3"/>
        <v>http://www.library.for.gov.bc.ca/#focus</v>
      </c>
      <c r="W137" t="s">
        <v>58</v>
      </c>
      <c r="X137" t="s">
        <v>58</v>
      </c>
      <c r="Y137" t="s">
        <v>58</v>
      </c>
      <c r="Z137" t="s">
        <v>58</v>
      </c>
      <c r="AA137" t="s">
        <v>58</v>
      </c>
      <c r="AC137" t="s">
        <v>58</v>
      </c>
      <c r="AE137" t="s">
        <v>58</v>
      </c>
      <c r="AG137" t="s">
        <v>63</v>
      </c>
      <c r="AH137" s="11" t="str">
        <f t="shared" si="4"/>
        <v>mailto: soilterrain@victoria1.gov.bc.ca</v>
      </c>
    </row>
    <row r="138" spans="1:34">
      <c r="A138" t="s">
        <v>453</v>
      </c>
      <c r="B138" t="s">
        <v>56</v>
      </c>
      <c r="C138" s="10" t="s">
        <v>438</v>
      </c>
      <c r="D138" t="s">
        <v>61</v>
      </c>
      <c r="E138" t="s">
        <v>59</v>
      </c>
      <c r="F138" t="s">
        <v>454</v>
      </c>
      <c r="G138">
        <v>20000</v>
      </c>
      <c r="H138" t="s">
        <v>187</v>
      </c>
      <c r="I138" t="s">
        <v>418</v>
      </c>
      <c r="J138" t="s">
        <v>58</v>
      </c>
      <c r="K138" t="s">
        <v>61</v>
      </c>
      <c r="L138" t="s">
        <v>58</v>
      </c>
      <c r="M138" t="s">
        <v>58</v>
      </c>
      <c r="Q138" t="s">
        <v>58</v>
      </c>
      <c r="R138" s="11" t="str">
        <f>HYPERLINK("\\imagefiles.bcgov\imagery\scanned_maps\moe_terrain_maps\Scanned_T_maps_all\B01\B01-4843","\\imagefiles.bcgov\imagery\scanned_maps\moe_terrain_maps\Scanned_T_maps_all\B01\B01-4843")</f>
        <v>\\imagefiles.bcgov\imagery\scanned_maps\moe_terrain_maps\Scanned_T_maps_all\B01\B01-4843</v>
      </c>
      <c r="S138" t="s">
        <v>62</v>
      </c>
      <c r="T138" s="11" t="str">
        <f>HYPERLINK("http://www.env.gov.bc.ca/esd/distdata/ecosystems/TEI_Scanned_Maps/B01/B01-4843","http://www.env.gov.bc.ca/esd/distdata/ecosystems/TEI_Scanned_Maps/B01/B01-4843")</f>
        <v>http://www.env.gov.bc.ca/esd/distdata/ecosystems/TEI_Scanned_Maps/B01/B01-4843</v>
      </c>
      <c r="U138" t="s">
        <v>269</v>
      </c>
      <c r="V138" s="11" t="str">
        <f t="shared" si="3"/>
        <v>http://www.library.for.gov.bc.ca/#focus</v>
      </c>
      <c r="W138" t="s">
        <v>58</v>
      </c>
      <c r="X138" t="s">
        <v>58</v>
      </c>
      <c r="Y138" t="s">
        <v>58</v>
      </c>
      <c r="Z138" t="s">
        <v>58</v>
      </c>
      <c r="AA138" t="s">
        <v>58</v>
      </c>
      <c r="AC138" t="s">
        <v>58</v>
      </c>
      <c r="AE138" t="s">
        <v>58</v>
      </c>
      <c r="AG138" t="s">
        <v>63</v>
      </c>
      <c r="AH138" s="11" t="str">
        <f t="shared" si="4"/>
        <v>mailto: soilterrain@victoria1.gov.bc.ca</v>
      </c>
    </row>
    <row r="139" spans="1:34">
      <c r="A139" t="s">
        <v>455</v>
      </c>
      <c r="B139" t="s">
        <v>56</v>
      </c>
      <c r="C139" s="10" t="s">
        <v>456</v>
      </c>
      <c r="D139" t="s">
        <v>61</v>
      </c>
      <c r="E139" t="s">
        <v>59</v>
      </c>
      <c r="F139" t="s">
        <v>457</v>
      </c>
      <c r="G139">
        <v>20000</v>
      </c>
      <c r="H139" t="s">
        <v>187</v>
      </c>
      <c r="I139" t="s">
        <v>418</v>
      </c>
      <c r="J139" t="s">
        <v>58</v>
      </c>
      <c r="K139" t="s">
        <v>61</v>
      </c>
      <c r="L139" t="s">
        <v>58</v>
      </c>
      <c r="M139" t="s">
        <v>58</v>
      </c>
      <c r="Q139" t="s">
        <v>58</v>
      </c>
      <c r="R139" s="11" t="str">
        <f>HYPERLINK("\\imagefiles.bcgov\imagery\scanned_maps\moe_terrain_maps\Scanned_T_maps_all\B01\B01-4844","\\imagefiles.bcgov\imagery\scanned_maps\moe_terrain_maps\Scanned_T_maps_all\B01\B01-4844")</f>
        <v>\\imagefiles.bcgov\imagery\scanned_maps\moe_terrain_maps\Scanned_T_maps_all\B01\B01-4844</v>
      </c>
      <c r="S139" t="s">
        <v>62</v>
      </c>
      <c r="T139" s="11" t="str">
        <f>HYPERLINK("http://www.env.gov.bc.ca/esd/distdata/ecosystems/TEI_Scanned_Maps/B01/B01-4844","http://www.env.gov.bc.ca/esd/distdata/ecosystems/TEI_Scanned_Maps/B01/B01-4844")</f>
        <v>http://www.env.gov.bc.ca/esd/distdata/ecosystems/TEI_Scanned_Maps/B01/B01-4844</v>
      </c>
      <c r="U139" t="s">
        <v>269</v>
      </c>
      <c r="V139" s="11" t="str">
        <f t="shared" si="3"/>
        <v>http://www.library.for.gov.bc.ca/#focus</v>
      </c>
      <c r="W139" t="s">
        <v>58</v>
      </c>
      <c r="X139" t="s">
        <v>58</v>
      </c>
      <c r="Y139" t="s">
        <v>58</v>
      </c>
      <c r="Z139" t="s">
        <v>58</v>
      </c>
      <c r="AA139" t="s">
        <v>58</v>
      </c>
      <c r="AC139" t="s">
        <v>58</v>
      </c>
      <c r="AE139" t="s">
        <v>58</v>
      </c>
      <c r="AG139" t="s">
        <v>63</v>
      </c>
      <c r="AH139" s="11" t="str">
        <f t="shared" si="4"/>
        <v>mailto: soilterrain@victoria1.gov.bc.ca</v>
      </c>
    </row>
    <row r="140" spans="1:34">
      <c r="A140" t="s">
        <v>458</v>
      </c>
      <c r="B140" t="s">
        <v>56</v>
      </c>
      <c r="C140" s="10" t="s">
        <v>451</v>
      </c>
      <c r="D140" t="s">
        <v>61</v>
      </c>
      <c r="E140" t="s">
        <v>59</v>
      </c>
      <c r="F140" t="s">
        <v>459</v>
      </c>
      <c r="G140">
        <v>20000</v>
      </c>
      <c r="H140" t="s">
        <v>187</v>
      </c>
      <c r="I140" t="s">
        <v>418</v>
      </c>
      <c r="J140" t="s">
        <v>58</v>
      </c>
      <c r="K140" t="s">
        <v>61</v>
      </c>
      <c r="L140" t="s">
        <v>58</v>
      </c>
      <c r="M140" t="s">
        <v>58</v>
      </c>
      <c r="Q140" t="s">
        <v>58</v>
      </c>
      <c r="R140" s="11" t="str">
        <f>HYPERLINK("\\imagefiles.bcgov\imagery\scanned_maps\moe_terrain_maps\Scanned_T_maps_all\B01\B01-4846","\\imagefiles.bcgov\imagery\scanned_maps\moe_terrain_maps\Scanned_T_maps_all\B01\B01-4846")</f>
        <v>\\imagefiles.bcgov\imagery\scanned_maps\moe_terrain_maps\Scanned_T_maps_all\B01\B01-4846</v>
      </c>
      <c r="S140" t="s">
        <v>62</v>
      </c>
      <c r="T140" s="11" t="str">
        <f>HYPERLINK("http://www.env.gov.bc.ca/esd/distdata/ecosystems/TEI_Scanned_Maps/B01/B01-4846","http://www.env.gov.bc.ca/esd/distdata/ecosystems/TEI_Scanned_Maps/B01/B01-4846")</f>
        <v>http://www.env.gov.bc.ca/esd/distdata/ecosystems/TEI_Scanned_Maps/B01/B01-4846</v>
      </c>
      <c r="U140" t="s">
        <v>269</v>
      </c>
      <c r="V140" s="11" t="str">
        <f t="shared" si="3"/>
        <v>http://www.library.for.gov.bc.ca/#focus</v>
      </c>
      <c r="W140" t="s">
        <v>58</v>
      </c>
      <c r="X140" t="s">
        <v>58</v>
      </c>
      <c r="Y140" t="s">
        <v>58</v>
      </c>
      <c r="Z140" t="s">
        <v>58</v>
      </c>
      <c r="AA140" t="s">
        <v>58</v>
      </c>
      <c r="AC140" t="s">
        <v>58</v>
      </c>
      <c r="AE140" t="s">
        <v>58</v>
      </c>
      <c r="AG140" t="s">
        <v>63</v>
      </c>
      <c r="AH140" s="11" t="str">
        <f t="shared" si="4"/>
        <v>mailto: soilterrain@victoria1.gov.bc.ca</v>
      </c>
    </row>
    <row r="141" spans="1:34">
      <c r="A141" t="s">
        <v>460</v>
      </c>
      <c r="B141" t="s">
        <v>56</v>
      </c>
      <c r="C141" s="10" t="s">
        <v>456</v>
      </c>
      <c r="D141" t="s">
        <v>58</v>
      </c>
      <c r="E141" t="s">
        <v>59</v>
      </c>
      <c r="F141" t="s">
        <v>461</v>
      </c>
      <c r="G141">
        <v>20000</v>
      </c>
      <c r="H141" t="s">
        <v>187</v>
      </c>
      <c r="I141" t="s">
        <v>418</v>
      </c>
      <c r="J141" t="s">
        <v>58</v>
      </c>
      <c r="K141" t="s">
        <v>61</v>
      </c>
      <c r="L141" t="s">
        <v>58</v>
      </c>
      <c r="M141" t="s">
        <v>58</v>
      </c>
      <c r="Q141" t="s">
        <v>58</v>
      </c>
      <c r="R141" s="11" t="str">
        <f>HYPERLINK("\\imagefiles.bcgov\imagery\scanned_maps\moe_terrain_maps\Scanned_T_maps_all\B01\B01-4848","\\imagefiles.bcgov\imagery\scanned_maps\moe_terrain_maps\Scanned_T_maps_all\B01\B01-4848")</f>
        <v>\\imagefiles.bcgov\imagery\scanned_maps\moe_terrain_maps\Scanned_T_maps_all\B01\B01-4848</v>
      </c>
      <c r="S141" t="s">
        <v>62</v>
      </c>
      <c r="T141" s="11" t="str">
        <f>HYPERLINK("http://www.env.gov.bc.ca/esd/distdata/ecosystems/TEI_Scanned_Maps/B01/B01-4848","http://www.env.gov.bc.ca/esd/distdata/ecosystems/TEI_Scanned_Maps/B01/B01-4848")</f>
        <v>http://www.env.gov.bc.ca/esd/distdata/ecosystems/TEI_Scanned_Maps/B01/B01-4848</v>
      </c>
      <c r="U141" t="s">
        <v>269</v>
      </c>
      <c r="V141" s="11" t="str">
        <f t="shared" si="3"/>
        <v>http://www.library.for.gov.bc.ca/#focus</v>
      </c>
      <c r="W141" t="s">
        <v>58</v>
      </c>
      <c r="X141" t="s">
        <v>58</v>
      </c>
      <c r="Y141" t="s">
        <v>58</v>
      </c>
      <c r="Z141" t="s">
        <v>58</v>
      </c>
      <c r="AA141" t="s">
        <v>58</v>
      </c>
      <c r="AC141" t="s">
        <v>58</v>
      </c>
      <c r="AE141" t="s">
        <v>58</v>
      </c>
      <c r="AG141" t="s">
        <v>63</v>
      </c>
      <c r="AH141" s="11" t="str">
        <f t="shared" si="4"/>
        <v>mailto: soilterrain@victoria1.gov.bc.ca</v>
      </c>
    </row>
    <row r="142" spans="1:34">
      <c r="A142" t="s">
        <v>462</v>
      </c>
      <c r="B142" t="s">
        <v>56</v>
      </c>
      <c r="C142" s="10" t="s">
        <v>456</v>
      </c>
      <c r="D142" t="s">
        <v>61</v>
      </c>
      <c r="E142" t="s">
        <v>59</v>
      </c>
      <c r="F142" t="s">
        <v>463</v>
      </c>
      <c r="G142">
        <v>20000</v>
      </c>
      <c r="H142" t="s">
        <v>187</v>
      </c>
      <c r="I142" t="s">
        <v>418</v>
      </c>
      <c r="J142" t="s">
        <v>58</v>
      </c>
      <c r="K142" t="s">
        <v>61</v>
      </c>
      <c r="L142" t="s">
        <v>58</v>
      </c>
      <c r="M142" t="s">
        <v>58</v>
      </c>
      <c r="Q142" t="s">
        <v>58</v>
      </c>
      <c r="R142" s="11" t="str">
        <f>HYPERLINK("\\imagefiles.bcgov\imagery\scanned_maps\moe_terrain_maps\Scanned_T_maps_all\B01\B01-4849","\\imagefiles.bcgov\imagery\scanned_maps\moe_terrain_maps\Scanned_T_maps_all\B01\B01-4849")</f>
        <v>\\imagefiles.bcgov\imagery\scanned_maps\moe_terrain_maps\Scanned_T_maps_all\B01\B01-4849</v>
      </c>
      <c r="S142" t="s">
        <v>62</v>
      </c>
      <c r="T142" s="11" t="str">
        <f>HYPERLINK("http://www.env.gov.bc.ca/esd/distdata/ecosystems/TEI_Scanned_Maps/B01/B01-4849","http://www.env.gov.bc.ca/esd/distdata/ecosystems/TEI_Scanned_Maps/B01/B01-4849")</f>
        <v>http://www.env.gov.bc.ca/esd/distdata/ecosystems/TEI_Scanned_Maps/B01/B01-4849</v>
      </c>
      <c r="U142" t="s">
        <v>269</v>
      </c>
      <c r="V142" s="11" t="str">
        <f t="shared" si="3"/>
        <v>http://www.library.for.gov.bc.ca/#focus</v>
      </c>
      <c r="W142" t="s">
        <v>58</v>
      </c>
      <c r="X142" t="s">
        <v>58</v>
      </c>
      <c r="Y142" t="s">
        <v>58</v>
      </c>
      <c r="Z142" t="s">
        <v>58</v>
      </c>
      <c r="AA142" t="s">
        <v>58</v>
      </c>
      <c r="AC142" t="s">
        <v>58</v>
      </c>
      <c r="AE142" t="s">
        <v>58</v>
      </c>
      <c r="AG142" t="s">
        <v>63</v>
      </c>
      <c r="AH142" s="11" t="str">
        <f t="shared" si="4"/>
        <v>mailto: soilterrain@victoria1.gov.bc.ca</v>
      </c>
    </row>
    <row r="143" spans="1:34">
      <c r="A143" t="s">
        <v>464</v>
      </c>
      <c r="B143" t="s">
        <v>56</v>
      </c>
      <c r="C143" s="10" t="s">
        <v>465</v>
      </c>
      <c r="D143" t="s">
        <v>58</v>
      </c>
      <c r="E143" t="s">
        <v>59</v>
      </c>
      <c r="F143" t="s">
        <v>466</v>
      </c>
      <c r="G143">
        <v>20000</v>
      </c>
      <c r="H143" t="s">
        <v>187</v>
      </c>
      <c r="I143" t="s">
        <v>418</v>
      </c>
      <c r="J143" t="s">
        <v>58</v>
      </c>
      <c r="K143" t="s">
        <v>61</v>
      </c>
      <c r="L143" t="s">
        <v>58</v>
      </c>
      <c r="M143" t="s">
        <v>58</v>
      </c>
      <c r="Q143" t="s">
        <v>58</v>
      </c>
      <c r="R143" s="11" t="str">
        <f>HYPERLINK("\\imagefiles.bcgov\imagery\scanned_maps\moe_terrain_maps\Scanned_T_maps_all\B01\B01-4850","\\imagefiles.bcgov\imagery\scanned_maps\moe_terrain_maps\Scanned_T_maps_all\B01\B01-4850")</f>
        <v>\\imagefiles.bcgov\imagery\scanned_maps\moe_terrain_maps\Scanned_T_maps_all\B01\B01-4850</v>
      </c>
      <c r="S143" t="s">
        <v>62</v>
      </c>
      <c r="T143" s="11" t="str">
        <f>HYPERLINK("http://www.env.gov.bc.ca/esd/distdata/ecosystems/TEI_Scanned_Maps/B01/B01-4850","http://www.env.gov.bc.ca/esd/distdata/ecosystems/TEI_Scanned_Maps/B01/B01-4850")</f>
        <v>http://www.env.gov.bc.ca/esd/distdata/ecosystems/TEI_Scanned_Maps/B01/B01-4850</v>
      </c>
      <c r="U143" t="s">
        <v>269</v>
      </c>
      <c r="V143" s="11" t="str">
        <f t="shared" si="3"/>
        <v>http://www.library.for.gov.bc.ca/#focus</v>
      </c>
      <c r="W143" t="s">
        <v>58</v>
      </c>
      <c r="X143" t="s">
        <v>58</v>
      </c>
      <c r="Y143" t="s">
        <v>58</v>
      </c>
      <c r="Z143" t="s">
        <v>58</v>
      </c>
      <c r="AA143" t="s">
        <v>58</v>
      </c>
      <c r="AC143" t="s">
        <v>58</v>
      </c>
      <c r="AE143" t="s">
        <v>58</v>
      </c>
      <c r="AG143" t="s">
        <v>63</v>
      </c>
      <c r="AH143" s="11" t="str">
        <f t="shared" si="4"/>
        <v>mailto: soilterrain@victoria1.gov.bc.ca</v>
      </c>
    </row>
    <row r="144" spans="1:34">
      <c r="A144" t="s">
        <v>467</v>
      </c>
      <c r="B144" t="s">
        <v>56</v>
      </c>
      <c r="C144" s="10" t="s">
        <v>468</v>
      </c>
      <c r="D144" t="s">
        <v>61</v>
      </c>
      <c r="E144" t="s">
        <v>59</v>
      </c>
      <c r="F144" t="s">
        <v>469</v>
      </c>
      <c r="G144">
        <v>20000</v>
      </c>
      <c r="H144" t="s">
        <v>187</v>
      </c>
      <c r="I144" t="s">
        <v>418</v>
      </c>
      <c r="J144" t="s">
        <v>58</v>
      </c>
      <c r="K144" t="s">
        <v>61</v>
      </c>
      <c r="L144" t="s">
        <v>58</v>
      </c>
      <c r="M144" t="s">
        <v>58</v>
      </c>
      <c r="Q144" t="s">
        <v>58</v>
      </c>
      <c r="R144" s="11" t="str">
        <f>HYPERLINK("\\imagefiles.bcgov\imagery\scanned_maps\moe_terrain_maps\Scanned_T_maps_all\B01\B01-4851","\\imagefiles.bcgov\imagery\scanned_maps\moe_terrain_maps\Scanned_T_maps_all\B01\B01-4851")</f>
        <v>\\imagefiles.bcgov\imagery\scanned_maps\moe_terrain_maps\Scanned_T_maps_all\B01\B01-4851</v>
      </c>
      <c r="S144" t="s">
        <v>62</v>
      </c>
      <c r="T144" s="11" t="str">
        <f>HYPERLINK("http://www.env.gov.bc.ca/esd/distdata/ecosystems/TEI_Scanned_Maps/B01/B01-4851","http://www.env.gov.bc.ca/esd/distdata/ecosystems/TEI_Scanned_Maps/B01/B01-4851")</f>
        <v>http://www.env.gov.bc.ca/esd/distdata/ecosystems/TEI_Scanned_Maps/B01/B01-4851</v>
      </c>
      <c r="U144" t="s">
        <v>269</v>
      </c>
      <c r="V144" s="11" t="str">
        <f t="shared" si="3"/>
        <v>http://www.library.for.gov.bc.ca/#focus</v>
      </c>
      <c r="W144" t="s">
        <v>58</v>
      </c>
      <c r="X144" t="s">
        <v>58</v>
      </c>
      <c r="Y144" t="s">
        <v>58</v>
      </c>
      <c r="Z144" t="s">
        <v>58</v>
      </c>
      <c r="AA144" t="s">
        <v>58</v>
      </c>
      <c r="AC144" t="s">
        <v>58</v>
      </c>
      <c r="AE144" t="s">
        <v>58</v>
      </c>
      <c r="AG144" t="s">
        <v>63</v>
      </c>
      <c r="AH144" s="11" t="str">
        <f t="shared" si="4"/>
        <v>mailto: soilterrain@victoria1.gov.bc.ca</v>
      </c>
    </row>
    <row r="145" spans="1:34">
      <c r="A145" t="s">
        <v>470</v>
      </c>
      <c r="B145" t="s">
        <v>56</v>
      </c>
      <c r="C145" s="10" t="s">
        <v>468</v>
      </c>
      <c r="D145" t="s">
        <v>61</v>
      </c>
      <c r="E145" t="s">
        <v>59</v>
      </c>
      <c r="F145" t="s">
        <v>471</v>
      </c>
      <c r="G145">
        <v>20000</v>
      </c>
      <c r="H145" t="s">
        <v>187</v>
      </c>
      <c r="I145" t="s">
        <v>418</v>
      </c>
      <c r="J145" t="s">
        <v>58</v>
      </c>
      <c r="K145" t="s">
        <v>61</v>
      </c>
      <c r="L145" t="s">
        <v>58</v>
      </c>
      <c r="M145" t="s">
        <v>58</v>
      </c>
      <c r="Q145" t="s">
        <v>58</v>
      </c>
      <c r="R145" s="11" t="str">
        <f>HYPERLINK("\\imagefiles.bcgov\imagery\scanned_maps\moe_terrain_maps\Scanned_T_maps_all\B01\B01-4852","\\imagefiles.bcgov\imagery\scanned_maps\moe_terrain_maps\Scanned_T_maps_all\B01\B01-4852")</f>
        <v>\\imagefiles.bcgov\imagery\scanned_maps\moe_terrain_maps\Scanned_T_maps_all\B01\B01-4852</v>
      </c>
      <c r="S145" t="s">
        <v>62</v>
      </c>
      <c r="T145" s="11" t="str">
        <f>HYPERLINK("http://www.env.gov.bc.ca/esd/distdata/ecosystems/TEI_Scanned_Maps/B01/B01-4852","http://www.env.gov.bc.ca/esd/distdata/ecosystems/TEI_Scanned_Maps/B01/B01-4852")</f>
        <v>http://www.env.gov.bc.ca/esd/distdata/ecosystems/TEI_Scanned_Maps/B01/B01-4852</v>
      </c>
      <c r="U145" t="s">
        <v>269</v>
      </c>
      <c r="V145" s="11" t="str">
        <f t="shared" si="3"/>
        <v>http://www.library.for.gov.bc.ca/#focus</v>
      </c>
      <c r="W145" t="s">
        <v>58</v>
      </c>
      <c r="X145" t="s">
        <v>58</v>
      </c>
      <c r="Y145" t="s">
        <v>58</v>
      </c>
      <c r="Z145" t="s">
        <v>58</v>
      </c>
      <c r="AA145" t="s">
        <v>58</v>
      </c>
      <c r="AC145" t="s">
        <v>58</v>
      </c>
      <c r="AE145" t="s">
        <v>58</v>
      </c>
      <c r="AG145" t="s">
        <v>63</v>
      </c>
      <c r="AH145" s="11" t="str">
        <f t="shared" si="4"/>
        <v>mailto: soilterrain@victoria1.gov.bc.ca</v>
      </c>
    </row>
    <row r="146" spans="1:34">
      <c r="A146" t="s">
        <v>472</v>
      </c>
      <c r="B146" t="s">
        <v>56</v>
      </c>
      <c r="C146" s="10" t="s">
        <v>465</v>
      </c>
      <c r="D146" t="s">
        <v>61</v>
      </c>
      <c r="E146" t="s">
        <v>59</v>
      </c>
      <c r="F146" t="s">
        <v>473</v>
      </c>
      <c r="G146">
        <v>20000</v>
      </c>
      <c r="H146" t="s">
        <v>187</v>
      </c>
      <c r="I146" t="s">
        <v>418</v>
      </c>
      <c r="J146" t="s">
        <v>58</v>
      </c>
      <c r="K146" t="s">
        <v>61</v>
      </c>
      <c r="L146" t="s">
        <v>58</v>
      </c>
      <c r="M146" t="s">
        <v>58</v>
      </c>
      <c r="Q146" t="s">
        <v>58</v>
      </c>
      <c r="R146" s="11" t="str">
        <f>HYPERLINK("\\imagefiles.bcgov\imagery\scanned_maps\moe_terrain_maps\Scanned_T_maps_all\B01\B01-4853","\\imagefiles.bcgov\imagery\scanned_maps\moe_terrain_maps\Scanned_T_maps_all\B01\B01-4853")</f>
        <v>\\imagefiles.bcgov\imagery\scanned_maps\moe_terrain_maps\Scanned_T_maps_all\B01\B01-4853</v>
      </c>
      <c r="S146" t="s">
        <v>62</v>
      </c>
      <c r="T146" s="11" t="str">
        <f>HYPERLINK("http://www.env.gov.bc.ca/esd/distdata/ecosystems/TEI_Scanned_Maps/B01/B01-4853","http://www.env.gov.bc.ca/esd/distdata/ecosystems/TEI_Scanned_Maps/B01/B01-4853")</f>
        <v>http://www.env.gov.bc.ca/esd/distdata/ecosystems/TEI_Scanned_Maps/B01/B01-4853</v>
      </c>
      <c r="U146" t="s">
        <v>269</v>
      </c>
      <c r="V146" s="11" t="str">
        <f t="shared" si="3"/>
        <v>http://www.library.for.gov.bc.ca/#focus</v>
      </c>
      <c r="W146" t="s">
        <v>58</v>
      </c>
      <c r="X146" t="s">
        <v>58</v>
      </c>
      <c r="Y146" t="s">
        <v>58</v>
      </c>
      <c r="Z146" t="s">
        <v>58</v>
      </c>
      <c r="AA146" t="s">
        <v>58</v>
      </c>
      <c r="AC146" t="s">
        <v>58</v>
      </c>
      <c r="AE146" t="s">
        <v>58</v>
      </c>
      <c r="AG146" t="s">
        <v>63</v>
      </c>
      <c r="AH146" s="11" t="str">
        <f t="shared" si="4"/>
        <v>mailto: soilterrain@victoria1.gov.bc.ca</v>
      </c>
    </row>
    <row r="147" spans="1:34">
      <c r="A147" t="s">
        <v>474</v>
      </c>
      <c r="B147" t="s">
        <v>56</v>
      </c>
      <c r="C147" s="10" t="s">
        <v>465</v>
      </c>
      <c r="D147" t="s">
        <v>61</v>
      </c>
      <c r="E147" t="s">
        <v>59</v>
      </c>
      <c r="F147" t="s">
        <v>475</v>
      </c>
      <c r="G147">
        <v>20000</v>
      </c>
      <c r="H147" t="s">
        <v>187</v>
      </c>
      <c r="I147" t="s">
        <v>418</v>
      </c>
      <c r="J147" t="s">
        <v>58</v>
      </c>
      <c r="K147" t="s">
        <v>61</v>
      </c>
      <c r="L147" t="s">
        <v>58</v>
      </c>
      <c r="M147" t="s">
        <v>58</v>
      </c>
      <c r="Q147" t="s">
        <v>58</v>
      </c>
      <c r="R147" s="11" t="str">
        <f>HYPERLINK("\\imagefiles.bcgov\imagery\scanned_maps\moe_terrain_maps\Scanned_T_maps_all\B01\B01-4854","\\imagefiles.bcgov\imagery\scanned_maps\moe_terrain_maps\Scanned_T_maps_all\B01\B01-4854")</f>
        <v>\\imagefiles.bcgov\imagery\scanned_maps\moe_terrain_maps\Scanned_T_maps_all\B01\B01-4854</v>
      </c>
      <c r="S147" t="s">
        <v>62</v>
      </c>
      <c r="T147" s="11" t="str">
        <f>HYPERLINK("http://www.env.gov.bc.ca/esd/distdata/ecosystems/TEI_Scanned_Maps/B01/B01-4854","http://www.env.gov.bc.ca/esd/distdata/ecosystems/TEI_Scanned_Maps/B01/B01-4854")</f>
        <v>http://www.env.gov.bc.ca/esd/distdata/ecosystems/TEI_Scanned_Maps/B01/B01-4854</v>
      </c>
      <c r="U147" t="s">
        <v>269</v>
      </c>
      <c r="V147" s="11" t="str">
        <f t="shared" si="3"/>
        <v>http://www.library.for.gov.bc.ca/#focus</v>
      </c>
      <c r="W147" t="s">
        <v>58</v>
      </c>
      <c r="X147" t="s">
        <v>58</v>
      </c>
      <c r="Y147" t="s">
        <v>58</v>
      </c>
      <c r="Z147" t="s">
        <v>58</v>
      </c>
      <c r="AA147" t="s">
        <v>58</v>
      </c>
      <c r="AC147" t="s">
        <v>58</v>
      </c>
      <c r="AE147" t="s">
        <v>58</v>
      </c>
      <c r="AG147" t="s">
        <v>63</v>
      </c>
      <c r="AH147" s="11" t="str">
        <f t="shared" si="4"/>
        <v>mailto: soilterrain@victoria1.gov.bc.ca</v>
      </c>
    </row>
    <row r="148" spans="1:34">
      <c r="A148" t="s">
        <v>476</v>
      </c>
      <c r="B148" t="s">
        <v>56</v>
      </c>
      <c r="C148" s="10" t="s">
        <v>477</v>
      </c>
      <c r="D148" t="s">
        <v>61</v>
      </c>
      <c r="E148" t="s">
        <v>478</v>
      </c>
      <c r="F148" t="s">
        <v>479</v>
      </c>
      <c r="G148">
        <v>20000</v>
      </c>
      <c r="H148" t="s">
        <v>187</v>
      </c>
      <c r="I148" t="s">
        <v>58</v>
      </c>
      <c r="J148" t="s">
        <v>61</v>
      </c>
      <c r="K148" t="s">
        <v>61</v>
      </c>
      <c r="L148" t="s">
        <v>58</v>
      </c>
      <c r="M148" t="s">
        <v>58</v>
      </c>
      <c r="Q148" t="s">
        <v>132</v>
      </c>
      <c r="R148" s="11" t="str">
        <f>HYPERLINK("\\imagefiles.bcgov\imagery\scanned_maps\moe_terrain_maps\Scanned_T_maps_all\B01\B01-4856","\\imagefiles.bcgov\imagery\scanned_maps\moe_terrain_maps\Scanned_T_maps_all\B01\B01-4856")</f>
        <v>\\imagefiles.bcgov\imagery\scanned_maps\moe_terrain_maps\Scanned_T_maps_all\B01\B01-4856</v>
      </c>
      <c r="S148" t="s">
        <v>62</v>
      </c>
      <c r="T148" s="11" t="str">
        <f>HYPERLINK("http://www.env.gov.bc.ca/esd/distdata/ecosystems/TEI_Scanned_Maps/B01/B01-4856","http://www.env.gov.bc.ca/esd/distdata/ecosystems/TEI_Scanned_Maps/B01/B01-4856")</f>
        <v>http://www.env.gov.bc.ca/esd/distdata/ecosystems/TEI_Scanned_Maps/B01/B01-4856</v>
      </c>
      <c r="U148" t="s">
        <v>269</v>
      </c>
      <c r="V148" s="11" t="str">
        <f t="shared" si="3"/>
        <v>http://www.library.for.gov.bc.ca/#focus</v>
      </c>
      <c r="W148" t="s">
        <v>58</v>
      </c>
      <c r="X148" t="s">
        <v>58</v>
      </c>
      <c r="Y148" t="s">
        <v>58</v>
      </c>
      <c r="Z148" t="s">
        <v>58</v>
      </c>
      <c r="AA148" t="s">
        <v>58</v>
      </c>
      <c r="AC148" t="s">
        <v>58</v>
      </c>
      <c r="AE148" t="s">
        <v>58</v>
      </c>
      <c r="AG148" t="s">
        <v>63</v>
      </c>
      <c r="AH148" s="11" t="str">
        <f t="shared" si="4"/>
        <v>mailto: soilterrain@victoria1.gov.bc.ca</v>
      </c>
    </row>
    <row r="149" spans="1:34">
      <c r="A149" t="s">
        <v>480</v>
      </c>
      <c r="B149" t="s">
        <v>56</v>
      </c>
      <c r="C149" s="10" t="s">
        <v>477</v>
      </c>
      <c r="D149" t="s">
        <v>61</v>
      </c>
      <c r="E149" t="s">
        <v>478</v>
      </c>
      <c r="F149" t="s">
        <v>481</v>
      </c>
      <c r="G149">
        <v>20000</v>
      </c>
      <c r="H149" t="s">
        <v>187</v>
      </c>
      <c r="I149" t="s">
        <v>58</v>
      </c>
      <c r="J149" t="s">
        <v>61</v>
      </c>
      <c r="K149" t="s">
        <v>61</v>
      </c>
      <c r="L149" t="s">
        <v>58</v>
      </c>
      <c r="M149" t="s">
        <v>58</v>
      </c>
      <c r="Q149" t="s">
        <v>132</v>
      </c>
      <c r="R149" s="11" t="str">
        <f>HYPERLINK("\\imagefiles.bcgov\imagery\scanned_maps\moe_terrain_maps\Scanned_T_maps_all\B01\B01-4857","\\imagefiles.bcgov\imagery\scanned_maps\moe_terrain_maps\Scanned_T_maps_all\B01\B01-4857")</f>
        <v>\\imagefiles.bcgov\imagery\scanned_maps\moe_terrain_maps\Scanned_T_maps_all\B01\B01-4857</v>
      </c>
      <c r="S149" t="s">
        <v>62</v>
      </c>
      <c r="T149" s="11" t="str">
        <f>HYPERLINK("http://www.env.gov.bc.ca/esd/distdata/ecosystems/TEI_Scanned_Maps/B01/B01-4857","http://www.env.gov.bc.ca/esd/distdata/ecosystems/TEI_Scanned_Maps/B01/B01-4857")</f>
        <v>http://www.env.gov.bc.ca/esd/distdata/ecosystems/TEI_Scanned_Maps/B01/B01-4857</v>
      </c>
      <c r="U149" t="s">
        <v>58</v>
      </c>
      <c r="V149" t="s">
        <v>58</v>
      </c>
      <c r="W149" t="s">
        <v>58</v>
      </c>
      <c r="X149" t="s">
        <v>58</v>
      </c>
      <c r="Y149" t="s">
        <v>58</v>
      </c>
      <c r="Z149" t="s">
        <v>58</v>
      </c>
      <c r="AA149" t="s">
        <v>58</v>
      </c>
      <c r="AC149" t="s">
        <v>58</v>
      </c>
      <c r="AE149" t="s">
        <v>58</v>
      </c>
      <c r="AG149" t="s">
        <v>63</v>
      </c>
      <c r="AH149" s="11" t="str">
        <f t="shared" si="4"/>
        <v>mailto: soilterrain@victoria1.gov.bc.ca</v>
      </c>
    </row>
    <row r="150" spans="1:34">
      <c r="A150" t="s">
        <v>482</v>
      </c>
      <c r="B150" t="s">
        <v>56</v>
      </c>
      <c r="C150" s="10" t="s">
        <v>477</v>
      </c>
      <c r="D150" t="s">
        <v>61</v>
      </c>
      <c r="E150" t="s">
        <v>478</v>
      </c>
      <c r="F150" t="s">
        <v>481</v>
      </c>
      <c r="G150">
        <v>20000</v>
      </c>
      <c r="H150" t="s">
        <v>187</v>
      </c>
      <c r="I150" t="s">
        <v>58</v>
      </c>
      <c r="J150" t="s">
        <v>61</v>
      </c>
      <c r="K150" t="s">
        <v>61</v>
      </c>
      <c r="L150" t="s">
        <v>58</v>
      </c>
      <c r="M150" t="s">
        <v>58</v>
      </c>
      <c r="Q150" t="s">
        <v>132</v>
      </c>
      <c r="R150" s="11" t="str">
        <f>HYPERLINK("\\imagefiles.bcgov\imagery\scanned_maps\moe_terrain_maps\Scanned_T_maps_all\B01\B01-4858","\\imagefiles.bcgov\imagery\scanned_maps\moe_terrain_maps\Scanned_T_maps_all\B01\B01-4858")</f>
        <v>\\imagefiles.bcgov\imagery\scanned_maps\moe_terrain_maps\Scanned_T_maps_all\B01\B01-4858</v>
      </c>
      <c r="S150" t="s">
        <v>62</v>
      </c>
      <c r="T150" s="11" t="str">
        <f>HYPERLINK("http://www.env.gov.bc.ca/esd/distdata/ecosystems/TEI_Scanned_Maps/B01/B01-4858","http://www.env.gov.bc.ca/esd/distdata/ecosystems/TEI_Scanned_Maps/B01/B01-4858")</f>
        <v>http://www.env.gov.bc.ca/esd/distdata/ecosystems/TEI_Scanned_Maps/B01/B01-4858</v>
      </c>
      <c r="U150" t="s">
        <v>58</v>
      </c>
      <c r="V150" t="s">
        <v>58</v>
      </c>
      <c r="W150" t="s">
        <v>58</v>
      </c>
      <c r="X150" t="s">
        <v>58</v>
      </c>
      <c r="Y150" t="s">
        <v>58</v>
      </c>
      <c r="Z150" t="s">
        <v>58</v>
      </c>
      <c r="AA150" t="s">
        <v>58</v>
      </c>
      <c r="AC150" t="s">
        <v>58</v>
      </c>
      <c r="AE150" t="s">
        <v>58</v>
      </c>
      <c r="AG150" t="s">
        <v>63</v>
      </c>
      <c r="AH150" s="11" t="str">
        <f t="shared" si="4"/>
        <v>mailto: soilterrain@victoria1.gov.bc.ca</v>
      </c>
    </row>
    <row r="151" spans="1:34">
      <c r="A151" t="s">
        <v>483</v>
      </c>
      <c r="B151" t="s">
        <v>56</v>
      </c>
      <c r="C151" s="10" t="s">
        <v>477</v>
      </c>
      <c r="D151" t="s">
        <v>61</v>
      </c>
      <c r="E151" t="s">
        <v>478</v>
      </c>
      <c r="F151" t="s">
        <v>484</v>
      </c>
      <c r="G151">
        <v>20000</v>
      </c>
      <c r="H151" t="s">
        <v>187</v>
      </c>
      <c r="I151" t="s">
        <v>58</v>
      </c>
      <c r="J151" t="s">
        <v>61</v>
      </c>
      <c r="K151" t="s">
        <v>58</v>
      </c>
      <c r="L151" t="s">
        <v>58</v>
      </c>
      <c r="M151" t="s">
        <v>58</v>
      </c>
      <c r="P151" t="s">
        <v>61</v>
      </c>
      <c r="Q151" t="s">
        <v>132</v>
      </c>
      <c r="R151" s="11" t="str">
        <f>HYPERLINK("\\imagefiles.bcgov\imagery\scanned_maps\moe_terrain_maps\Scanned_T_maps_all\B01\B01-4863","\\imagefiles.bcgov\imagery\scanned_maps\moe_terrain_maps\Scanned_T_maps_all\B01\B01-4863")</f>
        <v>\\imagefiles.bcgov\imagery\scanned_maps\moe_terrain_maps\Scanned_T_maps_all\B01\B01-4863</v>
      </c>
      <c r="S151" t="s">
        <v>62</v>
      </c>
      <c r="T151" s="11" t="str">
        <f>HYPERLINK("http://www.env.gov.bc.ca/esd/distdata/ecosystems/TEI_Scanned_Maps/B01/B01-4863","http://www.env.gov.bc.ca/esd/distdata/ecosystems/TEI_Scanned_Maps/B01/B01-4863")</f>
        <v>http://www.env.gov.bc.ca/esd/distdata/ecosystems/TEI_Scanned_Maps/B01/B01-4863</v>
      </c>
      <c r="U151" t="s">
        <v>58</v>
      </c>
      <c r="V151" t="s">
        <v>58</v>
      </c>
      <c r="W151" t="s">
        <v>58</v>
      </c>
      <c r="X151" t="s">
        <v>58</v>
      </c>
      <c r="Y151" t="s">
        <v>58</v>
      </c>
      <c r="Z151" t="s">
        <v>58</v>
      </c>
      <c r="AA151" t="s">
        <v>58</v>
      </c>
      <c r="AC151" t="s">
        <v>58</v>
      </c>
      <c r="AE151" t="s">
        <v>58</v>
      </c>
      <c r="AG151" t="s">
        <v>63</v>
      </c>
      <c r="AH151" s="11" t="str">
        <f t="shared" si="4"/>
        <v>mailto: soilterrain@victoria1.gov.bc.ca</v>
      </c>
    </row>
    <row r="152" spans="1:34">
      <c r="A152" t="s">
        <v>485</v>
      </c>
      <c r="B152" t="s">
        <v>56</v>
      </c>
      <c r="C152" s="10" t="s">
        <v>486</v>
      </c>
      <c r="D152" t="s">
        <v>61</v>
      </c>
      <c r="E152" t="s">
        <v>59</v>
      </c>
      <c r="F152" t="s">
        <v>487</v>
      </c>
      <c r="G152">
        <v>20000</v>
      </c>
      <c r="H152">
        <v>1999</v>
      </c>
      <c r="I152" t="s">
        <v>58</v>
      </c>
      <c r="J152" t="s">
        <v>58</v>
      </c>
      <c r="K152" t="s">
        <v>61</v>
      </c>
      <c r="L152" t="s">
        <v>58</v>
      </c>
      <c r="M152" t="s">
        <v>58</v>
      </c>
      <c r="Q152" t="s">
        <v>58</v>
      </c>
      <c r="R152" s="11" t="str">
        <f>HYPERLINK("\\imagefiles.bcgov\imagery\scanned_maps\moe_terrain_maps\Scanned_T_maps_all\B03\B03-4981","\\imagefiles.bcgov\imagery\scanned_maps\moe_terrain_maps\Scanned_T_maps_all\B03\B03-4981")</f>
        <v>\\imagefiles.bcgov\imagery\scanned_maps\moe_terrain_maps\Scanned_T_maps_all\B03\B03-4981</v>
      </c>
      <c r="S152" t="s">
        <v>62</v>
      </c>
      <c r="T152" s="11" t="str">
        <f>HYPERLINK("http://www.env.gov.bc.ca/esd/distdata/ecosystems/TEI_Scanned_Maps/B03/B03-4981","http://www.env.gov.bc.ca/esd/distdata/ecosystems/TEI_Scanned_Maps/B03/B03-4981")</f>
        <v>http://www.env.gov.bc.ca/esd/distdata/ecosystems/TEI_Scanned_Maps/B03/B03-4981</v>
      </c>
      <c r="U152" t="s">
        <v>58</v>
      </c>
      <c r="V152" t="s">
        <v>58</v>
      </c>
      <c r="W152" t="s">
        <v>58</v>
      </c>
      <c r="X152" t="s">
        <v>58</v>
      </c>
      <c r="Y152" t="s">
        <v>58</v>
      </c>
      <c r="Z152" t="s">
        <v>58</v>
      </c>
      <c r="AA152" t="s">
        <v>58</v>
      </c>
      <c r="AC152" t="s">
        <v>58</v>
      </c>
      <c r="AE152" t="s">
        <v>58</v>
      </c>
      <c r="AG152" t="s">
        <v>63</v>
      </c>
      <c r="AH152" s="11" t="str">
        <f t="shared" si="4"/>
        <v>mailto: soilterrain@victoria1.gov.bc.ca</v>
      </c>
    </row>
    <row r="153" spans="1:34">
      <c r="A153" t="s">
        <v>488</v>
      </c>
      <c r="B153" t="s">
        <v>56</v>
      </c>
      <c r="C153" s="10" t="s">
        <v>149</v>
      </c>
      <c r="D153" t="s">
        <v>61</v>
      </c>
      <c r="E153" t="s">
        <v>59</v>
      </c>
      <c r="F153" t="s">
        <v>489</v>
      </c>
      <c r="G153">
        <v>50000</v>
      </c>
      <c r="H153" t="s">
        <v>187</v>
      </c>
      <c r="I153" t="s">
        <v>58</v>
      </c>
      <c r="J153" t="s">
        <v>58</v>
      </c>
      <c r="K153" t="s">
        <v>61</v>
      </c>
      <c r="L153" t="s">
        <v>58</v>
      </c>
      <c r="M153" t="s">
        <v>58</v>
      </c>
      <c r="Q153" t="s">
        <v>58</v>
      </c>
      <c r="R153" s="11" t="str">
        <f>HYPERLINK("\\imagefiles.bcgov\imagery\scanned_maps\moe_terrain_maps\Scanned_T_maps_all\B03\B03-4982","\\imagefiles.bcgov\imagery\scanned_maps\moe_terrain_maps\Scanned_T_maps_all\B03\B03-4982")</f>
        <v>\\imagefiles.bcgov\imagery\scanned_maps\moe_terrain_maps\Scanned_T_maps_all\B03\B03-4982</v>
      </c>
      <c r="S153" t="s">
        <v>62</v>
      </c>
      <c r="T153" s="11" t="str">
        <f>HYPERLINK("http://www.env.gov.bc.ca/esd/distdata/ecosystems/TEI_Scanned_Maps/B03/B03-4982","http://www.env.gov.bc.ca/esd/distdata/ecosystems/TEI_Scanned_Maps/B03/B03-4982")</f>
        <v>http://www.env.gov.bc.ca/esd/distdata/ecosystems/TEI_Scanned_Maps/B03/B03-4982</v>
      </c>
      <c r="U153" t="s">
        <v>58</v>
      </c>
      <c r="V153" t="s">
        <v>58</v>
      </c>
      <c r="W153" t="s">
        <v>58</v>
      </c>
      <c r="X153" t="s">
        <v>58</v>
      </c>
      <c r="Y153" t="s">
        <v>58</v>
      </c>
      <c r="Z153" t="s">
        <v>58</v>
      </c>
      <c r="AA153" t="s">
        <v>58</v>
      </c>
      <c r="AC153" t="s">
        <v>58</v>
      </c>
      <c r="AE153" t="s">
        <v>58</v>
      </c>
      <c r="AG153" t="s">
        <v>63</v>
      </c>
      <c r="AH153" s="11" t="str">
        <f t="shared" si="4"/>
        <v>mailto: soilterrain@victoria1.gov.bc.ca</v>
      </c>
    </row>
    <row r="154" spans="1:34">
      <c r="A154" t="s">
        <v>490</v>
      </c>
      <c r="B154" t="s">
        <v>56</v>
      </c>
      <c r="C154" s="10" t="s">
        <v>149</v>
      </c>
      <c r="D154" t="s">
        <v>61</v>
      </c>
      <c r="E154" t="s">
        <v>59</v>
      </c>
      <c r="F154" t="s">
        <v>491</v>
      </c>
      <c r="G154">
        <v>50000</v>
      </c>
      <c r="H154" t="s">
        <v>187</v>
      </c>
      <c r="I154" t="s">
        <v>58</v>
      </c>
      <c r="J154" t="s">
        <v>58</v>
      </c>
      <c r="K154" t="s">
        <v>58</v>
      </c>
      <c r="L154" t="s">
        <v>58</v>
      </c>
      <c r="M154" t="s">
        <v>58</v>
      </c>
      <c r="P154" t="s">
        <v>61</v>
      </c>
      <c r="Q154" t="s">
        <v>58</v>
      </c>
      <c r="R154" s="11" t="str">
        <f>HYPERLINK("\\imagefiles.bcgov\imagery\scanned_maps\moe_terrain_maps\Scanned_T_maps_all\B03\B03-4983","\\imagefiles.bcgov\imagery\scanned_maps\moe_terrain_maps\Scanned_T_maps_all\B03\B03-4983")</f>
        <v>\\imagefiles.bcgov\imagery\scanned_maps\moe_terrain_maps\Scanned_T_maps_all\B03\B03-4983</v>
      </c>
      <c r="S154" t="s">
        <v>62</v>
      </c>
      <c r="T154" s="11" t="str">
        <f>HYPERLINK("http://www.env.gov.bc.ca/esd/distdata/ecosystems/TEI_Scanned_Maps/B03/B03-4983","http://www.env.gov.bc.ca/esd/distdata/ecosystems/TEI_Scanned_Maps/B03/B03-4983")</f>
        <v>http://www.env.gov.bc.ca/esd/distdata/ecosystems/TEI_Scanned_Maps/B03/B03-4983</v>
      </c>
      <c r="U154" t="s">
        <v>58</v>
      </c>
      <c r="V154" t="s">
        <v>58</v>
      </c>
      <c r="W154" t="s">
        <v>58</v>
      </c>
      <c r="X154" t="s">
        <v>58</v>
      </c>
      <c r="Y154" t="s">
        <v>58</v>
      </c>
      <c r="Z154" t="s">
        <v>58</v>
      </c>
      <c r="AA154" t="s">
        <v>58</v>
      </c>
      <c r="AC154" t="s">
        <v>58</v>
      </c>
      <c r="AE154" t="s">
        <v>58</v>
      </c>
      <c r="AG154" t="s">
        <v>63</v>
      </c>
      <c r="AH154" s="11" t="str">
        <f t="shared" si="4"/>
        <v>mailto: soilterrain@victoria1.gov.bc.ca</v>
      </c>
    </row>
    <row r="155" spans="1:34">
      <c r="A155" t="s">
        <v>492</v>
      </c>
      <c r="B155" t="s">
        <v>56</v>
      </c>
      <c r="C155" s="10" t="s">
        <v>493</v>
      </c>
      <c r="D155" t="s">
        <v>61</v>
      </c>
      <c r="E155" t="s">
        <v>59</v>
      </c>
      <c r="F155" t="s">
        <v>494</v>
      </c>
      <c r="G155">
        <v>20000</v>
      </c>
      <c r="H155" t="s">
        <v>187</v>
      </c>
      <c r="I155" t="s">
        <v>58</v>
      </c>
      <c r="J155" t="s">
        <v>58</v>
      </c>
      <c r="K155" t="s">
        <v>61</v>
      </c>
      <c r="L155" t="s">
        <v>58</v>
      </c>
      <c r="M155" t="s">
        <v>58</v>
      </c>
      <c r="Q155" t="s">
        <v>58</v>
      </c>
      <c r="R155" s="11" t="str">
        <f>HYPERLINK("\\imagefiles.bcgov\imagery\scanned_maps\moe_terrain_maps\Scanned_T_maps_all\B03\B03-4984","\\imagefiles.bcgov\imagery\scanned_maps\moe_terrain_maps\Scanned_T_maps_all\B03\B03-4984")</f>
        <v>\\imagefiles.bcgov\imagery\scanned_maps\moe_terrain_maps\Scanned_T_maps_all\B03\B03-4984</v>
      </c>
      <c r="S155" t="s">
        <v>62</v>
      </c>
      <c r="T155" s="11" t="str">
        <f>HYPERLINK("http://www.env.gov.bc.ca/esd/distdata/ecosystems/TEI_Scanned_Maps/B03/B03-4984","http://www.env.gov.bc.ca/esd/distdata/ecosystems/TEI_Scanned_Maps/B03/B03-4984")</f>
        <v>http://www.env.gov.bc.ca/esd/distdata/ecosystems/TEI_Scanned_Maps/B03/B03-4984</v>
      </c>
      <c r="U155" t="s">
        <v>58</v>
      </c>
      <c r="V155" t="s">
        <v>58</v>
      </c>
      <c r="W155" t="s">
        <v>58</v>
      </c>
      <c r="X155" t="s">
        <v>58</v>
      </c>
      <c r="Y155" t="s">
        <v>58</v>
      </c>
      <c r="Z155" t="s">
        <v>58</v>
      </c>
      <c r="AA155" t="s">
        <v>58</v>
      </c>
      <c r="AC155" t="s">
        <v>58</v>
      </c>
      <c r="AE155" t="s">
        <v>58</v>
      </c>
      <c r="AG155" t="s">
        <v>63</v>
      </c>
      <c r="AH155" s="11" t="str">
        <f t="shared" si="4"/>
        <v>mailto: soilterrain@victoria1.gov.bc.ca</v>
      </c>
    </row>
    <row r="156" spans="1:34">
      <c r="A156" t="s">
        <v>495</v>
      </c>
      <c r="B156" t="s">
        <v>56</v>
      </c>
      <c r="C156" s="10" t="s">
        <v>496</v>
      </c>
      <c r="D156" t="s">
        <v>58</v>
      </c>
      <c r="E156" t="s">
        <v>497</v>
      </c>
      <c r="F156" t="s">
        <v>498</v>
      </c>
      <c r="G156">
        <v>50000</v>
      </c>
      <c r="H156">
        <v>1986</v>
      </c>
      <c r="I156" t="s">
        <v>58</v>
      </c>
      <c r="J156" t="s">
        <v>58</v>
      </c>
      <c r="K156" t="s">
        <v>58</v>
      </c>
      <c r="L156" t="s">
        <v>58</v>
      </c>
      <c r="M156" t="s">
        <v>58</v>
      </c>
      <c r="N156" t="s">
        <v>61</v>
      </c>
      <c r="Q156" t="s">
        <v>58</v>
      </c>
      <c r="R156" s="11" t="str">
        <f>HYPERLINK("\\imagefiles.bcgov\imagery\scanned_maps\moe_terrain_maps\Scanned_T_maps_all\C03\C03-542","\\imagefiles.bcgov\imagery\scanned_maps\moe_terrain_maps\Scanned_T_maps_all\C03\C03-542")</f>
        <v>\\imagefiles.bcgov\imagery\scanned_maps\moe_terrain_maps\Scanned_T_maps_all\C03\C03-542</v>
      </c>
      <c r="S156" t="s">
        <v>62</v>
      </c>
      <c r="T156" s="11" t="str">
        <f>HYPERLINK("http://www.env.gov.bc.ca/esd/distdata/ecosystems/TEI_Scanned_Maps/C03/C03-542","http://www.env.gov.bc.ca/esd/distdata/ecosystems/TEI_Scanned_Maps/C03/C03-542")</f>
        <v>http://www.env.gov.bc.ca/esd/distdata/ecosystems/TEI_Scanned_Maps/C03/C03-542</v>
      </c>
      <c r="U156" t="s">
        <v>58</v>
      </c>
      <c r="V156" t="s">
        <v>58</v>
      </c>
      <c r="W156" t="s">
        <v>58</v>
      </c>
      <c r="X156" t="s">
        <v>58</v>
      </c>
      <c r="Y156" t="s">
        <v>58</v>
      </c>
      <c r="Z156" t="s">
        <v>58</v>
      </c>
      <c r="AA156" t="s">
        <v>58</v>
      </c>
      <c r="AC156" t="s">
        <v>58</v>
      </c>
      <c r="AE156" t="s">
        <v>58</v>
      </c>
      <c r="AG156" t="s">
        <v>63</v>
      </c>
      <c r="AH156" s="11" t="str">
        <f t="shared" si="4"/>
        <v>mailto: soilterrain@victoria1.gov.bc.ca</v>
      </c>
    </row>
    <row r="157" spans="1:34">
      <c r="A157" t="s">
        <v>499</v>
      </c>
      <c r="B157" t="s">
        <v>56</v>
      </c>
      <c r="C157" s="10" t="s">
        <v>500</v>
      </c>
      <c r="D157" t="s">
        <v>61</v>
      </c>
      <c r="E157" t="s">
        <v>497</v>
      </c>
      <c r="F157" t="s">
        <v>498</v>
      </c>
      <c r="G157">
        <v>50000</v>
      </c>
      <c r="H157">
        <v>1989</v>
      </c>
      <c r="I157" t="s">
        <v>58</v>
      </c>
      <c r="J157" t="s">
        <v>58</v>
      </c>
      <c r="K157" t="s">
        <v>58</v>
      </c>
      <c r="L157" t="s">
        <v>58</v>
      </c>
      <c r="M157" t="s">
        <v>58</v>
      </c>
      <c r="N157" t="s">
        <v>61</v>
      </c>
      <c r="Q157" t="s">
        <v>58</v>
      </c>
      <c r="R157" s="11" t="str">
        <f>HYPERLINK("\\imagefiles.bcgov\imagery\scanned_maps\moe_terrain_maps\Scanned_T_maps_all\C03\C03-544","\\imagefiles.bcgov\imagery\scanned_maps\moe_terrain_maps\Scanned_T_maps_all\C03\C03-544")</f>
        <v>\\imagefiles.bcgov\imagery\scanned_maps\moe_terrain_maps\Scanned_T_maps_all\C03\C03-544</v>
      </c>
      <c r="S157" t="s">
        <v>62</v>
      </c>
      <c r="T157" s="11" t="str">
        <f>HYPERLINK("http://www.env.gov.bc.ca/esd/distdata/ecosystems/TEI_Scanned_Maps/C03/C03-544","http://www.env.gov.bc.ca/esd/distdata/ecosystems/TEI_Scanned_Maps/C03/C03-544")</f>
        <v>http://www.env.gov.bc.ca/esd/distdata/ecosystems/TEI_Scanned_Maps/C03/C03-544</v>
      </c>
      <c r="U157" t="s">
        <v>58</v>
      </c>
      <c r="V157" t="s">
        <v>58</v>
      </c>
      <c r="W157" t="s">
        <v>58</v>
      </c>
      <c r="X157" t="s">
        <v>58</v>
      </c>
      <c r="Y157" t="s">
        <v>58</v>
      </c>
      <c r="Z157" t="s">
        <v>58</v>
      </c>
      <c r="AA157" t="s">
        <v>58</v>
      </c>
      <c r="AC157" t="s">
        <v>58</v>
      </c>
      <c r="AE157" t="s">
        <v>58</v>
      </c>
      <c r="AG157" t="s">
        <v>63</v>
      </c>
      <c r="AH157" s="11" t="str">
        <f t="shared" si="4"/>
        <v>mailto: soilterrain@victoria1.gov.bc.ca</v>
      </c>
    </row>
    <row r="158" spans="1:34">
      <c r="A158" t="s">
        <v>501</v>
      </c>
      <c r="B158" t="s">
        <v>56</v>
      </c>
      <c r="C158" s="10" t="s">
        <v>79</v>
      </c>
      <c r="D158" t="s">
        <v>58</v>
      </c>
      <c r="E158" t="s">
        <v>497</v>
      </c>
      <c r="F158" t="s">
        <v>502</v>
      </c>
      <c r="G158">
        <v>50000</v>
      </c>
      <c r="H158">
        <v>1988</v>
      </c>
      <c r="I158" t="s">
        <v>58</v>
      </c>
      <c r="J158" t="s">
        <v>58</v>
      </c>
      <c r="K158" t="s">
        <v>58</v>
      </c>
      <c r="L158" t="s">
        <v>58</v>
      </c>
      <c r="M158" t="s">
        <v>58</v>
      </c>
      <c r="N158" t="s">
        <v>61</v>
      </c>
      <c r="Q158" t="s">
        <v>58</v>
      </c>
      <c r="R158" s="11" t="str">
        <f>HYPERLINK("\\imagefiles.bcgov\imagery\scanned_maps\moe_terrain_maps\Scanned_T_maps_all\C03\C03-556","\\imagefiles.bcgov\imagery\scanned_maps\moe_terrain_maps\Scanned_T_maps_all\C03\C03-556")</f>
        <v>\\imagefiles.bcgov\imagery\scanned_maps\moe_terrain_maps\Scanned_T_maps_all\C03\C03-556</v>
      </c>
      <c r="S158" t="s">
        <v>62</v>
      </c>
      <c r="T158" s="11" t="str">
        <f>HYPERLINK("http://www.env.gov.bc.ca/esd/distdata/ecosystems/TEI_Scanned_Maps/C03/C03-556","http://www.env.gov.bc.ca/esd/distdata/ecosystems/TEI_Scanned_Maps/C03/C03-556")</f>
        <v>http://www.env.gov.bc.ca/esd/distdata/ecosystems/TEI_Scanned_Maps/C03/C03-556</v>
      </c>
      <c r="U158" t="s">
        <v>58</v>
      </c>
      <c r="V158" t="s">
        <v>58</v>
      </c>
      <c r="W158" t="s">
        <v>58</v>
      </c>
      <c r="X158" t="s">
        <v>58</v>
      </c>
      <c r="Y158" t="s">
        <v>58</v>
      </c>
      <c r="Z158" t="s">
        <v>58</v>
      </c>
      <c r="AA158" t="s">
        <v>58</v>
      </c>
      <c r="AC158" t="s">
        <v>58</v>
      </c>
      <c r="AE158" t="s">
        <v>58</v>
      </c>
      <c r="AG158" t="s">
        <v>63</v>
      </c>
      <c r="AH158" s="11" t="str">
        <f t="shared" si="4"/>
        <v>mailto: soilterrain@victoria1.gov.bc.ca</v>
      </c>
    </row>
    <row r="159" spans="1:34">
      <c r="A159" t="s">
        <v>503</v>
      </c>
      <c r="B159" t="s">
        <v>56</v>
      </c>
      <c r="C159" s="10" t="s">
        <v>84</v>
      </c>
      <c r="D159" t="s">
        <v>58</v>
      </c>
      <c r="E159" t="s">
        <v>497</v>
      </c>
      <c r="F159" t="s">
        <v>502</v>
      </c>
      <c r="G159">
        <v>50000</v>
      </c>
      <c r="H159" t="s">
        <v>187</v>
      </c>
      <c r="I159" t="s">
        <v>58</v>
      </c>
      <c r="J159" t="s">
        <v>58</v>
      </c>
      <c r="K159" t="s">
        <v>58</v>
      </c>
      <c r="L159" t="s">
        <v>58</v>
      </c>
      <c r="M159" t="s">
        <v>58</v>
      </c>
      <c r="N159" t="s">
        <v>61</v>
      </c>
      <c r="Q159" t="s">
        <v>58</v>
      </c>
      <c r="R159" s="11" t="str">
        <f>HYPERLINK("\\imagefiles.bcgov\imagery\scanned_maps\moe_terrain_maps\Scanned_T_maps_all\C03\C03-558","\\imagefiles.bcgov\imagery\scanned_maps\moe_terrain_maps\Scanned_T_maps_all\C03\C03-558")</f>
        <v>\\imagefiles.bcgov\imagery\scanned_maps\moe_terrain_maps\Scanned_T_maps_all\C03\C03-558</v>
      </c>
      <c r="S159" t="s">
        <v>62</v>
      </c>
      <c r="T159" s="11" t="str">
        <f>HYPERLINK("http://www.env.gov.bc.ca/esd/distdata/ecosystems/TEI_Scanned_Maps/C03/C03-558","http://www.env.gov.bc.ca/esd/distdata/ecosystems/TEI_Scanned_Maps/C03/C03-558")</f>
        <v>http://www.env.gov.bc.ca/esd/distdata/ecosystems/TEI_Scanned_Maps/C03/C03-558</v>
      </c>
      <c r="U159" t="s">
        <v>58</v>
      </c>
      <c r="V159" t="s">
        <v>58</v>
      </c>
      <c r="W159" t="s">
        <v>58</v>
      </c>
      <c r="X159" t="s">
        <v>58</v>
      </c>
      <c r="Y159" t="s">
        <v>58</v>
      </c>
      <c r="Z159" t="s">
        <v>58</v>
      </c>
      <c r="AA159" t="s">
        <v>58</v>
      </c>
      <c r="AC159" t="s">
        <v>58</v>
      </c>
      <c r="AE159" t="s">
        <v>58</v>
      </c>
      <c r="AG159" t="s">
        <v>63</v>
      </c>
      <c r="AH159" s="11" t="str">
        <f t="shared" si="4"/>
        <v>mailto: soilterrain@victoria1.gov.bc.ca</v>
      </c>
    </row>
    <row r="160" spans="1:34">
      <c r="A160" t="s">
        <v>504</v>
      </c>
      <c r="B160" t="s">
        <v>56</v>
      </c>
      <c r="C160" s="10" t="s">
        <v>505</v>
      </c>
      <c r="D160" t="s">
        <v>58</v>
      </c>
      <c r="E160" t="s">
        <v>497</v>
      </c>
      <c r="F160" t="s">
        <v>502</v>
      </c>
      <c r="G160">
        <v>50000</v>
      </c>
      <c r="H160">
        <v>1989</v>
      </c>
      <c r="I160" t="s">
        <v>58</v>
      </c>
      <c r="J160" t="s">
        <v>58</v>
      </c>
      <c r="K160" t="s">
        <v>58</v>
      </c>
      <c r="L160" t="s">
        <v>58</v>
      </c>
      <c r="M160" t="s">
        <v>58</v>
      </c>
      <c r="N160" t="s">
        <v>61</v>
      </c>
      <c r="Q160" t="s">
        <v>58</v>
      </c>
      <c r="R160" s="11" t="str">
        <f>HYPERLINK("\\imagefiles.bcgov\imagery\scanned_maps\moe_terrain_maps\Scanned_T_maps_all\C03\C03-873","\\imagefiles.bcgov\imagery\scanned_maps\moe_terrain_maps\Scanned_T_maps_all\C03\C03-873")</f>
        <v>\\imagefiles.bcgov\imagery\scanned_maps\moe_terrain_maps\Scanned_T_maps_all\C03\C03-873</v>
      </c>
      <c r="S160" t="s">
        <v>62</v>
      </c>
      <c r="T160" s="11" t="str">
        <f>HYPERLINK("http://www.env.gov.bc.ca/esd/distdata/ecosystems/TEI_Scanned_Maps/C03/C03-873","http://www.env.gov.bc.ca/esd/distdata/ecosystems/TEI_Scanned_Maps/C03/C03-873")</f>
        <v>http://www.env.gov.bc.ca/esd/distdata/ecosystems/TEI_Scanned_Maps/C03/C03-873</v>
      </c>
      <c r="U160" t="s">
        <v>58</v>
      </c>
      <c r="V160" t="s">
        <v>58</v>
      </c>
      <c r="W160" t="s">
        <v>58</v>
      </c>
      <c r="X160" t="s">
        <v>58</v>
      </c>
      <c r="Y160" t="s">
        <v>58</v>
      </c>
      <c r="Z160" t="s">
        <v>58</v>
      </c>
      <c r="AA160" t="s">
        <v>58</v>
      </c>
      <c r="AC160" t="s">
        <v>58</v>
      </c>
      <c r="AE160" t="s">
        <v>58</v>
      </c>
      <c r="AG160" t="s">
        <v>63</v>
      </c>
      <c r="AH160" s="11" t="str">
        <f t="shared" si="4"/>
        <v>mailto: soilterrain@victoria1.gov.bc.ca</v>
      </c>
    </row>
    <row r="161" spans="1:34">
      <c r="A161" t="s">
        <v>506</v>
      </c>
      <c r="B161" t="s">
        <v>56</v>
      </c>
      <c r="C161" s="10" t="s">
        <v>507</v>
      </c>
      <c r="D161" t="s">
        <v>58</v>
      </c>
      <c r="E161" t="s">
        <v>497</v>
      </c>
      <c r="F161" t="s">
        <v>508</v>
      </c>
      <c r="G161">
        <v>50000</v>
      </c>
      <c r="H161">
        <v>1988</v>
      </c>
      <c r="I161" t="s">
        <v>58</v>
      </c>
      <c r="J161" t="s">
        <v>58</v>
      </c>
      <c r="K161" t="s">
        <v>58</v>
      </c>
      <c r="L161" t="s">
        <v>58</v>
      </c>
      <c r="M161" t="s">
        <v>58</v>
      </c>
      <c r="N161" t="s">
        <v>61</v>
      </c>
      <c r="Q161" t="s">
        <v>58</v>
      </c>
      <c r="R161" s="11" t="str">
        <f>HYPERLINK("\\imagefiles.bcgov\imagery\scanned_maps\moe_terrain_maps\Scanned_T_maps_all\C03\C03-874","\\imagefiles.bcgov\imagery\scanned_maps\moe_terrain_maps\Scanned_T_maps_all\C03\C03-874")</f>
        <v>\\imagefiles.bcgov\imagery\scanned_maps\moe_terrain_maps\Scanned_T_maps_all\C03\C03-874</v>
      </c>
      <c r="S161" t="s">
        <v>62</v>
      </c>
      <c r="T161" s="11" t="str">
        <f>HYPERLINK("http://www.env.gov.bc.ca/esd/distdata/ecosystems/TEI_Scanned_Maps/C03/C03-874","http://www.env.gov.bc.ca/esd/distdata/ecosystems/TEI_Scanned_Maps/C03/C03-874")</f>
        <v>http://www.env.gov.bc.ca/esd/distdata/ecosystems/TEI_Scanned_Maps/C03/C03-874</v>
      </c>
      <c r="U161" t="s">
        <v>58</v>
      </c>
      <c r="V161" t="s">
        <v>58</v>
      </c>
      <c r="W161" t="s">
        <v>58</v>
      </c>
      <c r="X161" t="s">
        <v>58</v>
      </c>
      <c r="Y161" t="s">
        <v>58</v>
      </c>
      <c r="Z161" t="s">
        <v>58</v>
      </c>
      <c r="AA161" t="s">
        <v>58</v>
      </c>
      <c r="AC161" t="s">
        <v>58</v>
      </c>
      <c r="AE161" t="s">
        <v>58</v>
      </c>
      <c r="AG161" t="s">
        <v>63</v>
      </c>
      <c r="AH161" s="11" t="str">
        <f t="shared" si="4"/>
        <v>mailto: soilterrain@victoria1.gov.bc.ca</v>
      </c>
    </row>
    <row r="162" spans="1:34">
      <c r="A162" t="s">
        <v>509</v>
      </c>
      <c r="B162" t="s">
        <v>56</v>
      </c>
      <c r="C162" s="10" t="s">
        <v>510</v>
      </c>
      <c r="D162" t="s">
        <v>58</v>
      </c>
      <c r="E162" t="s">
        <v>497</v>
      </c>
      <c r="F162" t="s">
        <v>502</v>
      </c>
      <c r="G162">
        <v>50000</v>
      </c>
      <c r="H162" t="s">
        <v>187</v>
      </c>
      <c r="I162" t="s">
        <v>58</v>
      </c>
      <c r="J162" t="s">
        <v>58</v>
      </c>
      <c r="K162" t="s">
        <v>58</v>
      </c>
      <c r="L162" t="s">
        <v>58</v>
      </c>
      <c r="M162" t="s">
        <v>58</v>
      </c>
      <c r="N162" t="s">
        <v>61</v>
      </c>
      <c r="Q162" t="s">
        <v>58</v>
      </c>
      <c r="R162" s="11" t="str">
        <f>HYPERLINK("\\imagefiles.bcgov\imagery\scanned_maps\moe_terrain_maps\Scanned_T_maps_all\C03\C03-875","\\imagefiles.bcgov\imagery\scanned_maps\moe_terrain_maps\Scanned_T_maps_all\C03\C03-875")</f>
        <v>\\imagefiles.bcgov\imagery\scanned_maps\moe_terrain_maps\Scanned_T_maps_all\C03\C03-875</v>
      </c>
      <c r="S162" t="s">
        <v>62</v>
      </c>
      <c r="T162" s="11" t="str">
        <f>HYPERLINK("http://www.env.gov.bc.ca/esd/distdata/ecosystems/TEI_Scanned_Maps/C03/C03-875","http://www.env.gov.bc.ca/esd/distdata/ecosystems/TEI_Scanned_Maps/C03/C03-875")</f>
        <v>http://www.env.gov.bc.ca/esd/distdata/ecosystems/TEI_Scanned_Maps/C03/C03-875</v>
      </c>
      <c r="U162" t="s">
        <v>58</v>
      </c>
      <c r="V162" t="s">
        <v>58</v>
      </c>
      <c r="W162" t="s">
        <v>58</v>
      </c>
      <c r="X162" t="s">
        <v>58</v>
      </c>
      <c r="Y162" t="s">
        <v>58</v>
      </c>
      <c r="Z162" t="s">
        <v>58</v>
      </c>
      <c r="AA162" t="s">
        <v>58</v>
      </c>
      <c r="AC162" t="s">
        <v>58</v>
      </c>
      <c r="AE162" t="s">
        <v>58</v>
      </c>
      <c r="AG162" t="s">
        <v>63</v>
      </c>
      <c r="AH162" s="11" t="str">
        <f t="shared" si="4"/>
        <v>mailto: soilterrain@victoria1.gov.bc.ca</v>
      </c>
    </row>
    <row r="163" spans="1:34">
      <c r="A163" t="s">
        <v>511</v>
      </c>
      <c r="B163" t="s">
        <v>56</v>
      </c>
      <c r="C163" s="10" t="s">
        <v>119</v>
      </c>
      <c r="D163" t="s">
        <v>58</v>
      </c>
      <c r="E163" t="s">
        <v>497</v>
      </c>
      <c r="F163" t="s">
        <v>498</v>
      </c>
      <c r="G163">
        <v>50000</v>
      </c>
      <c r="H163">
        <v>1988</v>
      </c>
      <c r="I163" t="s">
        <v>58</v>
      </c>
      <c r="J163" t="s">
        <v>58</v>
      </c>
      <c r="K163" t="s">
        <v>58</v>
      </c>
      <c r="L163" t="s">
        <v>58</v>
      </c>
      <c r="M163" t="s">
        <v>58</v>
      </c>
      <c r="N163" t="s">
        <v>61</v>
      </c>
      <c r="Q163" t="s">
        <v>58</v>
      </c>
      <c r="R163" s="11" t="str">
        <f>HYPERLINK("\\imagefiles.bcgov\imagery\scanned_maps\moe_terrain_maps\Scanned_T_maps_all\C03\C03-880","\\imagefiles.bcgov\imagery\scanned_maps\moe_terrain_maps\Scanned_T_maps_all\C03\C03-880")</f>
        <v>\\imagefiles.bcgov\imagery\scanned_maps\moe_terrain_maps\Scanned_T_maps_all\C03\C03-880</v>
      </c>
      <c r="S163" t="s">
        <v>62</v>
      </c>
      <c r="T163" s="11" t="str">
        <f>HYPERLINK("http://www.env.gov.bc.ca/esd/distdata/ecosystems/TEI_Scanned_Maps/C03/C03-880","http://www.env.gov.bc.ca/esd/distdata/ecosystems/TEI_Scanned_Maps/C03/C03-880")</f>
        <v>http://www.env.gov.bc.ca/esd/distdata/ecosystems/TEI_Scanned_Maps/C03/C03-880</v>
      </c>
      <c r="U163" t="s">
        <v>58</v>
      </c>
      <c r="V163" t="s">
        <v>58</v>
      </c>
      <c r="W163" t="s">
        <v>58</v>
      </c>
      <c r="X163" t="s">
        <v>58</v>
      </c>
      <c r="Y163" t="s">
        <v>58</v>
      </c>
      <c r="Z163" t="s">
        <v>58</v>
      </c>
      <c r="AA163" t="s">
        <v>58</v>
      </c>
      <c r="AC163" t="s">
        <v>58</v>
      </c>
      <c r="AE163" t="s">
        <v>58</v>
      </c>
      <c r="AG163" t="s">
        <v>63</v>
      </c>
      <c r="AH163" s="11" t="str">
        <f t="shared" si="4"/>
        <v>mailto: soilterrain@victoria1.gov.bc.ca</v>
      </c>
    </row>
    <row r="164" spans="1:34">
      <c r="A164" t="s">
        <v>512</v>
      </c>
      <c r="B164" t="s">
        <v>56</v>
      </c>
      <c r="C164" s="10" t="s">
        <v>513</v>
      </c>
      <c r="D164" t="s">
        <v>61</v>
      </c>
      <c r="E164" t="s">
        <v>497</v>
      </c>
      <c r="F164" t="s">
        <v>514</v>
      </c>
      <c r="G164">
        <v>50000</v>
      </c>
      <c r="H164" t="s">
        <v>187</v>
      </c>
      <c r="I164" t="s">
        <v>58</v>
      </c>
      <c r="J164" t="s">
        <v>58</v>
      </c>
      <c r="K164" t="s">
        <v>58</v>
      </c>
      <c r="L164" t="s">
        <v>58</v>
      </c>
      <c r="M164" t="s">
        <v>58</v>
      </c>
      <c r="N164" t="s">
        <v>61</v>
      </c>
      <c r="Q164" t="s">
        <v>58</v>
      </c>
      <c r="R164" s="11" t="str">
        <f>HYPERLINK("\\imagefiles.bcgov\imagery\scanned_maps\moe_terrain_maps\Scanned_T_maps_all\C06\C06-17","\\imagefiles.bcgov\imagery\scanned_maps\moe_terrain_maps\Scanned_T_maps_all\C06\C06-17")</f>
        <v>\\imagefiles.bcgov\imagery\scanned_maps\moe_terrain_maps\Scanned_T_maps_all\C06\C06-17</v>
      </c>
      <c r="S164" t="s">
        <v>62</v>
      </c>
      <c r="T164" s="11" t="str">
        <f>HYPERLINK("http://www.env.gov.bc.ca/esd/distdata/ecosystems/TEI_Scanned_Maps/C06/C06-17","http://www.env.gov.bc.ca/esd/distdata/ecosystems/TEI_Scanned_Maps/C06/C06-17")</f>
        <v>http://www.env.gov.bc.ca/esd/distdata/ecosystems/TEI_Scanned_Maps/C06/C06-17</v>
      </c>
      <c r="U164" t="s">
        <v>58</v>
      </c>
      <c r="V164" t="s">
        <v>58</v>
      </c>
      <c r="W164" t="s">
        <v>58</v>
      </c>
      <c r="X164" t="s">
        <v>58</v>
      </c>
      <c r="Y164" t="s">
        <v>58</v>
      </c>
      <c r="Z164" t="s">
        <v>58</v>
      </c>
      <c r="AA164" t="s">
        <v>58</v>
      </c>
      <c r="AC164" t="s">
        <v>58</v>
      </c>
      <c r="AE164" t="s">
        <v>58</v>
      </c>
      <c r="AG164" t="s">
        <v>63</v>
      </c>
      <c r="AH164" s="11" t="str">
        <f t="shared" si="4"/>
        <v>mailto: soilterrain@victoria1.gov.bc.ca</v>
      </c>
    </row>
    <row r="165" spans="1:34">
      <c r="A165" t="s">
        <v>515</v>
      </c>
      <c r="B165" t="s">
        <v>56</v>
      </c>
      <c r="C165" s="10" t="s">
        <v>516</v>
      </c>
      <c r="D165" t="s">
        <v>58</v>
      </c>
      <c r="E165" t="s">
        <v>497</v>
      </c>
      <c r="F165" t="s">
        <v>517</v>
      </c>
      <c r="G165">
        <v>50000</v>
      </c>
      <c r="H165">
        <v>1980</v>
      </c>
      <c r="I165" t="s">
        <v>58</v>
      </c>
      <c r="J165" t="s">
        <v>58</v>
      </c>
      <c r="K165" t="s">
        <v>58</v>
      </c>
      <c r="L165" t="s">
        <v>58</v>
      </c>
      <c r="M165" t="s">
        <v>58</v>
      </c>
      <c r="N165" t="s">
        <v>61</v>
      </c>
      <c r="Q165" t="s">
        <v>58</v>
      </c>
      <c r="R165" s="11" t="str">
        <f>HYPERLINK("\\imagefiles.bcgov\imagery\scanned_maps\moe_terrain_maps\Scanned_T_maps_all\C06\C06-18","\\imagefiles.bcgov\imagery\scanned_maps\moe_terrain_maps\Scanned_T_maps_all\C06\C06-18")</f>
        <v>\\imagefiles.bcgov\imagery\scanned_maps\moe_terrain_maps\Scanned_T_maps_all\C06\C06-18</v>
      </c>
      <c r="S165" t="s">
        <v>62</v>
      </c>
      <c r="T165" s="11" t="str">
        <f>HYPERLINK("http://www.env.gov.bc.ca/esd/distdata/ecosystems/TEI_Scanned_Maps/C06/C06-18","http://www.env.gov.bc.ca/esd/distdata/ecosystems/TEI_Scanned_Maps/C06/C06-18")</f>
        <v>http://www.env.gov.bc.ca/esd/distdata/ecosystems/TEI_Scanned_Maps/C06/C06-18</v>
      </c>
      <c r="U165" t="s">
        <v>58</v>
      </c>
      <c r="V165" t="s">
        <v>58</v>
      </c>
      <c r="W165" t="s">
        <v>58</v>
      </c>
      <c r="X165" t="s">
        <v>58</v>
      </c>
      <c r="Y165" t="s">
        <v>58</v>
      </c>
      <c r="Z165" t="s">
        <v>58</v>
      </c>
      <c r="AA165" t="s">
        <v>58</v>
      </c>
      <c r="AC165" t="s">
        <v>58</v>
      </c>
      <c r="AE165" t="s">
        <v>58</v>
      </c>
      <c r="AG165" t="s">
        <v>63</v>
      </c>
      <c r="AH165" s="11" t="str">
        <f t="shared" si="4"/>
        <v>mailto: soilterrain@victoria1.gov.bc.ca</v>
      </c>
    </row>
    <row r="166" spans="1:34">
      <c r="A166" t="s">
        <v>518</v>
      </c>
      <c r="B166" t="s">
        <v>56</v>
      </c>
      <c r="C166" s="10" t="s">
        <v>519</v>
      </c>
      <c r="D166" t="s">
        <v>58</v>
      </c>
      <c r="E166" t="s">
        <v>497</v>
      </c>
      <c r="F166" t="s">
        <v>520</v>
      </c>
      <c r="G166">
        <v>50000</v>
      </c>
      <c r="H166">
        <v>1981</v>
      </c>
      <c r="I166" t="s">
        <v>58</v>
      </c>
      <c r="J166" t="s">
        <v>58</v>
      </c>
      <c r="K166" t="s">
        <v>58</v>
      </c>
      <c r="L166" t="s">
        <v>58</v>
      </c>
      <c r="M166" t="s">
        <v>58</v>
      </c>
      <c r="N166" t="s">
        <v>61</v>
      </c>
      <c r="Q166" t="s">
        <v>58</v>
      </c>
      <c r="R166" s="11" t="str">
        <f>HYPERLINK("\\imagefiles.bcgov\imagery\scanned_maps\moe_terrain_maps\Scanned_T_maps_all\C06\C06-20","\\imagefiles.bcgov\imagery\scanned_maps\moe_terrain_maps\Scanned_T_maps_all\C06\C06-20")</f>
        <v>\\imagefiles.bcgov\imagery\scanned_maps\moe_terrain_maps\Scanned_T_maps_all\C06\C06-20</v>
      </c>
      <c r="S166" t="s">
        <v>62</v>
      </c>
      <c r="T166" s="11" t="str">
        <f>HYPERLINK("http://www.env.gov.bc.ca/esd/distdata/ecosystems/TEI_Scanned_Maps/C06/C06-20","http://www.env.gov.bc.ca/esd/distdata/ecosystems/TEI_Scanned_Maps/C06/C06-20")</f>
        <v>http://www.env.gov.bc.ca/esd/distdata/ecosystems/TEI_Scanned_Maps/C06/C06-20</v>
      </c>
      <c r="U166" t="s">
        <v>58</v>
      </c>
      <c r="V166" t="s">
        <v>58</v>
      </c>
      <c r="W166" t="s">
        <v>58</v>
      </c>
      <c r="X166" t="s">
        <v>58</v>
      </c>
      <c r="Y166" t="s">
        <v>58</v>
      </c>
      <c r="Z166" t="s">
        <v>58</v>
      </c>
      <c r="AA166" t="s">
        <v>58</v>
      </c>
      <c r="AC166" t="s">
        <v>58</v>
      </c>
      <c r="AE166" t="s">
        <v>58</v>
      </c>
      <c r="AG166" t="s">
        <v>63</v>
      </c>
      <c r="AH166" s="11" t="str">
        <f t="shared" si="4"/>
        <v>mailto: soilterrain@victoria1.gov.bc.ca</v>
      </c>
    </row>
    <row r="167" spans="1:34">
      <c r="A167" t="s">
        <v>521</v>
      </c>
      <c r="B167" t="s">
        <v>56</v>
      </c>
      <c r="C167" s="10" t="s">
        <v>522</v>
      </c>
      <c r="D167" t="s">
        <v>58</v>
      </c>
      <c r="E167" t="s">
        <v>497</v>
      </c>
      <c r="F167" t="s">
        <v>523</v>
      </c>
      <c r="G167">
        <v>50000</v>
      </c>
      <c r="H167">
        <v>1969</v>
      </c>
      <c r="I167" t="s">
        <v>58</v>
      </c>
      <c r="J167" t="s">
        <v>58</v>
      </c>
      <c r="K167" t="s">
        <v>58</v>
      </c>
      <c r="L167" t="s">
        <v>58</v>
      </c>
      <c r="M167" t="s">
        <v>58</v>
      </c>
      <c r="N167" t="s">
        <v>61</v>
      </c>
      <c r="Q167" t="s">
        <v>58</v>
      </c>
      <c r="R167" s="11" t="str">
        <f>HYPERLINK("\\imagefiles.bcgov\imagery\scanned_maps\moe_terrain_maps\Scanned_T_maps_all\C06\C06-2779","\\imagefiles.bcgov\imagery\scanned_maps\moe_terrain_maps\Scanned_T_maps_all\C06\C06-2779")</f>
        <v>\\imagefiles.bcgov\imagery\scanned_maps\moe_terrain_maps\Scanned_T_maps_all\C06\C06-2779</v>
      </c>
      <c r="S167" t="s">
        <v>62</v>
      </c>
      <c r="T167" s="11" t="str">
        <f>HYPERLINK("http://www.env.gov.bc.ca/esd/distdata/ecosystems/TEI_Scanned_Maps/C06/C06-2779","http://www.env.gov.bc.ca/esd/distdata/ecosystems/TEI_Scanned_Maps/C06/C06-2779")</f>
        <v>http://www.env.gov.bc.ca/esd/distdata/ecosystems/TEI_Scanned_Maps/C06/C06-2779</v>
      </c>
      <c r="U167" t="s">
        <v>58</v>
      </c>
      <c r="V167" t="s">
        <v>58</v>
      </c>
      <c r="W167" t="s">
        <v>58</v>
      </c>
      <c r="X167" t="s">
        <v>58</v>
      </c>
      <c r="Y167" t="s">
        <v>58</v>
      </c>
      <c r="Z167" t="s">
        <v>58</v>
      </c>
      <c r="AA167" t="s">
        <v>58</v>
      </c>
      <c r="AC167" t="s">
        <v>58</v>
      </c>
      <c r="AE167" t="s">
        <v>58</v>
      </c>
      <c r="AG167" t="s">
        <v>63</v>
      </c>
      <c r="AH167" s="11" t="str">
        <f t="shared" si="4"/>
        <v>mailto: soilterrain@victoria1.gov.bc.ca</v>
      </c>
    </row>
    <row r="168" spans="1:34">
      <c r="A168" t="s">
        <v>524</v>
      </c>
      <c r="B168" t="s">
        <v>56</v>
      </c>
      <c r="C168" s="10" t="s">
        <v>525</v>
      </c>
      <c r="D168" t="s">
        <v>58</v>
      </c>
      <c r="E168" t="s">
        <v>497</v>
      </c>
      <c r="F168" t="s">
        <v>526</v>
      </c>
      <c r="G168">
        <v>50000</v>
      </c>
      <c r="H168">
        <v>1968</v>
      </c>
      <c r="I168" t="s">
        <v>58</v>
      </c>
      <c r="J168" t="s">
        <v>58</v>
      </c>
      <c r="K168" t="s">
        <v>58</v>
      </c>
      <c r="L168" t="s">
        <v>58</v>
      </c>
      <c r="M168" t="s">
        <v>58</v>
      </c>
      <c r="N168" t="s">
        <v>61</v>
      </c>
      <c r="Q168" t="s">
        <v>58</v>
      </c>
      <c r="R168" s="11" t="str">
        <f>HYPERLINK("\\imagefiles.bcgov\imagery\scanned_maps\moe_terrain_maps\Scanned_T_maps_all\C06\C06-2781","\\imagefiles.bcgov\imagery\scanned_maps\moe_terrain_maps\Scanned_T_maps_all\C06\C06-2781")</f>
        <v>\\imagefiles.bcgov\imagery\scanned_maps\moe_terrain_maps\Scanned_T_maps_all\C06\C06-2781</v>
      </c>
      <c r="S168" t="s">
        <v>62</v>
      </c>
      <c r="T168" s="11" t="str">
        <f>HYPERLINK("http://www.env.gov.bc.ca/esd/distdata/ecosystems/TEI_Scanned_Maps/C06/C06-2781","http://www.env.gov.bc.ca/esd/distdata/ecosystems/TEI_Scanned_Maps/C06/C06-2781")</f>
        <v>http://www.env.gov.bc.ca/esd/distdata/ecosystems/TEI_Scanned_Maps/C06/C06-2781</v>
      </c>
      <c r="U168" t="s">
        <v>58</v>
      </c>
      <c r="V168" t="s">
        <v>58</v>
      </c>
      <c r="W168" t="s">
        <v>58</v>
      </c>
      <c r="X168" t="s">
        <v>58</v>
      </c>
      <c r="Y168" t="s">
        <v>58</v>
      </c>
      <c r="Z168" t="s">
        <v>58</v>
      </c>
      <c r="AA168" t="s">
        <v>58</v>
      </c>
      <c r="AC168" t="s">
        <v>58</v>
      </c>
      <c r="AE168" t="s">
        <v>58</v>
      </c>
      <c r="AG168" t="s">
        <v>63</v>
      </c>
      <c r="AH168" s="11" t="str">
        <f t="shared" si="4"/>
        <v>mailto: soilterrain@victoria1.gov.bc.ca</v>
      </c>
    </row>
    <row r="169" spans="1:34">
      <c r="A169" t="s">
        <v>527</v>
      </c>
      <c r="B169" t="s">
        <v>56</v>
      </c>
      <c r="C169" s="10" t="s">
        <v>528</v>
      </c>
      <c r="D169" t="s">
        <v>58</v>
      </c>
      <c r="E169" t="s">
        <v>497</v>
      </c>
      <c r="F169" t="s">
        <v>529</v>
      </c>
      <c r="G169">
        <v>50000</v>
      </c>
      <c r="H169">
        <v>1978</v>
      </c>
      <c r="I169" t="s">
        <v>58</v>
      </c>
      <c r="J169" t="s">
        <v>58</v>
      </c>
      <c r="K169" t="s">
        <v>58</v>
      </c>
      <c r="L169" t="s">
        <v>58</v>
      </c>
      <c r="M169" t="s">
        <v>58</v>
      </c>
      <c r="N169" t="s">
        <v>61</v>
      </c>
      <c r="Q169" t="s">
        <v>58</v>
      </c>
      <c r="R169" s="11" t="str">
        <f>HYPERLINK("\\imagefiles.bcgov\imagery\scanned_maps\moe_terrain_maps\Scanned_T_maps_all\C06\C06-2783","\\imagefiles.bcgov\imagery\scanned_maps\moe_terrain_maps\Scanned_T_maps_all\C06\C06-2783")</f>
        <v>\\imagefiles.bcgov\imagery\scanned_maps\moe_terrain_maps\Scanned_T_maps_all\C06\C06-2783</v>
      </c>
      <c r="S169" t="s">
        <v>62</v>
      </c>
      <c r="T169" s="11" t="str">
        <f>HYPERLINK("http://www.env.gov.bc.ca/esd/distdata/ecosystems/TEI_Scanned_Maps/C06/C06-2783","http://www.env.gov.bc.ca/esd/distdata/ecosystems/TEI_Scanned_Maps/C06/C06-2783")</f>
        <v>http://www.env.gov.bc.ca/esd/distdata/ecosystems/TEI_Scanned_Maps/C06/C06-2783</v>
      </c>
      <c r="U169" t="s">
        <v>58</v>
      </c>
      <c r="V169" t="s">
        <v>58</v>
      </c>
      <c r="W169" t="s">
        <v>58</v>
      </c>
      <c r="X169" t="s">
        <v>58</v>
      </c>
      <c r="Y169" t="s">
        <v>58</v>
      </c>
      <c r="Z169" t="s">
        <v>58</v>
      </c>
      <c r="AA169" t="s">
        <v>58</v>
      </c>
      <c r="AC169" t="s">
        <v>58</v>
      </c>
      <c r="AE169" t="s">
        <v>58</v>
      </c>
      <c r="AG169" t="s">
        <v>63</v>
      </c>
      <c r="AH169" s="11" t="str">
        <f t="shared" si="4"/>
        <v>mailto: soilterrain@victoria1.gov.bc.ca</v>
      </c>
    </row>
    <row r="170" spans="1:34">
      <c r="A170" t="s">
        <v>530</v>
      </c>
      <c r="B170" t="s">
        <v>56</v>
      </c>
      <c r="C170" s="10" t="s">
        <v>531</v>
      </c>
      <c r="D170" t="s">
        <v>58</v>
      </c>
      <c r="E170" t="s">
        <v>497</v>
      </c>
      <c r="F170" t="s">
        <v>532</v>
      </c>
      <c r="G170">
        <v>50000</v>
      </c>
      <c r="H170">
        <v>1968</v>
      </c>
      <c r="I170" t="s">
        <v>58</v>
      </c>
      <c r="J170" t="s">
        <v>58</v>
      </c>
      <c r="K170" t="s">
        <v>58</v>
      </c>
      <c r="L170" t="s">
        <v>58</v>
      </c>
      <c r="M170" t="s">
        <v>58</v>
      </c>
      <c r="N170" t="s">
        <v>61</v>
      </c>
      <c r="Q170" t="s">
        <v>58</v>
      </c>
      <c r="R170" s="11" t="str">
        <f>HYPERLINK("\\imagefiles.bcgov\imagery\scanned_maps\moe_terrain_maps\Scanned_T_maps_all\C06\C06-2785","\\imagefiles.bcgov\imagery\scanned_maps\moe_terrain_maps\Scanned_T_maps_all\C06\C06-2785")</f>
        <v>\\imagefiles.bcgov\imagery\scanned_maps\moe_terrain_maps\Scanned_T_maps_all\C06\C06-2785</v>
      </c>
      <c r="S170" t="s">
        <v>62</v>
      </c>
      <c r="T170" s="11" t="str">
        <f>HYPERLINK("http://www.env.gov.bc.ca/esd/distdata/ecosystems/TEI_Scanned_Maps/C06/C06-2785","http://www.env.gov.bc.ca/esd/distdata/ecosystems/TEI_Scanned_Maps/C06/C06-2785")</f>
        <v>http://www.env.gov.bc.ca/esd/distdata/ecosystems/TEI_Scanned_Maps/C06/C06-2785</v>
      </c>
      <c r="U170" t="s">
        <v>58</v>
      </c>
      <c r="V170" t="s">
        <v>58</v>
      </c>
      <c r="W170" t="s">
        <v>58</v>
      </c>
      <c r="X170" t="s">
        <v>58</v>
      </c>
      <c r="Y170" t="s">
        <v>58</v>
      </c>
      <c r="Z170" t="s">
        <v>58</v>
      </c>
      <c r="AA170" t="s">
        <v>58</v>
      </c>
      <c r="AC170" t="s">
        <v>58</v>
      </c>
      <c r="AE170" t="s">
        <v>58</v>
      </c>
      <c r="AG170" t="s">
        <v>63</v>
      </c>
      <c r="AH170" s="11" t="str">
        <f t="shared" si="4"/>
        <v>mailto: soilterrain@victoria1.gov.bc.ca</v>
      </c>
    </row>
    <row r="171" spans="1:34">
      <c r="A171" t="s">
        <v>533</v>
      </c>
      <c r="B171" t="s">
        <v>56</v>
      </c>
      <c r="C171" s="10" t="s">
        <v>477</v>
      </c>
      <c r="D171" t="s">
        <v>61</v>
      </c>
      <c r="E171" t="s">
        <v>478</v>
      </c>
      <c r="F171" t="s">
        <v>534</v>
      </c>
      <c r="G171">
        <v>20000</v>
      </c>
      <c r="H171" t="s">
        <v>187</v>
      </c>
      <c r="I171" t="s">
        <v>58</v>
      </c>
      <c r="J171" t="s">
        <v>61</v>
      </c>
      <c r="K171" t="s">
        <v>58</v>
      </c>
      <c r="L171" t="s">
        <v>58</v>
      </c>
      <c r="M171" t="s">
        <v>58</v>
      </c>
      <c r="O171" t="s">
        <v>61</v>
      </c>
      <c r="Q171" t="s">
        <v>132</v>
      </c>
      <c r="R171" s="11" t="str">
        <f>HYPERLINK("\\imagefiles.bcgov\imagery\scanned_maps\moe_terrain_maps\Scanned_T_maps_all\B01\B01-4867","\\imagefiles.bcgov\imagery\scanned_maps\moe_terrain_maps\Scanned_T_maps_all\B01\B01-4867")</f>
        <v>\\imagefiles.bcgov\imagery\scanned_maps\moe_terrain_maps\Scanned_T_maps_all\B01\B01-4867</v>
      </c>
      <c r="S171" t="s">
        <v>62</v>
      </c>
      <c r="T171" s="11" t="str">
        <f>HYPERLINK("http://www.env.gov.bc.ca/esd/distdata/ecosystems/TEI_Scanned_Maps/B01/B01-4867","http://www.env.gov.bc.ca/esd/distdata/ecosystems/TEI_Scanned_Maps/B01/B01-4867")</f>
        <v>http://www.env.gov.bc.ca/esd/distdata/ecosystems/TEI_Scanned_Maps/B01/B01-4867</v>
      </c>
      <c r="U171" t="s">
        <v>58</v>
      </c>
      <c r="V171" t="s">
        <v>58</v>
      </c>
      <c r="W171" t="s">
        <v>58</v>
      </c>
      <c r="X171" t="s">
        <v>58</v>
      </c>
      <c r="Y171" t="s">
        <v>58</v>
      </c>
      <c r="Z171" t="s">
        <v>58</v>
      </c>
      <c r="AA171" t="s">
        <v>58</v>
      </c>
      <c r="AC171" t="s">
        <v>58</v>
      </c>
      <c r="AE171" t="s">
        <v>58</v>
      </c>
      <c r="AG171" t="s">
        <v>63</v>
      </c>
      <c r="AH171" s="11" t="str">
        <f t="shared" si="4"/>
        <v>mailto: soilterrain@victoria1.gov.bc.ca</v>
      </c>
    </row>
    <row r="172" spans="1:34">
      <c r="A172" t="s">
        <v>535</v>
      </c>
      <c r="B172" t="s">
        <v>56</v>
      </c>
      <c r="C172" s="10" t="s">
        <v>57</v>
      </c>
      <c r="D172" t="s">
        <v>58</v>
      </c>
      <c r="E172" t="s">
        <v>59</v>
      </c>
      <c r="F172" t="s">
        <v>536</v>
      </c>
      <c r="G172">
        <v>1000000</v>
      </c>
      <c r="H172">
        <v>1984</v>
      </c>
      <c r="I172" t="s">
        <v>58</v>
      </c>
      <c r="J172" t="s">
        <v>58</v>
      </c>
      <c r="K172" t="s">
        <v>58</v>
      </c>
      <c r="L172" t="s">
        <v>58</v>
      </c>
      <c r="M172" t="s">
        <v>58</v>
      </c>
      <c r="P172" t="s">
        <v>61</v>
      </c>
      <c r="Q172" t="s">
        <v>58</v>
      </c>
      <c r="R172" s="11" t="str">
        <f>HYPERLINK("\\imagefiles.bcgov\imagery\scanned_maps\moe_terrain_maps\Scanned_T_maps_all\B01\B01-4899","\\imagefiles.bcgov\imagery\scanned_maps\moe_terrain_maps\Scanned_T_maps_all\B01\B01-4899")</f>
        <v>\\imagefiles.bcgov\imagery\scanned_maps\moe_terrain_maps\Scanned_T_maps_all\B01\B01-4899</v>
      </c>
      <c r="S172" t="s">
        <v>62</v>
      </c>
      <c r="T172" s="11" t="str">
        <f>HYPERLINK("http://www.env.gov.bc.ca/esd/distdata/ecosystems/TEI_Scanned_Maps/B01/B01-4899","http://www.env.gov.bc.ca/esd/distdata/ecosystems/TEI_Scanned_Maps/B01/B01-4899")</f>
        <v>http://www.env.gov.bc.ca/esd/distdata/ecosystems/TEI_Scanned_Maps/B01/B01-4899</v>
      </c>
      <c r="U172" t="s">
        <v>58</v>
      </c>
      <c r="V172" t="s">
        <v>58</v>
      </c>
      <c r="W172" t="s">
        <v>58</v>
      </c>
      <c r="X172" t="s">
        <v>58</v>
      </c>
      <c r="Y172" t="s">
        <v>58</v>
      </c>
      <c r="Z172" t="s">
        <v>58</v>
      </c>
      <c r="AA172" t="s">
        <v>58</v>
      </c>
      <c r="AC172" t="s">
        <v>58</v>
      </c>
      <c r="AE172" t="s">
        <v>58</v>
      </c>
      <c r="AG172" t="s">
        <v>63</v>
      </c>
      <c r="AH172" s="11" t="str">
        <f t="shared" si="4"/>
        <v>mailto: soilterrain@victoria1.gov.bc.ca</v>
      </c>
    </row>
    <row r="173" spans="1:34">
      <c r="A173" t="s">
        <v>537</v>
      </c>
      <c r="B173" t="s">
        <v>56</v>
      </c>
      <c r="C173" s="10" t="s">
        <v>65</v>
      </c>
      <c r="D173" t="s">
        <v>58</v>
      </c>
      <c r="E173" t="s">
        <v>59</v>
      </c>
      <c r="F173" t="s">
        <v>538</v>
      </c>
      <c r="G173">
        <v>1000000</v>
      </c>
      <c r="H173">
        <v>1982</v>
      </c>
      <c r="I173" t="s">
        <v>58</v>
      </c>
      <c r="J173" t="s">
        <v>58</v>
      </c>
      <c r="K173" t="s">
        <v>58</v>
      </c>
      <c r="L173" t="s">
        <v>58</v>
      </c>
      <c r="M173" t="s">
        <v>58</v>
      </c>
      <c r="P173" t="s">
        <v>61</v>
      </c>
      <c r="Q173" t="s">
        <v>58</v>
      </c>
      <c r="R173" s="11" t="str">
        <f>HYPERLINK("\\imagefiles.bcgov\imagery\scanned_maps\moe_terrain_maps\Scanned_T_maps_all\B01\B01-4900","\\imagefiles.bcgov\imagery\scanned_maps\moe_terrain_maps\Scanned_T_maps_all\B01\B01-4900")</f>
        <v>\\imagefiles.bcgov\imagery\scanned_maps\moe_terrain_maps\Scanned_T_maps_all\B01\B01-4900</v>
      </c>
      <c r="S173" t="s">
        <v>62</v>
      </c>
      <c r="T173" s="11" t="str">
        <f>HYPERLINK("http://www.env.gov.bc.ca/esd/distdata/ecosystems/TEI_Scanned_Maps/B01/B01-4900","http://www.env.gov.bc.ca/esd/distdata/ecosystems/TEI_Scanned_Maps/B01/B01-4900")</f>
        <v>http://www.env.gov.bc.ca/esd/distdata/ecosystems/TEI_Scanned_Maps/B01/B01-4900</v>
      </c>
      <c r="U173" t="s">
        <v>58</v>
      </c>
      <c r="V173" t="s">
        <v>58</v>
      </c>
      <c r="W173" t="s">
        <v>58</v>
      </c>
      <c r="X173" t="s">
        <v>58</v>
      </c>
      <c r="Y173" t="s">
        <v>58</v>
      </c>
      <c r="Z173" t="s">
        <v>58</v>
      </c>
      <c r="AA173" t="s">
        <v>58</v>
      </c>
      <c r="AC173" t="s">
        <v>58</v>
      </c>
      <c r="AE173" t="s">
        <v>58</v>
      </c>
      <c r="AG173" t="s">
        <v>63</v>
      </c>
      <c r="AH173" s="11" t="str">
        <f t="shared" si="4"/>
        <v>mailto: soilterrain@victoria1.gov.bc.ca</v>
      </c>
    </row>
    <row r="174" spans="1:34">
      <c r="A174" t="s">
        <v>539</v>
      </c>
      <c r="B174" t="s">
        <v>56</v>
      </c>
      <c r="C174" s="10" t="s">
        <v>540</v>
      </c>
      <c r="D174" t="s">
        <v>58</v>
      </c>
      <c r="E174" t="s">
        <v>59</v>
      </c>
      <c r="F174" t="s">
        <v>541</v>
      </c>
      <c r="G174">
        <v>16000</v>
      </c>
      <c r="H174">
        <v>1976</v>
      </c>
      <c r="I174" t="s">
        <v>58</v>
      </c>
      <c r="J174" t="s">
        <v>58</v>
      </c>
      <c r="K174" t="s">
        <v>61</v>
      </c>
      <c r="L174" t="s">
        <v>58</v>
      </c>
      <c r="M174" t="s">
        <v>58</v>
      </c>
      <c r="Q174" t="s">
        <v>132</v>
      </c>
      <c r="R174" s="11" t="str">
        <f>HYPERLINK("\\imagefiles.bcgov\imagery\scanned_maps\moe_terrain_maps\Scanned_T_maps_all\B01\B01-4966","\\imagefiles.bcgov\imagery\scanned_maps\moe_terrain_maps\Scanned_T_maps_all\B01\B01-4966")</f>
        <v>\\imagefiles.bcgov\imagery\scanned_maps\moe_terrain_maps\Scanned_T_maps_all\B01\B01-4966</v>
      </c>
      <c r="S174" t="s">
        <v>62</v>
      </c>
      <c r="T174" s="11" t="str">
        <f>HYPERLINK("http://www.env.gov.bc.ca/esd/distdata/ecosystems/TEI_Scanned_Maps/B01/B01-4966","http://www.env.gov.bc.ca/esd/distdata/ecosystems/TEI_Scanned_Maps/B01/B01-4966")</f>
        <v>http://www.env.gov.bc.ca/esd/distdata/ecosystems/TEI_Scanned_Maps/B01/B01-4966</v>
      </c>
      <c r="U174" t="s">
        <v>58</v>
      </c>
      <c r="V174" t="s">
        <v>58</v>
      </c>
      <c r="W174" t="s">
        <v>58</v>
      </c>
      <c r="X174" t="s">
        <v>58</v>
      </c>
      <c r="Y174" t="s">
        <v>58</v>
      </c>
      <c r="Z174" t="s">
        <v>58</v>
      </c>
      <c r="AA174" t="s">
        <v>58</v>
      </c>
      <c r="AC174" t="s">
        <v>58</v>
      </c>
      <c r="AE174" t="s">
        <v>58</v>
      </c>
      <c r="AG174" t="s">
        <v>63</v>
      </c>
      <c r="AH174" s="11" t="str">
        <f t="shared" si="4"/>
        <v>mailto: soilterrain@victoria1.gov.bc.ca</v>
      </c>
    </row>
    <row r="175" spans="1:34">
      <c r="A175" t="s">
        <v>542</v>
      </c>
      <c r="B175" t="s">
        <v>56</v>
      </c>
      <c r="C175" s="10" t="s">
        <v>543</v>
      </c>
      <c r="D175" t="s">
        <v>58</v>
      </c>
      <c r="E175" t="s">
        <v>59</v>
      </c>
      <c r="F175" t="s">
        <v>544</v>
      </c>
      <c r="G175">
        <v>16000</v>
      </c>
      <c r="H175">
        <v>1976</v>
      </c>
      <c r="I175" t="s">
        <v>58</v>
      </c>
      <c r="J175" t="s">
        <v>58</v>
      </c>
      <c r="K175" t="s">
        <v>61</v>
      </c>
      <c r="L175" t="s">
        <v>58</v>
      </c>
      <c r="M175" t="s">
        <v>58</v>
      </c>
      <c r="Q175" t="s">
        <v>132</v>
      </c>
      <c r="R175" s="11" t="str">
        <f>HYPERLINK("\\imagefiles.bcgov\imagery\scanned_maps\moe_terrain_maps\Scanned_T_maps_all\B01\B01-4967","\\imagefiles.bcgov\imagery\scanned_maps\moe_terrain_maps\Scanned_T_maps_all\B01\B01-4967")</f>
        <v>\\imagefiles.bcgov\imagery\scanned_maps\moe_terrain_maps\Scanned_T_maps_all\B01\B01-4967</v>
      </c>
      <c r="S175" t="s">
        <v>62</v>
      </c>
      <c r="T175" s="11" t="str">
        <f>HYPERLINK("http://www.env.gov.bc.ca/esd/distdata/ecosystems/TEI_Scanned_Maps/B01/B01-4967","http://www.env.gov.bc.ca/esd/distdata/ecosystems/TEI_Scanned_Maps/B01/B01-4967")</f>
        <v>http://www.env.gov.bc.ca/esd/distdata/ecosystems/TEI_Scanned_Maps/B01/B01-4967</v>
      </c>
      <c r="U175" t="s">
        <v>58</v>
      </c>
      <c r="V175" t="s">
        <v>58</v>
      </c>
      <c r="W175" t="s">
        <v>58</v>
      </c>
      <c r="X175" t="s">
        <v>58</v>
      </c>
      <c r="Y175" t="s">
        <v>58</v>
      </c>
      <c r="Z175" t="s">
        <v>58</v>
      </c>
      <c r="AA175" t="s">
        <v>58</v>
      </c>
      <c r="AC175" t="s">
        <v>58</v>
      </c>
      <c r="AE175" t="s">
        <v>58</v>
      </c>
      <c r="AG175" t="s">
        <v>63</v>
      </c>
      <c r="AH175" s="11" t="str">
        <f t="shared" si="4"/>
        <v>mailto: soilterrain@victoria1.gov.bc.ca</v>
      </c>
    </row>
    <row r="176" spans="1:34">
      <c r="A176" t="s">
        <v>545</v>
      </c>
      <c r="B176" t="s">
        <v>56</v>
      </c>
      <c r="C176" s="10" t="s">
        <v>540</v>
      </c>
      <c r="D176" t="s">
        <v>58</v>
      </c>
      <c r="E176" t="s">
        <v>59</v>
      </c>
      <c r="F176" t="s">
        <v>546</v>
      </c>
      <c r="G176">
        <v>16000</v>
      </c>
      <c r="H176">
        <v>1976</v>
      </c>
      <c r="I176" t="s">
        <v>58</v>
      </c>
      <c r="J176" t="s">
        <v>58</v>
      </c>
      <c r="K176" t="s">
        <v>61</v>
      </c>
      <c r="L176" t="s">
        <v>58</v>
      </c>
      <c r="M176" t="s">
        <v>58</v>
      </c>
      <c r="Q176" t="s">
        <v>132</v>
      </c>
      <c r="R176" s="11" t="str">
        <f>HYPERLINK("\\imagefiles.bcgov\imagery\scanned_maps\moe_terrain_maps\Scanned_T_maps_all\B01\B01-4968","\\imagefiles.bcgov\imagery\scanned_maps\moe_terrain_maps\Scanned_T_maps_all\B01\B01-4968")</f>
        <v>\\imagefiles.bcgov\imagery\scanned_maps\moe_terrain_maps\Scanned_T_maps_all\B01\B01-4968</v>
      </c>
      <c r="S176" t="s">
        <v>62</v>
      </c>
      <c r="T176" s="11" t="str">
        <f>HYPERLINK("http://www.env.gov.bc.ca/esd/distdata/ecosystems/TEI_Scanned_Maps/B01/B01-4968","http://www.env.gov.bc.ca/esd/distdata/ecosystems/TEI_Scanned_Maps/B01/B01-4968")</f>
        <v>http://www.env.gov.bc.ca/esd/distdata/ecosystems/TEI_Scanned_Maps/B01/B01-4968</v>
      </c>
      <c r="U176" t="s">
        <v>58</v>
      </c>
      <c r="V176" t="s">
        <v>58</v>
      </c>
      <c r="W176" t="s">
        <v>58</v>
      </c>
      <c r="X176" t="s">
        <v>58</v>
      </c>
      <c r="Y176" t="s">
        <v>58</v>
      </c>
      <c r="Z176" t="s">
        <v>58</v>
      </c>
      <c r="AA176" t="s">
        <v>58</v>
      </c>
      <c r="AC176" t="s">
        <v>58</v>
      </c>
      <c r="AE176" t="s">
        <v>58</v>
      </c>
      <c r="AG176" t="s">
        <v>63</v>
      </c>
      <c r="AH176" s="11" t="str">
        <f t="shared" si="4"/>
        <v>mailto: soilterrain@victoria1.gov.bc.ca</v>
      </c>
    </row>
    <row r="177" spans="1:34">
      <c r="A177" t="s">
        <v>547</v>
      </c>
      <c r="B177" t="s">
        <v>56</v>
      </c>
      <c r="C177" s="10" t="s">
        <v>543</v>
      </c>
      <c r="D177" t="s">
        <v>58</v>
      </c>
      <c r="E177" t="s">
        <v>59</v>
      </c>
      <c r="F177" t="s">
        <v>548</v>
      </c>
      <c r="G177">
        <v>16000</v>
      </c>
      <c r="H177">
        <v>1976</v>
      </c>
      <c r="I177" t="s">
        <v>58</v>
      </c>
      <c r="J177" t="s">
        <v>58</v>
      </c>
      <c r="K177" t="s">
        <v>61</v>
      </c>
      <c r="L177" t="s">
        <v>58</v>
      </c>
      <c r="M177" t="s">
        <v>58</v>
      </c>
      <c r="Q177" t="s">
        <v>132</v>
      </c>
      <c r="R177" s="11" t="str">
        <f>HYPERLINK("\\imagefiles.bcgov\imagery\scanned_maps\moe_terrain_maps\Scanned_T_maps_all\B01\B01-4969","\\imagefiles.bcgov\imagery\scanned_maps\moe_terrain_maps\Scanned_T_maps_all\B01\B01-4969")</f>
        <v>\\imagefiles.bcgov\imagery\scanned_maps\moe_terrain_maps\Scanned_T_maps_all\B01\B01-4969</v>
      </c>
      <c r="S177" t="s">
        <v>62</v>
      </c>
      <c r="T177" s="11" t="str">
        <f>HYPERLINK("http://www.env.gov.bc.ca/esd/distdata/ecosystems/TEI_Scanned_Maps/B01/B01-4969","http://www.env.gov.bc.ca/esd/distdata/ecosystems/TEI_Scanned_Maps/B01/B01-4969")</f>
        <v>http://www.env.gov.bc.ca/esd/distdata/ecosystems/TEI_Scanned_Maps/B01/B01-4969</v>
      </c>
      <c r="U177" t="s">
        <v>58</v>
      </c>
      <c r="V177" t="s">
        <v>58</v>
      </c>
      <c r="W177" t="s">
        <v>58</v>
      </c>
      <c r="X177" t="s">
        <v>58</v>
      </c>
      <c r="Y177" t="s">
        <v>58</v>
      </c>
      <c r="Z177" t="s">
        <v>58</v>
      </c>
      <c r="AA177" t="s">
        <v>58</v>
      </c>
      <c r="AC177" t="s">
        <v>58</v>
      </c>
      <c r="AE177" t="s">
        <v>58</v>
      </c>
      <c r="AG177" t="s">
        <v>63</v>
      </c>
      <c r="AH177" s="11" t="str">
        <f t="shared" si="4"/>
        <v>mailto: soilterrain@victoria1.gov.bc.ca</v>
      </c>
    </row>
    <row r="178" spans="1:34">
      <c r="A178" t="s">
        <v>549</v>
      </c>
      <c r="B178" t="s">
        <v>56</v>
      </c>
      <c r="C178" s="10" t="s">
        <v>550</v>
      </c>
      <c r="D178" t="s">
        <v>58</v>
      </c>
      <c r="E178" t="s">
        <v>59</v>
      </c>
      <c r="F178" t="s">
        <v>551</v>
      </c>
      <c r="G178">
        <v>16000</v>
      </c>
      <c r="H178">
        <v>1976</v>
      </c>
      <c r="I178" t="s">
        <v>58</v>
      </c>
      <c r="J178" t="s">
        <v>58</v>
      </c>
      <c r="K178" t="s">
        <v>61</v>
      </c>
      <c r="L178" t="s">
        <v>58</v>
      </c>
      <c r="M178" t="s">
        <v>58</v>
      </c>
      <c r="Q178" t="s">
        <v>132</v>
      </c>
      <c r="R178" s="11" t="str">
        <f>HYPERLINK("\\imagefiles.bcgov\imagery\scanned_maps\moe_terrain_maps\Scanned_T_maps_all\B01\B01-4970","\\imagefiles.bcgov\imagery\scanned_maps\moe_terrain_maps\Scanned_T_maps_all\B01\B01-4970")</f>
        <v>\\imagefiles.bcgov\imagery\scanned_maps\moe_terrain_maps\Scanned_T_maps_all\B01\B01-4970</v>
      </c>
      <c r="S178" t="s">
        <v>62</v>
      </c>
      <c r="T178" s="11" t="str">
        <f>HYPERLINK("http://www.env.gov.bc.ca/esd/distdata/ecosystems/TEI_Scanned_Maps/B01/B01-4970","http://www.env.gov.bc.ca/esd/distdata/ecosystems/TEI_Scanned_Maps/B01/B01-4970")</f>
        <v>http://www.env.gov.bc.ca/esd/distdata/ecosystems/TEI_Scanned_Maps/B01/B01-4970</v>
      </c>
      <c r="U178" t="s">
        <v>58</v>
      </c>
      <c r="V178" t="s">
        <v>58</v>
      </c>
      <c r="W178" t="s">
        <v>58</v>
      </c>
      <c r="X178" t="s">
        <v>58</v>
      </c>
      <c r="Y178" t="s">
        <v>58</v>
      </c>
      <c r="Z178" t="s">
        <v>58</v>
      </c>
      <c r="AA178" t="s">
        <v>58</v>
      </c>
      <c r="AC178" t="s">
        <v>58</v>
      </c>
      <c r="AE178" t="s">
        <v>58</v>
      </c>
      <c r="AG178" t="s">
        <v>63</v>
      </c>
      <c r="AH178" s="11" t="str">
        <f t="shared" si="4"/>
        <v>mailto: soilterrain@victoria1.gov.bc.ca</v>
      </c>
    </row>
    <row r="179" spans="1:34">
      <c r="A179" t="s">
        <v>552</v>
      </c>
      <c r="B179" t="s">
        <v>56</v>
      </c>
      <c r="C179" s="10" t="s">
        <v>553</v>
      </c>
      <c r="D179" t="s">
        <v>58</v>
      </c>
      <c r="E179" t="s">
        <v>59</v>
      </c>
      <c r="F179" t="s">
        <v>554</v>
      </c>
      <c r="G179">
        <v>15840</v>
      </c>
      <c r="H179" t="s">
        <v>555</v>
      </c>
      <c r="I179" t="s">
        <v>58</v>
      </c>
      <c r="J179" t="s">
        <v>58</v>
      </c>
      <c r="K179" t="s">
        <v>61</v>
      </c>
      <c r="L179" t="s">
        <v>58</v>
      </c>
      <c r="M179" t="s">
        <v>58</v>
      </c>
      <c r="Q179" t="s">
        <v>58</v>
      </c>
      <c r="R179" s="11" t="str">
        <f>HYPERLINK("\\imagefiles.bcgov\imagery\scanned_maps\moe_terrain_maps\Scanned_T_maps_all\B01\B01-4971","\\imagefiles.bcgov\imagery\scanned_maps\moe_terrain_maps\Scanned_T_maps_all\B01\B01-4971")</f>
        <v>\\imagefiles.bcgov\imagery\scanned_maps\moe_terrain_maps\Scanned_T_maps_all\B01\B01-4971</v>
      </c>
      <c r="S179" t="s">
        <v>62</v>
      </c>
      <c r="T179" s="11" t="str">
        <f>HYPERLINK("http://www.env.gov.bc.ca/esd/distdata/ecosystems/TEI_Scanned_Maps/B01/B01-4971","http://www.env.gov.bc.ca/esd/distdata/ecosystems/TEI_Scanned_Maps/B01/B01-4971")</f>
        <v>http://www.env.gov.bc.ca/esd/distdata/ecosystems/TEI_Scanned_Maps/B01/B01-4971</v>
      </c>
      <c r="U179" t="s">
        <v>58</v>
      </c>
      <c r="V179" t="s">
        <v>58</v>
      </c>
      <c r="W179" t="s">
        <v>58</v>
      </c>
      <c r="X179" t="s">
        <v>58</v>
      </c>
      <c r="Y179" t="s">
        <v>58</v>
      </c>
      <c r="Z179" t="s">
        <v>58</v>
      </c>
      <c r="AA179" t="s">
        <v>58</v>
      </c>
      <c r="AC179" t="s">
        <v>58</v>
      </c>
      <c r="AE179" t="s">
        <v>58</v>
      </c>
      <c r="AG179" t="s">
        <v>63</v>
      </c>
      <c r="AH179" s="11" t="str">
        <f t="shared" si="4"/>
        <v>mailto: soilterrain@victoria1.gov.bc.ca</v>
      </c>
    </row>
    <row r="180" spans="1:34">
      <c r="A180" t="s">
        <v>556</v>
      </c>
      <c r="B180" t="s">
        <v>56</v>
      </c>
      <c r="C180" s="10" t="s">
        <v>192</v>
      </c>
      <c r="D180" t="s">
        <v>58</v>
      </c>
      <c r="E180" t="s">
        <v>557</v>
      </c>
      <c r="F180" t="s">
        <v>558</v>
      </c>
      <c r="G180">
        <v>20000</v>
      </c>
      <c r="H180">
        <v>1985</v>
      </c>
      <c r="I180" t="s">
        <v>58</v>
      </c>
      <c r="J180" t="s">
        <v>61</v>
      </c>
      <c r="K180" t="s">
        <v>58</v>
      </c>
      <c r="L180" t="s">
        <v>58</v>
      </c>
      <c r="M180" t="s">
        <v>58</v>
      </c>
      <c r="P180" t="s">
        <v>61</v>
      </c>
      <c r="Q180" t="s">
        <v>559</v>
      </c>
      <c r="R180" s="11" t="str">
        <f>HYPERLINK("\\imagefiles.bcgov\imagery\scanned_maps\moe_terrain_maps\Scanned_T_maps_all\B01\B01-4972","\\imagefiles.bcgov\imagery\scanned_maps\moe_terrain_maps\Scanned_T_maps_all\B01\B01-4972")</f>
        <v>\\imagefiles.bcgov\imagery\scanned_maps\moe_terrain_maps\Scanned_T_maps_all\B01\B01-4972</v>
      </c>
      <c r="S180" t="s">
        <v>62</v>
      </c>
      <c r="T180" s="11" t="str">
        <f>HYPERLINK("http://www.env.gov.bc.ca/esd/distdata/ecosystems/TEI_Scanned_Maps/B01/B01-4972","http://www.env.gov.bc.ca/esd/distdata/ecosystems/TEI_Scanned_Maps/B01/B01-4972")</f>
        <v>http://www.env.gov.bc.ca/esd/distdata/ecosystems/TEI_Scanned_Maps/B01/B01-4972</v>
      </c>
      <c r="U180" t="s">
        <v>58</v>
      </c>
      <c r="V180" t="s">
        <v>58</v>
      </c>
      <c r="W180" t="s">
        <v>58</v>
      </c>
      <c r="X180" t="s">
        <v>58</v>
      </c>
      <c r="Y180" t="s">
        <v>58</v>
      </c>
      <c r="Z180" t="s">
        <v>58</v>
      </c>
      <c r="AA180" t="s">
        <v>58</v>
      </c>
      <c r="AC180" t="s">
        <v>58</v>
      </c>
      <c r="AE180" t="s">
        <v>58</v>
      </c>
      <c r="AG180" t="s">
        <v>63</v>
      </c>
      <c r="AH180" s="11" t="str">
        <f t="shared" si="4"/>
        <v>mailto: soilterrain@victoria1.gov.bc.ca</v>
      </c>
    </row>
    <row r="181" spans="1:34">
      <c r="A181" t="s">
        <v>560</v>
      </c>
      <c r="B181" t="s">
        <v>56</v>
      </c>
      <c r="C181" s="10" t="s">
        <v>192</v>
      </c>
      <c r="D181" t="s">
        <v>58</v>
      </c>
      <c r="E181" t="s">
        <v>557</v>
      </c>
      <c r="F181" t="s">
        <v>561</v>
      </c>
      <c r="G181">
        <v>20000</v>
      </c>
      <c r="H181">
        <v>1985</v>
      </c>
      <c r="I181" t="s">
        <v>58</v>
      </c>
      <c r="J181" t="s">
        <v>61</v>
      </c>
      <c r="K181" t="s">
        <v>58</v>
      </c>
      <c r="L181" t="s">
        <v>58</v>
      </c>
      <c r="M181" t="s">
        <v>58</v>
      </c>
      <c r="P181" t="s">
        <v>61</v>
      </c>
      <c r="Q181" t="s">
        <v>562</v>
      </c>
      <c r="R181" s="11" t="str">
        <f>HYPERLINK("\\imagefiles.bcgov\imagery\scanned_maps\moe_terrain_maps\Scanned_T_maps_all\B01\B01-4973","\\imagefiles.bcgov\imagery\scanned_maps\moe_terrain_maps\Scanned_T_maps_all\B01\B01-4973")</f>
        <v>\\imagefiles.bcgov\imagery\scanned_maps\moe_terrain_maps\Scanned_T_maps_all\B01\B01-4973</v>
      </c>
      <c r="S181" t="s">
        <v>62</v>
      </c>
      <c r="T181" s="11" t="str">
        <f>HYPERLINK("http://www.env.gov.bc.ca/esd/distdata/ecosystems/TEI_Scanned_Maps/B01/B01-4973","http://www.env.gov.bc.ca/esd/distdata/ecosystems/TEI_Scanned_Maps/B01/B01-4973")</f>
        <v>http://www.env.gov.bc.ca/esd/distdata/ecosystems/TEI_Scanned_Maps/B01/B01-4973</v>
      </c>
      <c r="U181" t="s">
        <v>58</v>
      </c>
      <c r="V181" t="s">
        <v>58</v>
      </c>
      <c r="W181" t="s">
        <v>58</v>
      </c>
      <c r="X181" t="s">
        <v>58</v>
      </c>
      <c r="Y181" t="s">
        <v>58</v>
      </c>
      <c r="Z181" t="s">
        <v>58</v>
      </c>
      <c r="AA181" t="s">
        <v>58</v>
      </c>
      <c r="AC181" t="s">
        <v>58</v>
      </c>
      <c r="AE181" t="s">
        <v>58</v>
      </c>
      <c r="AG181" t="s">
        <v>63</v>
      </c>
      <c r="AH181" s="11" t="str">
        <f t="shared" si="4"/>
        <v>mailto: soilterrain@victoria1.gov.bc.ca</v>
      </c>
    </row>
    <row r="182" spans="1:34">
      <c r="A182" t="s">
        <v>563</v>
      </c>
      <c r="B182" t="s">
        <v>56</v>
      </c>
      <c r="C182" s="10" t="s">
        <v>192</v>
      </c>
      <c r="D182" t="s">
        <v>58</v>
      </c>
      <c r="E182" t="s">
        <v>557</v>
      </c>
      <c r="F182" t="s">
        <v>564</v>
      </c>
      <c r="G182">
        <v>20000</v>
      </c>
      <c r="H182">
        <v>1985</v>
      </c>
      <c r="I182" t="s">
        <v>58</v>
      </c>
      <c r="J182" t="s">
        <v>61</v>
      </c>
      <c r="K182" t="s">
        <v>61</v>
      </c>
      <c r="L182" t="s">
        <v>58</v>
      </c>
      <c r="M182" t="s">
        <v>58</v>
      </c>
      <c r="Q182" t="s">
        <v>58</v>
      </c>
      <c r="R182" s="11" t="str">
        <f>HYPERLINK("\\imagefiles.bcgov\imagery\scanned_maps\moe_terrain_maps\Scanned_T_maps_all\B01\B01-4974","\\imagefiles.bcgov\imagery\scanned_maps\moe_terrain_maps\Scanned_T_maps_all\B01\B01-4974")</f>
        <v>\\imagefiles.bcgov\imagery\scanned_maps\moe_terrain_maps\Scanned_T_maps_all\B01\B01-4974</v>
      </c>
      <c r="S182" t="s">
        <v>62</v>
      </c>
      <c r="T182" s="11" t="str">
        <f>HYPERLINK("http://www.env.gov.bc.ca/esd/distdata/ecosystems/TEI_Scanned_Maps/B01/B01-4974","http://www.env.gov.bc.ca/esd/distdata/ecosystems/TEI_Scanned_Maps/B01/B01-4974")</f>
        <v>http://www.env.gov.bc.ca/esd/distdata/ecosystems/TEI_Scanned_Maps/B01/B01-4974</v>
      </c>
      <c r="U182" t="s">
        <v>58</v>
      </c>
      <c r="V182" t="s">
        <v>58</v>
      </c>
      <c r="W182" t="s">
        <v>58</v>
      </c>
      <c r="X182" t="s">
        <v>58</v>
      </c>
      <c r="Y182" t="s">
        <v>58</v>
      </c>
      <c r="Z182" t="s">
        <v>58</v>
      </c>
      <c r="AA182" t="s">
        <v>58</v>
      </c>
      <c r="AC182" t="s">
        <v>58</v>
      </c>
      <c r="AE182" t="s">
        <v>58</v>
      </c>
      <c r="AG182" t="s">
        <v>63</v>
      </c>
      <c r="AH182" s="11" t="str">
        <f t="shared" si="4"/>
        <v>mailto: soilterrain@victoria1.gov.bc.ca</v>
      </c>
    </row>
    <row r="183" spans="1:34">
      <c r="A183" t="s">
        <v>565</v>
      </c>
      <c r="B183" t="s">
        <v>56</v>
      </c>
      <c r="C183" s="10" t="s">
        <v>192</v>
      </c>
      <c r="D183" t="s">
        <v>58</v>
      </c>
      <c r="E183" t="s">
        <v>557</v>
      </c>
      <c r="F183" t="s">
        <v>566</v>
      </c>
      <c r="G183">
        <v>20000</v>
      </c>
      <c r="H183">
        <v>1985</v>
      </c>
      <c r="I183" t="s">
        <v>58</v>
      </c>
      <c r="J183" t="s">
        <v>61</v>
      </c>
      <c r="K183" t="s">
        <v>61</v>
      </c>
      <c r="L183" t="s">
        <v>58</v>
      </c>
      <c r="M183" t="s">
        <v>58</v>
      </c>
      <c r="Q183" t="s">
        <v>58</v>
      </c>
      <c r="R183" s="11" t="str">
        <f>HYPERLINK("\\imagefiles.bcgov\imagery\scanned_maps\moe_terrain_maps\Scanned_T_maps_all\B01\B01-4975","\\imagefiles.bcgov\imagery\scanned_maps\moe_terrain_maps\Scanned_T_maps_all\B01\B01-4975")</f>
        <v>\\imagefiles.bcgov\imagery\scanned_maps\moe_terrain_maps\Scanned_T_maps_all\B01\B01-4975</v>
      </c>
      <c r="S183" t="s">
        <v>62</v>
      </c>
      <c r="T183" s="11" t="str">
        <f>HYPERLINK("http://www.env.gov.bc.ca/esd/distdata/ecosystems/TEI_Scanned_Maps/B01/B01-4975","http://www.env.gov.bc.ca/esd/distdata/ecosystems/TEI_Scanned_Maps/B01/B01-4975")</f>
        <v>http://www.env.gov.bc.ca/esd/distdata/ecosystems/TEI_Scanned_Maps/B01/B01-4975</v>
      </c>
      <c r="U183" t="s">
        <v>58</v>
      </c>
      <c r="V183" t="s">
        <v>58</v>
      </c>
      <c r="W183" t="s">
        <v>58</v>
      </c>
      <c r="X183" t="s">
        <v>58</v>
      </c>
      <c r="Y183" t="s">
        <v>58</v>
      </c>
      <c r="Z183" t="s">
        <v>58</v>
      </c>
      <c r="AA183" t="s">
        <v>58</v>
      </c>
      <c r="AC183" t="s">
        <v>58</v>
      </c>
      <c r="AE183" t="s">
        <v>58</v>
      </c>
      <c r="AG183" t="s">
        <v>63</v>
      </c>
      <c r="AH183" s="11" t="str">
        <f t="shared" si="4"/>
        <v>mailto: soilterrain@victoria1.gov.bc.ca</v>
      </c>
    </row>
    <row r="184" spans="1:34">
      <c r="A184" t="s">
        <v>567</v>
      </c>
      <c r="B184" t="s">
        <v>56</v>
      </c>
      <c r="C184" s="10" t="s">
        <v>192</v>
      </c>
      <c r="D184" t="s">
        <v>58</v>
      </c>
      <c r="E184" t="s">
        <v>557</v>
      </c>
      <c r="F184" t="s">
        <v>568</v>
      </c>
      <c r="G184">
        <v>20000</v>
      </c>
      <c r="H184">
        <v>1985</v>
      </c>
      <c r="I184" t="s">
        <v>58</v>
      </c>
      <c r="J184" t="s">
        <v>61</v>
      </c>
      <c r="K184" t="s">
        <v>58</v>
      </c>
      <c r="L184" t="s">
        <v>58</v>
      </c>
      <c r="M184" t="s">
        <v>58</v>
      </c>
      <c r="P184" t="s">
        <v>61</v>
      </c>
      <c r="Q184" t="s">
        <v>58</v>
      </c>
      <c r="R184" s="11" t="str">
        <f>HYPERLINK("\\imagefiles.bcgov\imagery\scanned_maps\moe_terrain_maps\Scanned_T_maps_all\B01\B01-4976","\\imagefiles.bcgov\imagery\scanned_maps\moe_terrain_maps\Scanned_T_maps_all\B01\B01-4976")</f>
        <v>\\imagefiles.bcgov\imagery\scanned_maps\moe_terrain_maps\Scanned_T_maps_all\B01\B01-4976</v>
      </c>
      <c r="S184" t="s">
        <v>62</v>
      </c>
      <c r="T184" s="11" t="str">
        <f>HYPERLINK("http://www.env.gov.bc.ca/esd/distdata/ecosystems/TEI_Scanned_Maps/B01/B01-4976","http://www.env.gov.bc.ca/esd/distdata/ecosystems/TEI_Scanned_Maps/B01/B01-4976")</f>
        <v>http://www.env.gov.bc.ca/esd/distdata/ecosystems/TEI_Scanned_Maps/B01/B01-4976</v>
      </c>
      <c r="U184" t="s">
        <v>58</v>
      </c>
      <c r="V184" t="s">
        <v>58</v>
      </c>
      <c r="W184" t="s">
        <v>58</v>
      </c>
      <c r="X184" t="s">
        <v>58</v>
      </c>
      <c r="Y184" t="s">
        <v>58</v>
      </c>
      <c r="Z184" t="s">
        <v>58</v>
      </c>
      <c r="AA184" t="s">
        <v>58</v>
      </c>
      <c r="AC184" t="s">
        <v>58</v>
      </c>
      <c r="AE184" t="s">
        <v>58</v>
      </c>
      <c r="AG184" t="s">
        <v>63</v>
      </c>
      <c r="AH184" s="11" t="str">
        <f t="shared" si="4"/>
        <v>mailto: soilterrain@victoria1.gov.bc.ca</v>
      </c>
    </row>
    <row r="185" spans="1:34">
      <c r="A185" t="s">
        <v>569</v>
      </c>
      <c r="B185" t="s">
        <v>56</v>
      </c>
      <c r="C185" s="10" t="s">
        <v>192</v>
      </c>
      <c r="D185" t="s">
        <v>58</v>
      </c>
      <c r="E185" t="s">
        <v>557</v>
      </c>
      <c r="F185" t="s">
        <v>570</v>
      </c>
      <c r="G185">
        <v>20000</v>
      </c>
      <c r="H185">
        <v>1985</v>
      </c>
      <c r="I185" t="s">
        <v>58</v>
      </c>
      <c r="J185" t="s">
        <v>61</v>
      </c>
      <c r="K185" t="s">
        <v>58</v>
      </c>
      <c r="L185" t="s">
        <v>58</v>
      </c>
      <c r="M185" t="s">
        <v>58</v>
      </c>
      <c r="P185" t="s">
        <v>61</v>
      </c>
      <c r="Q185" t="s">
        <v>58</v>
      </c>
      <c r="R185" s="11" t="str">
        <f>HYPERLINK("\\imagefiles.bcgov\imagery\scanned_maps\moe_terrain_maps\Scanned_T_maps_all\B01\B01-4977","\\imagefiles.bcgov\imagery\scanned_maps\moe_terrain_maps\Scanned_T_maps_all\B01\B01-4977")</f>
        <v>\\imagefiles.bcgov\imagery\scanned_maps\moe_terrain_maps\Scanned_T_maps_all\B01\B01-4977</v>
      </c>
      <c r="S185" t="s">
        <v>62</v>
      </c>
      <c r="T185" s="11" t="str">
        <f>HYPERLINK("http://www.env.gov.bc.ca/esd/distdata/ecosystems/TEI_Scanned_Maps/B01/B01-4977","http://www.env.gov.bc.ca/esd/distdata/ecosystems/TEI_Scanned_Maps/B01/B01-4977")</f>
        <v>http://www.env.gov.bc.ca/esd/distdata/ecosystems/TEI_Scanned_Maps/B01/B01-4977</v>
      </c>
      <c r="U185" t="s">
        <v>58</v>
      </c>
      <c r="V185" t="s">
        <v>58</v>
      </c>
      <c r="W185" t="s">
        <v>58</v>
      </c>
      <c r="X185" t="s">
        <v>58</v>
      </c>
      <c r="Y185" t="s">
        <v>58</v>
      </c>
      <c r="Z185" t="s">
        <v>58</v>
      </c>
      <c r="AA185" t="s">
        <v>58</v>
      </c>
      <c r="AC185" t="s">
        <v>58</v>
      </c>
      <c r="AE185" t="s">
        <v>58</v>
      </c>
      <c r="AG185" t="s">
        <v>63</v>
      </c>
      <c r="AH185" s="11" t="str">
        <f t="shared" si="4"/>
        <v>mailto: soilterrain@victoria1.gov.bc.ca</v>
      </c>
    </row>
    <row r="186" spans="1:34">
      <c r="A186" t="s">
        <v>571</v>
      </c>
      <c r="B186" t="s">
        <v>56</v>
      </c>
      <c r="C186" s="10" t="s">
        <v>311</v>
      </c>
      <c r="D186" t="s">
        <v>58</v>
      </c>
      <c r="E186" t="s">
        <v>59</v>
      </c>
      <c r="F186" t="s">
        <v>572</v>
      </c>
      <c r="G186">
        <v>50000</v>
      </c>
      <c r="H186">
        <v>1982</v>
      </c>
      <c r="I186" t="s">
        <v>58</v>
      </c>
      <c r="J186" t="s">
        <v>58</v>
      </c>
      <c r="K186" t="s">
        <v>58</v>
      </c>
      <c r="L186" t="s">
        <v>58</v>
      </c>
      <c r="M186" t="s">
        <v>58</v>
      </c>
      <c r="P186" t="s">
        <v>61</v>
      </c>
      <c r="Q186" t="s">
        <v>58</v>
      </c>
      <c r="R186" s="11" t="str">
        <f>HYPERLINK("\\imagefiles.bcgov\imagery\scanned_maps\moe_terrain_maps\Scanned_T_maps_all\B01\B01-4978","\\imagefiles.bcgov\imagery\scanned_maps\moe_terrain_maps\Scanned_T_maps_all\B01\B01-4978")</f>
        <v>\\imagefiles.bcgov\imagery\scanned_maps\moe_terrain_maps\Scanned_T_maps_all\B01\B01-4978</v>
      </c>
      <c r="S186" t="s">
        <v>62</v>
      </c>
      <c r="T186" s="11" t="str">
        <f>HYPERLINK("http://www.env.gov.bc.ca/esd/distdata/ecosystems/TEI_Scanned_Maps/B01/B01-4978","http://www.env.gov.bc.ca/esd/distdata/ecosystems/TEI_Scanned_Maps/B01/B01-4978")</f>
        <v>http://www.env.gov.bc.ca/esd/distdata/ecosystems/TEI_Scanned_Maps/B01/B01-4978</v>
      </c>
      <c r="U186" t="s">
        <v>58</v>
      </c>
      <c r="V186" t="s">
        <v>58</v>
      </c>
      <c r="W186" t="s">
        <v>58</v>
      </c>
      <c r="X186" t="s">
        <v>58</v>
      </c>
      <c r="Y186" t="s">
        <v>58</v>
      </c>
      <c r="Z186" t="s">
        <v>58</v>
      </c>
      <c r="AA186" t="s">
        <v>58</v>
      </c>
      <c r="AC186" t="s">
        <v>58</v>
      </c>
      <c r="AE186" t="s">
        <v>58</v>
      </c>
      <c r="AG186" t="s">
        <v>63</v>
      </c>
      <c r="AH186" s="11" t="str">
        <f t="shared" si="4"/>
        <v>mailto: soilterrain@victoria1.gov.bc.ca</v>
      </c>
    </row>
    <row r="187" spans="1:34">
      <c r="A187" t="s">
        <v>573</v>
      </c>
      <c r="B187" t="s">
        <v>56</v>
      </c>
      <c r="C187" s="10" t="s">
        <v>574</v>
      </c>
      <c r="D187" t="s">
        <v>58</v>
      </c>
      <c r="E187" t="s">
        <v>59</v>
      </c>
      <c r="F187" t="s">
        <v>575</v>
      </c>
      <c r="G187">
        <v>50000</v>
      </c>
      <c r="H187" t="s">
        <v>187</v>
      </c>
      <c r="I187" t="s">
        <v>289</v>
      </c>
      <c r="J187" t="s">
        <v>58</v>
      </c>
      <c r="K187" t="s">
        <v>61</v>
      </c>
      <c r="L187" t="s">
        <v>58</v>
      </c>
      <c r="M187" t="s">
        <v>58</v>
      </c>
      <c r="Q187" t="s">
        <v>58</v>
      </c>
      <c r="R187" s="11" t="str">
        <f>HYPERLINK("\\imagefiles.bcgov\imagery\scanned_maps\moe_terrain_maps\Scanned_T_maps_all\B02\B02-4903","\\imagefiles.bcgov\imagery\scanned_maps\moe_terrain_maps\Scanned_T_maps_all\B02\B02-4903")</f>
        <v>\\imagefiles.bcgov\imagery\scanned_maps\moe_terrain_maps\Scanned_T_maps_all\B02\B02-4903</v>
      </c>
      <c r="S187" t="s">
        <v>62</v>
      </c>
      <c r="T187" s="11" t="str">
        <f>HYPERLINK("http://www.env.gov.bc.ca/esd/distdata/ecosystems/TEI_Scanned_Maps/B02/B02-4903","http://www.env.gov.bc.ca/esd/distdata/ecosystems/TEI_Scanned_Maps/B02/B02-4903")</f>
        <v>http://www.env.gov.bc.ca/esd/distdata/ecosystems/TEI_Scanned_Maps/B02/B02-4903</v>
      </c>
      <c r="U187" t="s">
        <v>269</v>
      </c>
      <c r="V187" s="11" t="str">
        <f>HYPERLINK("http://www.library.for.gov.bc.ca/#focus","http://www.library.for.gov.bc.ca/#focus")</f>
        <v>http://www.library.for.gov.bc.ca/#focus</v>
      </c>
      <c r="W187" t="s">
        <v>58</v>
      </c>
      <c r="X187" t="s">
        <v>58</v>
      </c>
      <c r="Y187" t="s">
        <v>58</v>
      </c>
      <c r="Z187" t="s">
        <v>58</v>
      </c>
      <c r="AA187" t="s">
        <v>58</v>
      </c>
      <c r="AC187" t="s">
        <v>58</v>
      </c>
      <c r="AE187" t="s">
        <v>58</v>
      </c>
      <c r="AG187" t="s">
        <v>63</v>
      </c>
      <c r="AH187" s="11" t="str">
        <f t="shared" si="4"/>
        <v>mailto: soilterrain@victoria1.gov.bc.ca</v>
      </c>
    </row>
    <row r="188" spans="1:34">
      <c r="A188" t="s">
        <v>576</v>
      </c>
      <c r="B188" t="s">
        <v>56</v>
      </c>
      <c r="C188" s="10" t="s">
        <v>577</v>
      </c>
      <c r="D188" t="s">
        <v>58</v>
      </c>
      <c r="E188" t="s">
        <v>59</v>
      </c>
      <c r="F188" t="s">
        <v>578</v>
      </c>
      <c r="G188">
        <v>50000</v>
      </c>
      <c r="H188" t="s">
        <v>187</v>
      </c>
      <c r="I188" t="s">
        <v>289</v>
      </c>
      <c r="J188" t="s">
        <v>58</v>
      </c>
      <c r="K188" t="s">
        <v>61</v>
      </c>
      <c r="L188" t="s">
        <v>58</v>
      </c>
      <c r="M188" t="s">
        <v>58</v>
      </c>
      <c r="Q188" t="s">
        <v>58</v>
      </c>
      <c r="R188" s="11" t="str">
        <f>HYPERLINK("\\imagefiles.bcgov\imagery\scanned_maps\moe_terrain_maps\Scanned_T_maps_all\B02\B02-4904","\\imagefiles.bcgov\imagery\scanned_maps\moe_terrain_maps\Scanned_T_maps_all\B02\B02-4904")</f>
        <v>\\imagefiles.bcgov\imagery\scanned_maps\moe_terrain_maps\Scanned_T_maps_all\B02\B02-4904</v>
      </c>
      <c r="S188" t="s">
        <v>62</v>
      </c>
      <c r="T188" s="11" t="str">
        <f>HYPERLINK("http://www.env.gov.bc.ca/esd/distdata/ecosystems/TEI_Scanned_Maps/B02/B02-4904","http://www.env.gov.bc.ca/esd/distdata/ecosystems/TEI_Scanned_Maps/B02/B02-4904")</f>
        <v>http://www.env.gov.bc.ca/esd/distdata/ecosystems/TEI_Scanned_Maps/B02/B02-4904</v>
      </c>
      <c r="U188" t="s">
        <v>269</v>
      </c>
      <c r="V188" s="11" t="str">
        <f>HYPERLINK("http://www.library.for.gov.bc.ca/#focus","http://www.library.for.gov.bc.ca/#focus")</f>
        <v>http://www.library.for.gov.bc.ca/#focus</v>
      </c>
      <c r="W188" t="s">
        <v>58</v>
      </c>
      <c r="X188" t="s">
        <v>58</v>
      </c>
      <c r="Y188" t="s">
        <v>58</v>
      </c>
      <c r="Z188" t="s">
        <v>58</v>
      </c>
      <c r="AA188" t="s">
        <v>58</v>
      </c>
      <c r="AC188" t="s">
        <v>58</v>
      </c>
      <c r="AE188" t="s">
        <v>58</v>
      </c>
      <c r="AG188" t="s">
        <v>63</v>
      </c>
      <c r="AH188" s="11" t="str">
        <f t="shared" si="4"/>
        <v>mailto: soilterrain@victoria1.gov.bc.ca</v>
      </c>
    </row>
    <row r="189" spans="1:34">
      <c r="A189" t="s">
        <v>579</v>
      </c>
      <c r="B189" t="s">
        <v>56</v>
      </c>
      <c r="C189" s="10" t="s">
        <v>580</v>
      </c>
      <c r="D189" t="s">
        <v>58</v>
      </c>
      <c r="E189" t="s">
        <v>59</v>
      </c>
      <c r="F189" t="s">
        <v>581</v>
      </c>
      <c r="G189">
        <v>50000</v>
      </c>
      <c r="H189" t="s">
        <v>187</v>
      </c>
      <c r="I189" t="s">
        <v>289</v>
      </c>
      <c r="J189" t="s">
        <v>58</v>
      </c>
      <c r="K189" t="s">
        <v>61</v>
      </c>
      <c r="L189" t="s">
        <v>58</v>
      </c>
      <c r="M189" t="s">
        <v>58</v>
      </c>
      <c r="Q189" t="s">
        <v>58</v>
      </c>
      <c r="R189" s="11" t="str">
        <f>HYPERLINK("\\imagefiles.bcgov\imagery\scanned_maps\moe_terrain_maps\Scanned_T_maps_all\B02\B02-4905","\\imagefiles.bcgov\imagery\scanned_maps\moe_terrain_maps\Scanned_T_maps_all\B02\B02-4905")</f>
        <v>\\imagefiles.bcgov\imagery\scanned_maps\moe_terrain_maps\Scanned_T_maps_all\B02\B02-4905</v>
      </c>
      <c r="S189" t="s">
        <v>62</v>
      </c>
      <c r="T189" s="11" t="str">
        <f>HYPERLINK("http://www.env.gov.bc.ca/esd/distdata/ecosystems/TEI_Scanned_Maps/B02/B02-4905","http://www.env.gov.bc.ca/esd/distdata/ecosystems/TEI_Scanned_Maps/B02/B02-4905")</f>
        <v>http://www.env.gov.bc.ca/esd/distdata/ecosystems/TEI_Scanned_Maps/B02/B02-4905</v>
      </c>
      <c r="U189" t="s">
        <v>269</v>
      </c>
      <c r="V189" s="11" t="str">
        <f>HYPERLINK("http://www.library.for.gov.bc.ca/#focus","http://www.library.for.gov.bc.ca/#focus")</f>
        <v>http://www.library.for.gov.bc.ca/#focus</v>
      </c>
      <c r="W189" t="s">
        <v>58</v>
      </c>
      <c r="X189" t="s">
        <v>58</v>
      </c>
      <c r="Y189" t="s">
        <v>58</v>
      </c>
      <c r="Z189" t="s">
        <v>58</v>
      </c>
      <c r="AA189" t="s">
        <v>58</v>
      </c>
      <c r="AC189" t="s">
        <v>58</v>
      </c>
      <c r="AE189" t="s">
        <v>58</v>
      </c>
      <c r="AG189" t="s">
        <v>63</v>
      </c>
      <c r="AH189" s="11" t="str">
        <f t="shared" si="4"/>
        <v>mailto: soilterrain@victoria1.gov.bc.ca</v>
      </c>
    </row>
    <row r="190" spans="1:34">
      <c r="A190" t="s">
        <v>582</v>
      </c>
      <c r="B190" t="s">
        <v>56</v>
      </c>
      <c r="C190" s="10" t="s">
        <v>145</v>
      </c>
      <c r="D190" t="s">
        <v>58</v>
      </c>
      <c r="E190" t="s">
        <v>59</v>
      </c>
      <c r="F190" t="s">
        <v>583</v>
      </c>
      <c r="G190">
        <v>50000</v>
      </c>
      <c r="H190" t="s">
        <v>187</v>
      </c>
      <c r="I190" t="s">
        <v>289</v>
      </c>
      <c r="J190" t="s">
        <v>58</v>
      </c>
      <c r="K190" t="s">
        <v>61</v>
      </c>
      <c r="L190" t="s">
        <v>58</v>
      </c>
      <c r="M190" t="s">
        <v>58</v>
      </c>
      <c r="Q190" t="s">
        <v>58</v>
      </c>
      <c r="R190" s="11" t="str">
        <f>HYPERLINK("\\imagefiles.bcgov\imagery\scanned_maps\moe_terrain_maps\Scanned_T_maps_all\B02\B02-4906","\\imagefiles.bcgov\imagery\scanned_maps\moe_terrain_maps\Scanned_T_maps_all\B02\B02-4906")</f>
        <v>\\imagefiles.bcgov\imagery\scanned_maps\moe_terrain_maps\Scanned_T_maps_all\B02\B02-4906</v>
      </c>
      <c r="S190" t="s">
        <v>62</v>
      </c>
      <c r="T190" s="11" t="str">
        <f>HYPERLINK("http://www.env.gov.bc.ca/esd/distdata/ecosystems/TEI_Scanned_Maps/B02/B02-4906","http://www.env.gov.bc.ca/esd/distdata/ecosystems/TEI_Scanned_Maps/B02/B02-4906")</f>
        <v>http://www.env.gov.bc.ca/esd/distdata/ecosystems/TEI_Scanned_Maps/B02/B02-4906</v>
      </c>
      <c r="U190" t="s">
        <v>269</v>
      </c>
      <c r="V190" s="11" t="str">
        <f>HYPERLINK("http://www.library.for.gov.bc.ca/#focus","http://www.library.for.gov.bc.ca/#focus")</f>
        <v>http://www.library.for.gov.bc.ca/#focus</v>
      </c>
      <c r="W190" t="s">
        <v>58</v>
      </c>
      <c r="X190" t="s">
        <v>58</v>
      </c>
      <c r="Y190" t="s">
        <v>58</v>
      </c>
      <c r="Z190" t="s">
        <v>58</v>
      </c>
      <c r="AA190" t="s">
        <v>58</v>
      </c>
      <c r="AC190" t="s">
        <v>58</v>
      </c>
      <c r="AE190" t="s">
        <v>58</v>
      </c>
      <c r="AG190" t="s">
        <v>63</v>
      </c>
      <c r="AH190" s="11" t="str">
        <f t="shared" si="4"/>
        <v>mailto: soilterrain@victoria1.gov.bc.ca</v>
      </c>
    </row>
    <row r="191" spans="1:34">
      <c r="A191" t="s">
        <v>584</v>
      </c>
      <c r="B191" t="s">
        <v>56</v>
      </c>
      <c r="C191" s="10" t="s">
        <v>165</v>
      </c>
      <c r="D191" t="s">
        <v>58</v>
      </c>
      <c r="E191" t="s">
        <v>59</v>
      </c>
      <c r="F191" t="s">
        <v>585</v>
      </c>
      <c r="G191">
        <v>50000</v>
      </c>
      <c r="H191" t="s">
        <v>187</v>
      </c>
      <c r="I191" t="s">
        <v>289</v>
      </c>
      <c r="J191" t="s">
        <v>58</v>
      </c>
      <c r="K191" t="s">
        <v>61</v>
      </c>
      <c r="L191" t="s">
        <v>58</v>
      </c>
      <c r="M191" t="s">
        <v>58</v>
      </c>
      <c r="Q191" t="s">
        <v>58</v>
      </c>
      <c r="R191" s="11" t="str">
        <f>HYPERLINK("\\imagefiles.bcgov\imagery\scanned_maps\moe_terrain_maps\Scanned_T_maps_all\B02\B02-4908","\\imagefiles.bcgov\imagery\scanned_maps\moe_terrain_maps\Scanned_T_maps_all\B02\B02-4908")</f>
        <v>\\imagefiles.bcgov\imagery\scanned_maps\moe_terrain_maps\Scanned_T_maps_all\B02\B02-4908</v>
      </c>
      <c r="S191" t="s">
        <v>62</v>
      </c>
      <c r="T191" s="11" t="str">
        <f>HYPERLINK("http://www.env.gov.bc.ca/esd/distdata/ecosystems/TEI_Scanned_Maps/B02/B02-4908","http://www.env.gov.bc.ca/esd/distdata/ecosystems/TEI_Scanned_Maps/B02/B02-4908")</f>
        <v>http://www.env.gov.bc.ca/esd/distdata/ecosystems/TEI_Scanned_Maps/B02/B02-4908</v>
      </c>
      <c r="U191" t="s">
        <v>269</v>
      </c>
      <c r="V191" s="11" t="str">
        <f>HYPERLINK("http://www.library.for.gov.bc.ca/#focus","http://www.library.for.gov.bc.ca/#focus")</f>
        <v>http://www.library.for.gov.bc.ca/#focus</v>
      </c>
      <c r="W191" t="s">
        <v>58</v>
      </c>
      <c r="X191" t="s">
        <v>58</v>
      </c>
      <c r="Y191" t="s">
        <v>58</v>
      </c>
      <c r="Z191" t="s">
        <v>58</v>
      </c>
      <c r="AA191" t="s">
        <v>58</v>
      </c>
      <c r="AC191" t="s">
        <v>58</v>
      </c>
      <c r="AE191" t="s">
        <v>58</v>
      </c>
      <c r="AG191" t="s">
        <v>63</v>
      </c>
      <c r="AH191" s="11" t="str">
        <f t="shared" si="4"/>
        <v>mailto: soilterrain@victoria1.gov.bc.ca</v>
      </c>
    </row>
    <row r="192" spans="1:34">
      <c r="A192" t="s">
        <v>586</v>
      </c>
      <c r="B192" t="s">
        <v>56</v>
      </c>
      <c r="C192" s="10" t="s">
        <v>587</v>
      </c>
      <c r="D192" t="s">
        <v>58</v>
      </c>
      <c r="E192" t="s">
        <v>59</v>
      </c>
      <c r="F192" t="s">
        <v>588</v>
      </c>
      <c r="G192">
        <v>100000</v>
      </c>
      <c r="H192" t="s">
        <v>187</v>
      </c>
      <c r="I192" t="s">
        <v>58</v>
      </c>
      <c r="J192" t="s">
        <v>58</v>
      </c>
      <c r="K192" t="s">
        <v>61</v>
      </c>
      <c r="L192" t="s">
        <v>58</v>
      </c>
      <c r="M192" t="s">
        <v>58</v>
      </c>
      <c r="Q192" t="s">
        <v>58</v>
      </c>
      <c r="R192" s="11" t="str">
        <f>HYPERLINK("\\imagefiles.bcgov\imagery\scanned_maps\moe_terrain_maps\Scanned_T_maps_all\B02\B02-4909","\\imagefiles.bcgov\imagery\scanned_maps\moe_terrain_maps\Scanned_T_maps_all\B02\B02-4909")</f>
        <v>\\imagefiles.bcgov\imagery\scanned_maps\moe_terrain_maps\Scanned_T_maps_all\B02\B02-4909</v>
      </c>
      <c r="S192" t="s">
        <v>62</v>
      </c>
      <c r="T192" s="11" t="str">
        <f>HYPERLINK("http://www.env.gov.bc.ca/esd/distdata/ecosystems/TEI_Scanned_Maps/B02/B02-4909","http://www.env.gov.bc.ca/esd/distdata/ecosystems/TEI_Scanned_Maps/B02/B02-4909")</f>
        <v>http://www.env.gov.bc.ca/esd/distdata/ecosystems/TEI_Scanned_Maps/B02/B02-4909</v>
      </c>
      <c r="U192" t="s">
        <v>58</v>
      </c>
      <c r="V192" t="s">
        <v>58</v>
      </c>
      <c r="W192" t="s">
        <v>58</v>
      </c>
      <c r="X192" t="s">
        <v>58</v>
      </c>
      <c r="Y192" t="s">
        <v>58</v>
      </c>
      <c r="Z192" t="s">
        <v>58</v>
      </c>
      <c r="AA192" t="s">
        <v>58</v>
      </c>
      <c r="AC192" t="s">
        <v>58</v>
      </c>
      <c r="AE192" t="s">
        <v>58</v>
      </c>
      <c r="AG192" t="s">
        <v>63</v>
      </c>
      <c r="AH192" s="11" t="str">
        <f t="shared" si="4"/>
        <v>mailto: soilterrain@victoria1.gov.bc.ca</v>
      </c>
    </row>
    <row r="193" spans="1:34">
      <c r="A193" t="s">
        <v>589</v>
      </c>
      <c r="B193" t="s">
        <v>56</v>
      </c>
      <c r="C193" s="10" t="s">
        <v>207</v>
      </c>
      <c r="D193" t="s">
        <v>58</v>
      </c>
      <c r="E193" t="s">
        <v>59</v>
      </c>
      <c r="F193" t="s">
        <v>208</v>
      </c>
      <c r="G193">
        <v>50000</v>
      </c>
      <c r="H193" t="s">
        <v>187</v>
      </c>
      <c r="I193" t="s">
        <v>58</v>
      </c>
      <c r="J193" t="s">
        <v>58</v>
      </c>
      <c r="K193" t="s">
        <v>61</v>
      </c>
      <c r="L193" t="s">
        <v>58</v>
      </c>
      <c r="M193" t="s">
        <v>58</v>
      </c>
      <c r="Q193" t="s">
        <v>58</v>
      </c>
      <c r="R193" s="11" t="str">
        <f>HYPERLINK("\\imagefiles.bcgov\imagery\scanned_maps\moe_terrain_maps\Scanned_T_maps_all\B02\B02-4910","\\imagefiles.bcgov\imagery\scanned_maps\moe_terrain_maps\Scanned_T_maps_all\B02\B02-4910")</f>
        <v>\\imagefiles.bcgov\imagery\scanned_maps\moe_terrain_maps\Scanned_T_maps_all\B02\B02-4910</v>
      </c>
      <c r="S193" t="s">
        <v>62</v>
      </c>
      <c r="T193" s="11" t="str">
        <f>HYPERLINK("http://www.env.gov.bc.ca/esd/distdata/ecosystems/TEI_Scanned_Maps/B02/B02-4910","http://www.env.gov.bc.ca/esd/distdata/ecosystems/TEI_Scanned_Maps/B02/B02-4910")</f>
        <v>http://www.env.gov.bc.ca/esd/distdata/ecosystems/TEI_Scanned_Maps/B02/B02-4910</v>
      </c>
      <c r="U193" t="s">
        <v>58</v>
      </c>
      <c r="V193" t="s">
        <v>58</v>
      </c>
      <c r="W193" t="s">
        <v>58</v>
      </c>
      <c r="X193" t="s">
        <v>58</v>
      </c>
      <c r="Y193" t="s">
        <v>58</v>
      </c>
      <c r="Z193" t="s">
        <v>58</v>
      </c>
      <c r="AA193" t="s">
        <v>58</v>
      </c>
      <c r="AC193" t="s">
        <v>58</v>
      </c>
      <c r="AE193" t="s">
        <v>58</v>
      </c>
      <c r="AG193" t="s">
        <v>63</v>
      </c>
      <c r="AH193" s="11" t="str">
        <f t="shared" si="4"/>
        <v>mailto: soilterrain@victoria1.gov.bc.ca</v>
      </c>
    </row>
    <row r="194" spans="1:34">
      <c r="A194" t="s">
        <v>590</v>
      </c>
      <c r="B194" t="s">
        <v>56</v>
      </c>
      <c r="C194" s="10" t="s">
        <v>591</v>
      </c>
      <c r="D194" t="s">
        <v>58</v>
      </c>
      <c r="E194" t="s">
        <v>166</v>
      </c>
      <c r="F194" t="s">
        <v>592</v>
      </c>
      <c r="G194">
        <v>50000</v>
      </c>
      <c r="H194" t="s">
        <v>168</v>
      </c>
      <c r="I194" t="s">
        <v>58</v>
      </c>
      <c r="J194" t="s">
        <v>58</v>
      </c>
      <c r="K194" t="s">
        <v>61</v>
      </c>
      <c r="L194" t="s">
        <v>58</v>
      </c>
      <c r="M194" t="s">
        <v>58</v>
      </c>
      <c r="Q194" t="s">
        <v>58</v>
      </c>
      <c r="R194" s="11" t="str">
        <f>HYPERLINK("\\imagefiles.bcgov\imagery\scanned_maps\moe_terrain_maps\Scanned_T_maps_all\B02\B02-4911","\\imagefiles.bcgov\imagery\scanned_maps\moe_terrain_maps\Scanned_T_maps_all\B02\B02-4911")</f>
        <v>\\imagefiles.bcgov\imagery\scanned_maps\moe_terrain_maps\Scanned_T_maps_all\B02\B02-4911</v>
      </c>
      <c r="S194" t="s">
        <v>62</v>
      </c>
      <c r="T194" s="11" t="str">
        <f>HYPERLINK("http://www.env.gov.bc.ca/esd/distdata/ecosystems/TEI_Scanned_Maps/B02/B02-4911","http://www.env.gov.bc.ca/esd/distdata/ecosystems/TEI_Scanned_Maps/B02/B02-4911")</f>
        <v>http://www.env.gov.bc.ca/esd/distdata/ecosystems/TEI_Scanned_Maps/B02/B02-4911</v>
      </c>
      <c r="U194" t="s">
        <v>58</v>
      </c>
      <c r="V194" t="s">
        <v>58</v>
      </c>
      <c r="W194" t="s">
        <v>58</v>
      </c>
      <c r="X194" t="s">
        <v>58</v>
      </c>
      <c r="Y194" t="s">
        <v>58</v>
      </c>
      <c r="Z194" t="s">
        <v>58</v>
      </c>
      <c r="AA194" t="s">
        <v>58</v>
      </c>
      <c r="AC194" t="s">
        <v>58</v>
      </c>
      <c r="AE194" t="s">
        <v>58</v>
      </c>
      <c r="AG194" t="s">
        <v>63</v>
      </c>
      <c r="AH194" s="11" t="str">
        <f t="shared" ref="AH194:AH257" si="5">HYPERLINK("mailto: soilterrain@victoria1.gov.bc.ca","mailto: soilterrain@victoria1.gov.bc.ca")</f>
        <v>mailto: soilterrain@victoria1.gov.bc.ca</v>
      </c>
    </row>
    <row r="195" spans="1:34">
      <c r="A195" t="s">
        <v>593</v>
      </c>
      <c r="B195" t="s">
        <v>56</v>
      </c>
      <c r="C195" s="10" t="s">
        <v>594</v>
      </c>
      <c r="D195" t="s">
        <v>58</v>
      </c>
      <c r="E195" t="s">
        <v>166</v>
      </c>
      <c r="F195" t="s">
        <v>595</v>
      </c>
      <c r="G195">
        <v>50000</v>
      </c>
      <c r="H195" t="s">
        <v>168</v>
      </c>
      <c r="I195" t="s">
        <v>58</v>
      </c>
      <c r="J195" t="s">
        <v>58</v>
      </c>
      <c r="K195" t="s">
        <v>61</v>
      </c>
      <c r="L195" t="s">
        <v>58</v>
      </c>
      <c r="M195" t="s">
        <v>58</v>
      </c>
      <c r="Q195" t="s">
        <v>58</v>
      </c>
      <c r="R195" s="11" t="str">
        <f>HYPERLINK("\\imagefiles.bcgov\imagery\scanned_maps\moe_terrain_maps\Scanned_T_maps_all\B02\B02-4912","\\imagefiles.bcgov\imagery\scanned_maps\moe_terrain_maps\Scanned_T_maps_all\B02\B02-4912")</f>
        <v>\\imagefiles.bcgov\imagery\scanned_maps\moe_terrain_maps\Scanned_T_maps_all\B02\B02-4912</v>
      </c>
      <c r="S195" t="s">
        <v>62</v>
      </c>
      <c r="T195" s="11" t="str">
        <f>HYPERLINK("http://www.env.gov.bc.ca/esd/distdata/ecosystems/TEI_Scanned_Maps/B02/B02-4912","http://www.env.gov.bc.ca/esd/distdata/ecosystems/TEI_Scanned_Maps/B02/B02-4912")</f>
        <v>http://www.env.gov.bc.ca/esd/distdata/ecosystems/TEI_Scanned_Maps/B02/B02-4912</v>
      </c>
      <c r="U195" t="s">
        <v>58</v>
      </c>
      <c r="V195" t="s">
        <v>58</v>
      </c>
      <c r="W195" t="s">
        <v>58</v>
      </c>
      <c r="X195" t="s">
        <v>58</v>
      </c>
      <c r="Y195" t="s">
        <v>58</v>
      </c>
      <c r="Z195" t="s">
        <v>58</v>
      </c>
      <c r="AA195" t="s">
        <v>58</v>
      </c>
      <c r="AC195" t="s">
        <v>58</v>
      </c>
      <c r="AE195" t="s">
        <v>58</v>
      </c>
      <c r="AG195" t="s">
        <v>63</v>
      </c>
      <c r="AH195" s="11" t="str">
        <f t="shared" si="5"/>
        <v>mailto: soilterrain@victoria1.gov.bc.ca</v>
      </c>
    </row>
    <row r="196" spans="1:34">
      <c r="A196" t="s">
        <v>596</v>
      </c>
      <c r="B196" t="s">
        <v>56</v>
      </c>
      <c r="C196" s="10" t="s">
        <v>597</v>
      </c>
      <c r="D196" t="s">
        <v>61</v>
      </c>
      <c r="E196" t="s">
        <v>59</v>
      </c>
      <c r="F196" t="s">
        <v>598</v>
      </c>
      <c r="G196">
        <v>50000</v>
      </c>
      <c r="H196" t="s">
        <v>187</v>
      </c>
      <c r="I196" t="s">
        <v>58</v>
      </c>
      <c r="J196" t="s">
        <v>58</v>
      </c>
      <c r="K196" t="s">
        <v>61</v>
      </c>
      <c r="L196" t="s">
        <v>58</v>
      </c>
      <c r="M196" t="s">
        <v>58</v>
      </c>
      <c r="Q196" t="s">
        <v>58</v>
      </c>
      <c r="R196" s="11" t="str">
        <f>HYPERLINK("\\imagefiles.bcgov\imagery\scanned_maps\moe_terrain_maps\Scanned_T_maps_all\B02\B02-4914","\\imagefiles.bcgov\imagery\scanned_maps\moe_terrain_maps\Scanned_T_maps_all\B02\B02-4914")</f>
        <v>\\imagefiles.bcgov\imagery\scanned_maps\moe_terrain_maps\Scanned_T_maps_all\B02\B02-4914</v>
      </c>
      <c r="S196" t="s">
        <v>62</v>
      </c>
      <c r="T196" s="11" t="str">
        <f>HYPERLINK("http://www.env.gov.bc.ca/esd/distdata/ecosystems/TEI_Scanned_Maps/B02/B02-4914","http://www.env.gov.bc.ca/esd/distdata/ecosystems/TEI_Scanned_Maps/B02/B02-4914")</f>
        <v>http://www.env.gov.bc.ca/esd/distdata/ecosystems/TEI_Scanned_Maps/B02/B02-4914</v>
      </c>
      <c r="U196" t="s">
        <v>58</v>
      </c>
      <c r="V196" t="s">
        <v>58</v>
      </c>
      <c r="W196" t="s">
        <v>58</v>
      </c>
      <c r="X196" t="s">
        <v>58</v>
      </c>
      <c r="Y196" t="s">
        <v>58</v>
      </c>
      <c r="Z196" t="s">
        <v>58</v>
      </c>
      <c r="AA196" t="s">
        <v>58</v>
      </c>
      <c r="AC196" t="s">
        <v>58</v>
      </c>
      <c r="AE196" t="s">
        <v>58</v>
      </c>
      <c r="AG196" t="s">
        <v>63</v>
      </c>
      <c r="AH196" s="11" t="str">
        <f t="shared" si="5"/>
        <v>mailto: soilterrain@victoria1.gov.bc.ca</v>
      </c>
    </row>
    <row r="197" spans="1:34">
      <c r="A197" t="s">
        <v>599</v>
      </c>
      <c r="B197" t="s">
        <v>56</v>
      </c>
      <c r="C197" s="10" t="s">
        <v>600</v>
      </c>
      <c r="D197" t="s">
        <v>58</v>
      </c>
      <c r="E197" t="s">
        <v>59</v>
      </c>
      <c r="F197" t="s">
        <v>601</v>
      </c>
      <c r="G197">
        <v>50000</v>
      </c>
      <c r="H197" t="s">
        <v>187</v>
      </c>
      <c r="I197" t="s">
        <v>58</v>
      </c>
      <c r="J197" t="s">
        <v>58</v>
      </c>
      <c r="K197" t="s">
        <v>61</v>
      </c>
      <c r="L197" t="s">
        <v>58</v>
      </c>
      <c r="M197" t="s">
        <v>58</v>
      </c>
      <c r="Q197" t="s">
        <v>58</v>
      </c>
      <c r="R197" s="11" t="str">
        <f>HYPERLINK("\\imagefiles.bcgov\imagery\scanned_maps\moe_terrain_maps\Scanned_T_maps_all\B02\B02-4915","\\imagefiles.bcgov\imagery\scanned_maps\moe_terrain_maps\Scanned_T_maps_all\B02\B02-4915")</f>
        <v>\\imagefiles.bcgov\imagery\scanned_maps\moe_terrain_maps\Scanned_T_maps_all\B02\B02-4915</v>
      </c>
      <c r="S197" t="s">
        <v>62</v>
      </c>
      <c r="T197" s="11" t="str">
        <f>HYPERLINK("http://www.env.gov.bc.ca/esd/distdata/ecosystems/TEI_Scanned_Maps/B02/B02-4915","http://www.env.gov.bc.ca/esd/distdata/ecosystems/TEI_Scanned_Maps/B02/B02-4915")</f>
        <v>http://www.env.gov.bc.ca/esd/distdata/ecosystems/TEI_Scanned_Maps/B02/B02-4915</v>
      </c>
      <c r="U197" t="s">
        <v>58</v>
      </c>
      <c r="V197" t="s">
        <v>58</v>
      </c>
      <c r="W197" t="s">
        <v>58</v>
      </c>
      <c r="X197" t="s">
        <v>58</v>
      </c>
      <c r="Y197" t="s">
        <v>58</v>
      </c>
      <c r="Z197" t="s">
        <v>58</v>
      </c>
      <c r="AA197" t="s">
        <v>58</v>
      </c>
      <c r="AC197" t="s">
        <v>58</v>
      </c>
      <c r="AE197" t="s">
        <v>58</v>
      </c>
      <c r="AG197" t="s">
        <v>63</v>
      </c>
      <c r="AH197" s="11" t="str">
        <f t="shared" si="5"/>
        <v>mailto: soilterrain@victoria1.gov.bc.ca</v>
      </c>
    </row>
    <row r="198" spans="1:34">
      <c r="A198" t="s">
        <v>602</v>
      </c>
      <c r="B198" t="s">
        <v>56</v>
      </c>
      <c r="C198" s="10" t="s">
        <v>603</v>
      </c>
      <c r="D198" t="s">
        <v>58</v>
      </c>
      <c r="E198" t="s">
        <v>59</v>
      </c>
      <c r="F198" t="s">
        <v>604</v>
      </c>
      <c r="G198">
        <v>50000</v>
      </c>
      <c r="H198" t="s">
        <v>187</v>
      </c>
      <c r="I198" t="s">
        <v>58</v>
      </c>
      <c r="J198" t="s">
        <v>58</v>
      </c>
      <c r="K198" t="s">
        <v>61</v>
      </c>
      <c r="L198" t="s">
        <v>58</v>
      </c>
      <c r="M198" t="s">
        <v>58</v>
      </c>
      <c r="Q198" t="s">
        <v>58</v>
      </c>
      <c r="R198" s="11" t="str">
        <f>HYPERLINK("\\imagefiles.bcgov\imagery\scanned_maps\moe_terrain_maps\Scanned_T_maps_all\B02\B02-4916","\\imagefiles.bcgov\imagery\scanned_maps\moe_terrain_maps\Scanned_T_maps_all\B02\B02-4916")</f>
        <v>\\imagefiles.bcgov\imagery\scanned_maps\moe_terrain_maps\Scanned_T_maps_all\B02\B02-4916</v>
      </c>
      <c r="S198" t="s">
        <v>62</v>
      </c>
      <c r="T198" s="11" t="str">
        <f>HYPERLINK("http://www.env.gov.bc.ca/esd/distdata/ecosystems/TEI_Scanned_Maps/B02/B02-4916","http://www.env.gov.bc.ca/esd/distdata/ecosystems/TEI_Scanned_Maps/B02/B02-4916")</f>
        <v>http://www.env.gov.bc.ca/esd/distdata/ecosystems/TEI_Scanned_Maps/B02/B02-4916</v>
      </c>
      <c r="U198" t="s">
        <v>58</v>
      </c>
      <c r="V198" t="s">
        <v>58</v>
      </c>
      <c r="W198" t="s">
        <v>58</v>
      </c>
      <c r="X198" t="s">
        <v>58</v>
      </c>
      <c r="Y198" t="s">
        <v>58</v>
      </c>
      <c r="Z198" t="s">
        <v>58</v>
      </c>
      <c r="AA198" t="s">
        <v>58</v>
      </c>
      <c r="AC198" t="s">
        <v>58</v>
      </c>
      <c r="AE198" t="s">
        <v>58</v>
      </c>
      <c r="AG198" t="s">
        <v>63</v>
      </c>
      <c r="AH198" s="11" t="str">
        <f t="shared" si="5"/>
        <v>mailto: soilterrain@victoria1.gov.bc.ca</v>
      </c>
    </row>
    <row r="199" spans="1:34">
      <c r="A199" t="s">
        <v>605</v>
      </c>
      <c r="B199" t="s">
        <v>56</v>
      </c>
      <c r="C199" s="10" t="s">
        <v>606</v>
      </c>
      <c r="D199" t="s">
        <v>58</v>
      </c>
      <c r="E199" t="s">
        <v>59</v>
      </c>
      <c r="F199" t="s">
        <v>607</v>
      </c>
      <c r="G199">
        <v>50000</v>
      </c>
      <c r="H199" t="s">
        <v>187</v>
      </c>
      <c r="I199" t="s">
        <v>58</v>
      </c>
      <c r="J199" t="s">
        <v>58</v>
      </c>
      <c r="K199" t="s">
        <v>61</v>
      </c>
      <c r="L199" t="s">
        <v>58</v>
      </c>
      <c r="M199" t="s">
        <v>58</v>
      </c>
      <c r="Q199" t="s">
        <v>58</v>
      </c>
      <c r="R199" s="11" t="str">
        <f>HYPERLINK("\\imagefiles.bcgov\imagery\scanned_maps\moe_terrain_maps\Scanned_T_maps_all\B02\B02-4917","\\imagefiles.bcgov\imagery\scanned_maps\moe_terrain_maps\Scanned_T_maps_all\B02\B02-4917")</f>
        <v>\\imagefiles.bcgov\imagery\scanned_maps\moe_terrain_maps\Scanned_T_maps_all\B02\B02-4917</v>
      </c>
      <c r="S199" t="s">
        <v>62</v>
      </c>
      <c r="T199" s="11" t="str">
        <f>HYPERLINK("http://www.env.gov.bc.ca/esd/distdata/ecosystems/TEI_Scanned_Maps/B02/B02-4917","http://www.env.gov.bc.ca/esd/distdata/ecosystems/TEI_Scanned_Maps/B02/B02-4917")</f>
        <v>http://www.env.gov.bc.ca/esd/distdata/ecosystems/TEI_Scanned_Maps/B02/B02-4917</v>
      </c>
      <c r="U199" t="s">
        <v>58</v>
      </c>
      <c r="V199" t="s">
        <v>58</v>
      </c>
      <c r="W199" t="s">
        <v>58</v>
      </c>
      <c r="X199" t="s">
        <v>58</v>
      </c>
      <c r="Y199" t="s">
        <v>58</v>
      </c>
      <c r="Z199" t="s">
        <v>58</v>
      </c>
      <c r="AA199" t="s">
        <v>58</v>
      </c>
      <c r="AC199" t="s">
        <v>58</v>
      </c>
      <c r="AE199" t="s">
        <v>58</v>
      </c>
      <c r="AG199" t="s">
        <v>63</v>
      </c>
      <c r="AH199" s="11" t="str">
        <f t="shared" si="5"/>
        <v>mailto: soilterrain@victoria1.gov.bc.ca</v>
      </c>
    </row>
    <row r="200" spans="1:34">
      <c r="A200" t="s">
        <v>608</v>
      </c>
      <c r="B200" t="s">
        <v>56</v>
      </c>
      <c r="C200" s="10" t="s">
        <v>609</v>
      </c>
      <c r="D200" t="s">
        <v>58</v>
      </c>
      <c r="E200" t="s">
        <v>59</v>
      </c>
      <c r="F200" t="s">
        <v>610</v>
      </c>
      <c r="G200">
        <v>50000</v>
      </c>
      <c r="H200" t="s">
        <v>187</v>
      </c>
      <c r="I200" t="s">
        <v>58</v>
      </c>
      <c r="J200" t="s">
        <v>58</v>
      </c>
      <c r="K200" t="s">
        <v>61</v>
      </c>
      <c r="L200" t="s">
        <v>58</v>
      </c>
      <c r="M200" t="s">
        <v>58</v>
      </c>
      <c r="Q200" t="s">
        <v>58</v>
      </c>
      <c r="R200" s="11" t="str">
        <f>HYPERLINK("\\imagefiles.bcgov\imagery\scanned_maps\moe_terrain_maps\Scanned_T_maps_all\B02\B02-4919","\\imagefiles.bcgov\imagery\scanned_maps\moe_terrain_maps\Scanned_T_maps_all\B02\B02-4919")</f>
        <v>\\imagefiles.bcgov\imagery\scanned_maps\moe_terrain_maps\Scanned_T_maps_all\B02\B02-4919</v>
      </c>
      <c r="S200" t="s">
        <v>62</v>
      </c>
      <c r="T200" s="11" t="str">
        <f>HYPERLINK("http://www.env.gov.bc.ca/esd/distdata/ecosystems/TEI_Scanned_Maps/B02/B02-4919","http://www.env.gov.bc.ca/esd/distdata/ecosystems/TEI_Scanned_Maps/B02/B02-4919")</f>
        <v>http://www.env.gov.bc.ca/esd/distdata/ecosystems/TEI_Scanned_Maps/B02/B02-4919</v>
      </c>
      <c r="U200" t="s">
        <v>58</v>
      </c>
      <c r="V200" t="s">
        <v>58</v>
      </c>
      <c r="W200" t="s">
        <v>58</v>
      </c>
      <c r="X200" t="s">
        <v>58</v>
      </c>
      <c r="Y200" t="s">
        <v>58</v>
      </c>
      <c r="Z200" t="s">
        <v>58</v>
      </c>
      <c r="AA200" t="s">
        <v>58</v>
      </c>
      <c r="AC200" t="s">
        <v>58</v>
      </c>
      <c r="AE200" t="s">
        <v>58</v>
      </c>
      <c r="AG200" t="s">
        <v>63</v>
      </c>
      <c r="AH200" s="11" t="str">
        <f t="shared" si="5"/>
        <v>mailto: soilterrain@victoria1.gov.bc.ca</v>
      </c>
    </row>
    <row r="201" spans="1:34">
      <c r="A201" t="s">
        <v>611</v>
      </c>
      <c r="B201" t="s">
        <v>56</v>
      </c>
      <c r="C201" s="10" t="s">
        <v>612</v>
      </c>
      <c r="D201" t="s">
        <v>58</v>
      </c>
      <c r="E201" t="s">
        <v>59</v>
      </c>
      <c r="F201" t="s">
        <v>613</v>
      </c>
      <c r="G201">
        <v>50000</v>
      </c>
      <c r="H201" t="s">
        <v>187</v>
      </c>
      <c r="I201" t="s">
        <v>58</v>
      </c>
      <c r="J201" t="s">
        <v>58</v>
      </c>
      <c r="K201" t="s">
        <v>61</v>
      </c>
      <c r="L201" t="s">
        <v>58</v>
      </c>
      <c r="M201" t="s">
        <v>58</v>
      </c>
      <c r="Q201" t="s">
        <v>58</v>
      </c>
      <c r="R201" s="11" t="str">
        <f>HYPERLINK("\\imagefiles.bcgov\imagery\scanned_maps\moe_terrain_maps\Scanned_T_maps_all\B02\B02-4920","\\imagefiles.bcgov\imagery\scanned_maps\moe_terrain_maps\Scanned_T_maps_all\B02\B02-4920")</f>
        <v>\\imagefiles.bcgov\imagery\scanned_maps\moe_terrain_maps\Scanned_T_maps_all\B02\B02-4920</v>
      </c>
      <c r="S201" t="s">
        <v>62</v>
      </c>
      <c r="T201" s="11" t="str">
        <f>HYPERLINK("http://www.env.gov.bc.ca/esd/distdata/ecosystems/TEI_Scanned_Maps/B02/B02-4920","http://www.env.gov.bc.ca/esd/distdata/ecosystems/TEI_Scanned_Maps/B02/B02-4920")</f>
        <v>http://www.env.gov.bc.ca/esd/distdata/ecosystems/TEI_Scanned_Maps/B02/B02-4920</v>
      </c>
      <c r="U201" t="s">
        <v>58</v>
      </c>
      <c r="V201" t="s">
        <v>58</v>
      </c>
      <c r="W201" t="s">
        <v>58</v>
      </c>
      <c r="X201" t="s">
        <v>58</v>
      </c>
      <c r="Y201" t="s">
        <v>58</v>
      </c>
      <c r="Z201" t="s">
        <v>58</v>
      </c>
      <c r="AA201" t="s">
        <v>58</v>
      </c>
      <c r="AC201" t="s">
        <v>58</v>
      </c>
      <c r="AE201" t="s">
        <v>58</v>
      </c>
      <c r="AG201" t="s">
        <v>63</v>
      </c>
      <c r="AH201" s="11" t="str">
        <f t="shared" si="5"/>
        <v>mailto: soilterrain@victoria1.gov.bc.ca</v>
      </c>
    </row>
    <row r="202" spans="1:34">
      <c r="A202" t="s">
        <v>614</v>
      </c>
      <c r="B202" t="s">
        <v>56</v>
      </c>
      <c r="C202" s="10" t="s">
        <v>318</v>
      </c>
      <c r="D202" t="s">
        <v>58</v>
      </c>
      <c r="E202" t="s">
        <v>59</v>
      </c>
      <c r="F202" t="s">
        <v>615</v>
      </c>
      <c r="G202">
        <v>50000</v>
      </c>
      <c r="H202" t="s">
        <v>187</v>
      </c>
      <c r="I202" t="s">
        <v>58</v>
      </c>
      <c r="J202" t="s">
        <v>58</v>
      </c>
      <c r="K202" t="s">
        <v>61</v>
      </c>
      <c r="L202" t="s">
        <v>58</v>
      </c>
      <c r="M202" t="s">
        <v>58</v>
      </c>
      <c r="Q202" t="s">
        <v>58</v>
      </c>
      <c r="R202" s="11" t="str">
        <f>HYPERLINK("\\imagefiles.bcgov\imagery\scanned_maps\moe_terrain_maps\Scanned_T_maps_all\B02\B02-4921","\\imagefiles.bcgov\imagery\scanned_maps\moe_terrain_maps\Scanned_T_maps_all\B02\B02-4921")</f>
        <v>\\imagefiles.bcgov\imagery\scanned_maps\moe_terrain_maps\Scanned_T_maps_all\B02\B02-4921</v>
      </c>
      <c r="S202" t="s">
        <v>62</v>
      </c>
      <c r="T202" s="11" t="str">
        <f>HYPERLINK("http://www.env.gov.bc.ca/esd/distdata/ecosystems/TEI_Scanned_Maps/B02/B02-4921","http://www.env.gov.bc.ca/esd/distdata/ecosystems/TEI_Scanned_Maps/B02/B02-4921")</f>
        <v>http://www.env.gov.bc.ca/esd/distdata/ecosystems/TEI_Scanned_Maps/B02/B02-4921</v>
      </c>
      <c r="U202" t="s">
        <v>58</v>
      </c>
      <c r="V202" t="s">
        <v>58</v>
      </c>
      <c r="W202" t="s">
        <v>58</v>
      </c>
      <c r="X202" t="s">
        <v>58</v>
      </c>
      <c r="Y202" t="s">
        <v>58</v>
      </c>
      <c r="Z202" t="s">
        <v>58</v>
      </c>
      <c r="AA202" t="s">
        <v>58</v>
      </c>
      <c r="AC202" t="s">
        <v>58</v>
      </c>
      <c r="AE202" t="s">
        <v>58</v>
      </c>
      <c r="AG202" t="s">
        <v>63</v>
      </c>
      <c r="AH202" s="11" t="str">
        <f t="shared" si="5"/>
        <v>mailto: soilterrain@victoria1.gov.bc.ca</v>
      </c>
    </row>
    <row r="203" spans="1:34">
      <c r="A203" t="s">
        <v>616</v>
      </c>
      <c r="B203" t="s">
        <v>56</v>
      </c>
      <c r="C203" s="10" t="s">
        <v>322</v>
      </c>
      <c r="D203" t="s">
        <v>58</v>
      </c>
      <c r="E203" t="s">
        <v>59</v>
      </c>
      <c r="F203" t="s">
        <v>617</v>
      </c>
      <c r="G203">
        <v>50000</v>
      </c>
      <c r="H203" t="s">
        <v>187</v>
      </c>
      <c r="I203" t="s">
        <v>58</v>
      </c>
      <c r="J203" t="s">
        <v>58</v>
      </c>
      <c r="K203" t="s">
        <v>61</v>
      </c>
      <c r="L203" t="s">
        <v>58</v>
      </c>
      <c r="M203" t="s">
        <v>58</v>
      </c>
      <c r="Q203" t="s">
        <v>58</v>
      </c>
      <c r="R203" s="11" t="str">
        <f>HYPERLINK("\\imagefiles.bcgov\imagery\scanned_maps\moe_terrain_maps\Scanned_T_maps_all\B02\B02-4922","\\imagefiles.bcgov\imagery\scanned_maps\moe_terrain_maps\Scanned_T_maps_all\B02\B02-4922")</f>
        <v>\\imagefiles.bcgov\imagery\scanned_maps\moe_terrain_maps\Scanned_T_maps_all\B02\B02-4922</v>
      </c>
      <c r="S203" t="s">
        <v>62</v>
      </c>
      <c r="T203" s="11" t="str">
        <f>HYPERLINK("http://www.env.gov.bc.ca/esd/distdata/ecosystems/TEI_Scanned_Maps/B02/B02-4922","http://www.env.gov.bc.ca/esd/distdata/ecosystems/TEI_Scanned_Maps/B02/B02-4922")</f>
        <v>http://www.env.gov.bc.ca/esd/distdata/ecosystems/TEI_Scanned_Maps/B02/B02-4922</v>
      </c>
      <c r="U203" t="s">
        <v>58</v>
      </c>
      <c r="V203" t="s">
        <v>58</v>
      </c>
      <c r="W203" t="s">
        <v>58</v>
      </c>
      <c r="X203" t="s">
        <v>58</v>
      </c>
      <c r="Y203" t="s">
        <v>58</v>
      </c>
      <c r="Z203" t="s">
        <v>58</v>
      </c>
      <c r="AA203" t="s">
        <v>58</v>
      </c>
      <c r="AC203" t="s">
        <v>58</v>
      </c>
      <c r="AE203" t="s">
        <v>58</v>
      </c>
      <c r="AG203" t="s">
        <v>63</v>
      </c>
      <c r="AH203" s="11" t="str">
        <f t="shared" si="5"/>
        <v>mailto: soilterrain@victoria1.gov.bc.ca</v>
      </c>
    </row>
    <row r="204" spans="1:34">
      <c r="A204" t="s">
        <v>618</v>
      </c>
      <c r="B204" t="s">
        <v>56</v>
      </c>
      <c r="C204" s="10" t="s">
        <v>619</v>
      </c>
      <c r="D204" t="s">
        <v>58</v>
      </c>
      <c r="E204" t="s">
        <v>59</v>
      </c>
      <c r="F204" t="s">
        <v>620</v>
      </c>
      <c r="G204">
        <v>50000</v>
      </c>
      <c r="H204" t="s">
        <v>187</v>
      </c>
      <c r="I204" t="s">
        <v>58</v>
      </c>
      <c r="J204" t="s">
        <v>58</v>
      </c>
      <c r="K204" t="s">
        <v>61</v>
      </c>
      <c r="L204" t="s">
        <v>58</v>
      </c>
      <c r="M204" t="s">
        <v>58</v>
      </c>
      <c r="Q204" t="s">
        <v>58</v>
      </c>
      <c r="R204" s="11" t="str">
        <f>HYPERLINK("\\imagefiles.bcgov\imagery\scanned_maps\moe_terrain_maps\Scanned_T_maps_all\B02\B02-4923","\\imagefiles.bcgov\imagery\scanned_maps\moe_terrain_maps\Scanned_T_maps_all\B02\B02-4923")</f>
        <v>\\imagefiles.bcgov\imagery\scanned_maps\moe_terrain_maps\Scanned_T_maps_all\B02\B02-4923</v>
      </c>
      <c r="S204" t="s">
        <v>62</v>
      </c>
      <c r="T204" s="11" t="str">
        <f>HYPERLINK("http://www.env.gov.bc.ca/esd/distdata/ecosystems/TEI_Scanned_Maps/B02/B02-4923","http://www.env.gov.bc.ca/esd/distdata/ecosystems/TEI_Scanned_Maps/B02/B02-4923")</f>
        <v>http://www.env.gov.bc.ca/esd/distdata/ecosystems/TEI_Scanned_Maps/B02/B02-4923</v>
      </c>
      <c r="U204" t="s">
        <v>58</v>
      </c>
      <c r="V204" t="s">
        <v>58</v>
      </c>
      <c r="W204" t="s">
        <v>58</v>
      </c>
      <c r="X204" t="s">
        <v>58</v>
      </c>
      <c r="Y204" t="s">
        <v>58</v>
      </c>
      <c r="Z204" t="s">
        <v>58</v>
      </c>
      <c r="AA204" t="s">
        <v>58</v>
      </c>
      <c r="AC204" t="s">
        <v>58</v>
      </c>
      <c r="AE204" t="s">
        <v>58</v>
      </c>
      <c r="AG204" t="s">
        <v>63</v>
      </c>
      <c r="AH204" s="11" t="str">
        <f t="shared" si="5"/>
        <v>mailto: soilterrain@victoria1.gov.bc.ca</v>
      </c>
    </row>
    <row r="205" spans="1:34">
      <c r="A205" t="s">
        <v>621</v>
      </c>
      <c r="B205" t="s">
        <v>56</v>
      </c>
      <c r="C205" s="10" t="s">
        <v>622</v>
      </c>
      <c r="D205" t="s">
        <v>58</v>
      </c>
      <c r="E205" t="s">
        <v>59</v>
      </c>
      <c r="F205" t="s">
        <v>623</v>
      </c>
      <c r="G205">
        <v>250000</v>
      </c>
      <c r="H205" t="s">
        <v>400</v>
      </c>
      <c r="I205" t="s">
        <v>401</v>
      </c>
      <c r="J205" t="s">
        <v>58</v>
      </c>
      <c r="K205" t="s">
        <v>61</v>
      </c>
      <c r="L205" t="s">
        <v>58</v>
      </c>
      <c r="M205" t="s">
        <v>58</v>
      </c>
      <c r="Q205" t="s">
        <v>58</v>
      </c>
      <c r="R205" s="11" t="str">
        <f>HYPERLINK("\\imagefiles.bcgov\imagery\scanned_maps\moe_terrain_maps\Scanned_T_maps_all\B02\B02-4924","\\imagefiles.bcgov\imagery\scanned_maps\moe_terrain_maps\Scanned_T_maps_all\B02\B02-4924")</f>
        <v>\\imagefiles.bcgov\imagery\scanned_maps\moe_terrain_maps\Scanned_T_maps_all\B02\B02-4924</v>
      </c>
      <c r="S205" t="s">
        <v>62</v>
      </c>
      <c r="T205" s="11" t="str">
        <f>HYPERLINK("http://www.env.gov.bc.ca/esd/distdata/ecosystems/TEI_Scanned_Maps/B02/B02-4924","http://www.env.gov.bc.ca/esd/distdata/ecosystems/TEI_Scanned_Maps/B02/B02-4924")</f>
        <v>http://www.env.gov.bc.ca/esd/distdata/ecosystems/TEI_Scanned_Maps/B02/B02-4924</v>
      </c>
      <c r="U205" t="s">
        <v>269</v>
      </c>
      <c r="V205" s="11" t="str">
        <f>HYPERLINK("http://www.library.for.gov.bc.ca/#focus","http://www.library.for.gov.bc.ca/#focus")</f>
        <v>http://www.library.for.gov.bc.ca/#focus</v>
      </c>
      <c r="W205" t="s">
        <v>58</v>
      </c>
      <c r="X205" t="s">
        <v>58</v>
      </c>
      <c r="Y205" t="s">
        <v>58</v>
      </c>
      <c r="Z205" t="s">
        <v>58</v>
      </c>
      <c r="AA205" t="s">
        <v>58</v>
      </c>
      <c r="AC205" t="s">
        <v>58</v>
      </c>
      <c r="AE205" t="s">
        <v>58</v>
      </c>
      <c r="AG205" t="s">
        <v>63</v>
      </c>
      <c r="AH205" s="11" t="str">
        <f t="shared" si="5"/>
        <v>mailto: soilterrain@victoria1.gov.bc.ca</v>
      </c>
    </row>
    <row r="206" spans="1:34">
      <c r="A206" t="s">
        <v>624</v>
      </c>
      <c r="B206" t="s">
        <v>56</v>
      </c>
      <c r="C206" s="10" t="s">
        <v>622</v>
      </c>
      <c r="D206" t="s">
        <v>58</v>
      </c>
      <c r="E206" t="s">
        <v>59</v>
      </c>
      <c r="F206" t="s">
        <v>625</v>
      </c>
      <c r="G206">
        <v>250000</v>
      </c>
      <c r="H206" t="s">
        <v>400</v>
      </c>
      <c r="I206" t="s">
        <v>401</v>
      </c>
      <c r="J206" t="s">
        <v>58</v>
      </c>
      <c r="K206" t="s">
        <v>58</v>
      </c>
      <c r="L206" t="s">
        <v>58</v>
      </c>
      <c r="M206" t="s">
        <v>58</v>
      </c>
      <c r="P206" t="s">
        <v>61</v>
      </c>
      <c r="Q206" t="s">
        <v>58</v>
      </c>
      <c r="R206" s="11" t="str">
        <f>HYPERLINK("\\imagefiles.bcgov\imagery\scanned_maps\moe_terrain_maps\Scanned_T_maps_all\B02\B02-4925","\\imagefiles.bcgov\imagery\scanned_maps\moe_terrain_maps\Scanned_T_maps_all\B02\B02-4925")</f>
        <v>\\imagefiles.bcgov\imagery\scanned_maps\moe_terrain_maps\Scanned_T_maps_all\B02\B02-4925</v>
      </c>
      <c r="S206" t="s">
        <v>62</v>
      </c>
      <c r="T206" s="11" t="str">
        <f>HYPERLINK("http://www.env.gov.bc.ca/esd/distdata/ecosystems/TEI_Scanned_Maps/B02/B02-4925","http://www.env.gov.bc.ca/esd/distdata/ecosystems/TEI_Scanned_Maps/B02/B02-4925")</f>
        <v>http://www.env.gov.bc.ca/esd/distdata/ecosystems/TEI_Scanned_Maps/B02/B02-4925</v>
      </c>
      <c r="U206" t="s">
        <v>269</v>
      </c>
      <c r="V206" s="11" t="str">
        <f>HYPERLINK("http://www.library.for.gov.bc.ca/#focus","http://www.library.for.gov.bc.ca/#focus")</f>
        <v>http://www.library.for.gov.bc.ca/#focus</v>
      </c>
      <c r="W206" t="s">
        <v>58</v>
      </c>
      <c r="X206" t="s">
        <v>58</v>
      </c>
      <c r="Y206" t="s">
        <v>58</v>
      </c>
      <c r="Z206" t="s">
        <v>58</v>
      </c>
      <c r="AA206" t="s">
        <v>58</v>
      </c>
      <c r="AC206" t="s">
        <v>58</v>
      </c>
      <c r="AE206" t="s">
        <v>58</v>
      </c>
      <c r="AG206" t="s">
        <v>63</v>
      </c>
      <c r="AH206" s="11" t="str">
        <f t="shared" si="5"/>
        <v>mailto: soilterrain@victoria1.gov.bc.ca</v>
      </c>
    </row>
    <row r="207" spans="1:34">
      <c r="A207" t="s">
        <v>626</v>
      </c>
      <c r="B207" t="s">
        <v>56</v>
      </c>
      <c r="C207" s="10" t="s">
        <v>622</v>
      </c>
      <c r="D207" t="s">
        <v>58</v>
      </c>
      <c r="E207" t="s">
        <v>59</v>
      </c>
      <c r="F207" t="s">
        <v>627</v>
      </c>
      <c r="G207">
        <v>250000</v>
      </c>
      <c r="H207" t="s">
        <v>400</v>
      </c>
      <c r="I207" t="s">
        <v>401</v>
      </c>
      <c r="J207" t="s">
        <v>58</v>
      </c>
      <c r="K207" t="s">
        <v>58</v>
      </c>
      <c r="L207" t="s">
        <v>58</v>
      </c>
      <c r="M207" t="s">
        <v>58</v>
      </c>
      <c r="P207" t="s">
        <v>61</v>
      </c>
      <c r="Q207" t="s">
        <v>58</v>
      </c>
      <c r="R207" s="11" t="str">
        <f>HYPERLINK("\\imagefiles.bcgov\imagery\scanned_maps\moe_terrain_maps\Scanned_T_maps_all\B02\B02-4926","\\imagefiles.bcgov\imagery\scanned_maps\moe_terrain_maps\Scanned_T_maps_all\B02\B02-4926")</f>
        <v>\\imagefiles.bcgov\imagery\scanned_maps\moe_terrain_maps\Scanned_T_maps_all\B02\B02-4926</v>
      </c>
      <c r="S207" t="s">
        <v>62</v>
      </c>
      <c r="T207" s="11" t="str">
        <f>HYPERLINK("http://www.env.gov.bc.ca/esd/distdata/ecosystems/TEI_Scanned_Maps/B02/B02-4926","http://www.env.gov.bc.ca/esd/distdata/ecosystems/TEI_Scanned_Maps/B02/B02-4926")</f>
        <v>http://www.env.gov.bc.ca/esd/distdata/ecosystems/TEI_Scanned_Maps/B02/B02-4926</v>
      </c>
      <c r="U207" t="s">
        <v>269</v>
      </c>
      <c r="V207" s="11" t="str">
        <f>HYPERLINK("http://www.library.for.gov.bc.ca/#focus","http://www.library.for.gov.bc.ca/#focus")</f>
        <v>http://www.library.for.gov.bc.ca/#focus</v>
      </c>
      <c r="W207" t="s">
        <v>58</v>
      </c>
      <c r="X207" t="s">
        <v>58</v>
      </c>
      <c r="Y207" t="s">
        <v>58</v>
      </c>
      <c r="Z207" t="s">
        <v>58</v>
      </c>
      <c r="AA207" t="s">
        <v>58</v>
      </c>
      <c r="AC207" t="s">
        <v>58</v>
      </c>
      <c r="AE207" t="s">
        <v>58</v>
      </c>
      <c r="AG207" t="s">
        <v>63</v>
      </c>
      <c r="AH207" s="11" t="str">
        <f t="shared" si="5"/>
        <v>mailto: soilterrain@victoria1.gov.bc.ca</v>
      </c>
    </row>
    <row r="208" spans="1:34">
      <c r="A208" t="s">
        <v>628</v>
      </c>
      <c r="B208" t="s">
        <v>56</v>
      </c>
      <c r="C208" s="10" t="s">
        <v>629</v>
      </c>
      <c r="D208" t="s">
        <v>58</v>
      </c>
      <c r="E208" t="s">
        <v>59</v>
      </c>
      <c r="F208" t="s">
        <v>630</v>
      </c>
      <c r="G208">
        <v>50000</v>
      </c>
      <c r="H208" t="s">
        <v>187</v>
      </c>
      <c r="I208" t="s">
        <v>58</v>
      </c>
      <c r="J208" t="s">
        <v>58</v>
      </c>
      <c r="K208" t="s">
        <v>61</v>
      </c>
      <c r="L208" t="s">
        <v>58</v>
      </c>
      <c r="M208" t="s">
        <v>58</v>
      </c>
      <c r="Q208" t="s">
        <v>58</v>
      </c>
      <c r="R208" s="11" t="str">
        <f>HYPERLINK("\\imagefiles.bcgov\imagery\scanned_maps\moe_terrain_maps\Scanned_T_maps_all\B02\B02-4927","\\imagefiles.bcgov\imagery\scanned_maps\moe_terrain_maps\Scanned_T_maps_all\B02\B02-4927")</f>
        <v>\\imagefiles.bcgov\imagery\scanned_maps\moe_terrain_maps\Scanned_T_maps_all\B02\B02-4927</v>
      </c>
      <c r="S208" t="s">
        <v>62</v>
      </c>
      <c r="T208" s="11" t="str">
        <f>HYPERLINK("http://www.env.gov.bc.ca/esd/distdata/ecosystems/TEI_Scanned_Maps/B02/B02-4927","http://www.env.gov.bc.ca/esd/distdata/ecosystems/TEI_Scanned_Maps/B02/B02-4927")</f>
        <v>http://www.env.gov.bc.ca/esd/distdata/ecosystems/TEI_Scanned_Maps/B02/B02-4927</v>
      </c>
      <c r="U208" t="s">
        <v>58</v>
      </c>
      <c r="V208" t="s">
        <v>58</v>
      </c>
      <c r="W208" t="s">
        <v>58</v>
      </c>
      <c r="X208" t="s">
        <v>58</v>
      </c>
      <c r="Y208" t="s">
        <v>58</v>
      </c>
      <c r="Z208" t="s">
        <v>58</v>
      </c>
      <c r="AA208" t="s">
        <v>58</v>
      </c>
      <c r="AC208" t="s">
        <v>58</v>
      </c>
      <c r="AE208" t="s">
        <v>58</v>
      </c>
      <c r="AG208" t="s">
        <v>63</v>
      </c>
      <c r="AH208" s="11" t="str">
        <f t="shared" si="5"/>
        <v>mailto: soilterrain@victoria1.gov.bc.ca</v>
      </c>
    </row>
    <row r="209" spans="1:34">
      <c r="A209" t="s">
        <v>631</v>
      </c>
      <c r="B209" t="s">
        <v>56</v>
      </c>
      <c r="C209" s="10" t="s">
        <v>632</v>
      </c>
      <c r="D209" t="s">
        <v>58</v>
      </c>
      <c r="E209" t="s">
        <v>59</v>
      </c>
      <c r="F209" t="s">
        <v>633</v>
      </c>
      <c r="G209">
        <v>20000</v>
      </c>
      <c r="H209" t="s">
        <v>187</v>
      </c>
      <c r="I209" t="s">
        <v>58</v>
      </c>
      <c r="J209" t="s">
        <v>58</v>
      </c>
      <c r="K209" t="s">
        <v>58</v>
      </c>
      <c r="L209" t="s">
        <v>58</v>
      </c>
      <c r="M209" t="s">
        <v>58</v>
      </c>
      <c r="P209" t="s">
        <v>61</v>
      </c>
      <c r="Q209" t="s">
        <v>58</v>
      </c>
      <c r="R209" s="11" t="str">
        <f>HYPERLINK("\\imagefiles.bcgov\imagery\scanned_maps\moe_terrain_maps\Scanned_T_maps_all\B03\B03-4952","\\imagefiles.bcgov\imagery\scanned_maps\moe_terrain_maps\Scanned_T_maps_all\B03\B03-4952")</f>
        <v>\\imagefiles.bcgov\imagery\scanned_maps\moe_terrain_maps\Scanned_T_maps_all\B03\B03-4952</v>
      </c>
      <c r="S209" t="s">
        <v>62</v>
      </c>
      <c r="T209" s="11" t="str">
        <f>HYPERLINK("http://www.env.gov.bc.ca/esd/distdata/ecosystems/TEI_Scanned_Maps/B03/B03-4952","http://www.env.gov.bc.ca/esd/distdata/ecosystems/TEI_Scanned_Maps/B03/B03-4952")</f>
        <v>http://www.env.gov.bc.ca/esd/distdata/ecosystems/TEI_Scanned_Maps/B03/B03-4952</v>
      </c>
      <c r="U209" t="s">
        <v>58</v>
      </c>
      <c r="V209" t="s">
        <v>58</v>
      </c>
      <c r="W209" t="s">
        <v>58</v>
      </c>
      <c r="X209" t="s">
        <v>58</v>
      </c>
      <c r="Y209" t="s">
        <v>58</v>
      </c>
      <c r="Z209" t="s">
        <v>58</v>
      </c>
      <c r="AA209" t="s">
        <v>58</v>
      </c>
      <c r="AC209" t="s">
        <v>58</v>
      </c>
      <c r="AE209" t="s">
        <v>58</v>
      </c>
      <c r="AG209" t="s">
        <v>63</v>
      </c>
      <c r="AH209" s="11" t="str">
        <f t="shared" si="5"/>
        <v>mailto: soilterrain@victoria1.gov.bc.ca</v>
      </c>
    </row>
    <row r="210" spans="1:34">
      <c r="A210" t="s">
        <v>634</v>
      </c>
      <c r="B210" t="s">
        <v>56</v>
      </c>
      <c r="C210" s="10" t="s">
        <v>635</v>
      </c>
      <c r="D210" t="s">
        <v>61</v>
      </c>
      <c r="E210" t="s">
        <v>59</v>
      </c>
      <c r="F210" t="s">
        <v>636</v>
      </c>
      <c r="G210">
        <v>25000</v>
      </c>
      <c r="H210">
        <v>1975</v>
      </c>
      <c r="I210" t="s">
        <v>58</v>
      </c>
      <c r="J210" t="s">
        <v>58</v>
      </c>
      <c r="K210" t="s">
        <v>61</v>
      </c>
      <c r="L210" t="s">
        <v>58</v>
      </c>
      <c r="M210" t="s">
        <v>58</v>
      </c>
      <c r="Q210" t="s">
        <v>637</v>
      </c>
      <c r="R210" s="11" t="str">
        <f>HYPERLINK("\\imagefiles.bcgov\imagery\scanned_maps\moe_terrain_maps\Scanned_T_maps_all\B03\B03-4953","\\imagefiles.bcgov\imagery\scanned_maps\moe_terrain_maps\Scanned_T_maps_all\B03\B03-4953")</f>
        <v>\\imagefiles.bcgov\imagery\scanned_maps\moe_terrain_maps\Scanned_T_maps_all\B03\B03-4953</v>
      </c>
      <c r="S210" t="s">
        <v>62</v>
      </c>
      <c r="T210" s="11" t="str">
        <f>HYPERLINK("http://www.env.gov.bc.ca/esd/distdata/ecosystems/TEI_Scanned_Maps/B03/B03-4953","http://www.env.gov.bc.ca/esd/distdata/ecosystems/TEI_Scanned_Maps/B03/B03-4953")</f>
        <v>http://www.env.gov.bc.ca/esd/distdata/ecosystems/TEI_Scanned_Maps/B03/B03-4953</v>
      </c>
      <c r="U210" t="s">
        <v>58</v>
      </c>
      <c r="V210" t="s">
        <v>58</v>
      </c>
      <c r="W210" t="s">
        <v>58</v>
      </c>
      <c r="X210" t="s">
        <v>58</v>
      </c>
      <c r="Y210" t="s">
        <v>58</v>
      </c>
      <c r="Z210" t="s">
        <v>58</v>
      </c>
      <c r="AA210" t="s">
        <v>58</v>
      </c>
      <c r="AC210" t="s">
        <v>58</v>
      </c>
      <c r="AE210" t="s">
        <v>58</v>
      </c>
      <c r="AG210" t="s">
        <v>63</v>
      </c>
      <c r="AH210" s="11" t="str">
        <f t="shared" si="5"/>
        <v>mailto: soilterrain@victoria1.gov.bc.ca</v>
      </c>
    </row>
    <row r="211" spans="1:34">
      <c r="A211" t="s">
        <v>638</v>
      </c>
      <c r="B211" t="s">
        <v>56</v>
      </c>
      <c r="C211" s="10" t="s">
        <v>639</v>
      </c>
      <c r="D211" t="s">
        <v>58</v>
      </c>
      <c r="E211" t="s">
        <v>59</v>
      </c>
      <c r="F211" t="s">
        <v>640</v>
      </c>
      <c r="G211">
        <v>12500</v>
      </c>
      <c r="H211" t="s">
        <v>187</v>
      </c>
      <c r="I211" t="s">
        <v>58</v>
      </c>
      <c r="J211" t="s">
        <v>58</v>
      </c>
      <c r="K211" t="s">
        <v>61</v>
      </c>
      <c r="L211" t="s">
        <v>58</v>
      </c>
      <c r="M211" t="s">
        <v>58</v>
      </c>
      <c r="Q211" t="s">
        <v>132</v>
      </c>
      <c r="R211" s="11" t="str">
        <f>HYPERLINK("\\imagefiles.bcgov\imagery\scanned_maps\moe_terrain_maps\Scanned_T_maps_all\B03\B03-4954","\\imagefiles.bcgov\imagery\scanned_maps\moe_terrain_maps\Scanned_T_maps_all\B03\B03-4954")</f>
        <v>\\imagefiles.bcgov\imagery\scanned_maps\moe_terrain_maps\Scanned_T_maps_all\B03\B03-4954</v>
      </c>
      <c r="S211" t="s">
        <v>62</v>
      </c>
      <c r="T211" s="11" t="str">
        <f>HYPERLINK("http://www.env.gov.bc.ca/esd/distdata/ecosystems/TEI_Scanned_Maps/B03/B03-4954","http://www.env.gov.bc.ca/esd/distdata/ecosystems/TEI_Scanned_Maps/B03/B03-4954")</f>
        <v>http://www.env.gov.bc.ca/esd/distdata/ecosystems/TEI_Scanned_Maps/B03/B03-4954</v>
      </c>
      <c r="U211" t="s">
        <v>58</v>
      </c>
      <c r="V211" t="s">
        <v>58</v>
      </c>
      <c r="W211" t="s">
        <v>58</v>
      </c>
      <c r="X211" t="s">
        <v>58</v>
      </c>
      <c r="Y211" t="s">
        <v>58</v>
      </c>
      <c r="Z211" t="s">
        <v>58</v>
      </c>
      <c r="AA211" t="s">
        <v>58</v>
      </c>
      <c r="AC211" t="s">
        <v>58</v>
      </c>
      <c r="AE211" t="s">
        <v>58</v>
      </c>
      <c r="AG211" t="s">
        <v>63</v>
      </c>
      <c r="AH211" s="11" t="str">
        <f t="shared" si="5"/>
        <v>mailto: soilterrain@victoria1.gov.bc.ca</v>
      </c>
    </row>
    <row r="212" spans="1:34">
      <c r="A212" t="s">
        <v>641</v>
      </c>
      <c r="B212" t="s">
        <v>56</v>
      </c>
      <c r="C212" s="10" t="s">
        <v>173</v>
      </c>
      <c r="D212" t="s">
        <v>58</v>
      </c>
      <c r="E212" t="s">
        <v>59</v>
      </c>
      <c r="F212" t="s">
        <v>642</v>
      </c>
      <c r="G212">
        <v>20000</v>
      </c>
      <c r="H212" t="s">
        <v>187</v>
      </c>
      <c r="I212" t="s">
        <v>58</v>
      </c>
      <c r="J212" t="s">
        <v>58</v>
      </c>
      <c r="K212" t="s">
        <v>61</v>
      </c>
      <c r="L212" t="s">
        <v>58</v>
      </c>
      <c r="M212" t="s">
        <v>58</v>
      </c>
      <c r="Q212" t="s">
        <v>58</v>
      </c>
      <c r="R212" s="11" t="str">
        <f>HYPERLINK("\\imagefiles.bcgov\imagery\scanned_maps\moe_terrain_maps\Scanned_T_maps_all\B03\B03-4955","\\imagefiles.bcgov\imagery\scanned_maps\moe_terrain_maps\Scanned_T_maps_all\B03\B03-4955")</f>
        <v>\\imagefiles.bcgov\imagery\scanned_maps\moe_terrain_maps\Scanned_T_maps_all\B03\B03-4955</v>
      </c>
      <c r="S212" t="s">
        <v>62</v>
      </c>
      <c r="T212" s="11" t="str">
        <f>HYPERLINK("http://www.env.gov.bc.ca/esd/distdata/ecosystems/TEI_Scanned_Maps/B03/B03-4955","http://www.env.gov.bc.ca/esd/distdata/ecosystems/TEI_Scanned_Maps/B03/B03-4955")</f>
        <v>http://www.env.gov.bc.ca/esd/distdata/ecosystems/TEI_Scanned_Maps/B03/B03-4955</v>
      </c>
      <c r="U212" t="s">
        <v>58</v>
      </c>
      <c r="V212" t="s">
        <v>58</v>
      </c>
      <c r="W212" t="s">
        <v>58</v>
      </c>
      <c r="X212" t="s">
        <v>58</v>
      </c>
      <c r="Y212" t="s">
        <v>58</v>
      </c>
      <c r="Z212" t="s">
        <v>58</v>
      </c>
      <c r="AA212" t="s">
        <v>58</v>
      </c>
      <c r="AC212" t="s">
        <v>58</v>
      </c>
      <c r="AE212" t="s">
        <v>58</v>
      </c>
      <c r="AG212" t="s">
        <v>63</v>
      </c>
      <c r="AH212" s="11" t="str">
        <f t="shared" si="5"/>
        <v>mailto: soilterrain@victoria1.gov.bc.ca</v>
      </c>
    </row>
    <row r="213" spans="1:34">
      <c r="A213" t="s">
        <v>643</v>
      </c>
      <c r="B213" t="s">
        <v>56</v>
      </c>
      <c r="C213" s="10" t="s">
        <v>644</v>
      </c>
      <c r="D213" t="s">
        <v>58</v>
      </c>
      <c r="E213" t="s">
        <v>166</v>
      </c>
      <c r="F213" t="s">
        <v>645</v>
      </c>
      <c r="G213">
        <v>50000</v>
      </c>
      <c r="H213" t="s">
        <v>168</v>
      </c>
      <c r="I213" t="s">
        <v>58</v>
      </c>
      <c r="J213" t="s">
        <v>58</v>
      </c>
      <c r="K213" t="s">
        <v>61</v>
      </c>
      <c r="L213" t="s">
        <v>58</v>
      </c>
      <c r="M213" t="s">
        <v>58</v>
      </c>
      <c r="Q213" t="s">
        <v>58</v>
      </c>
      <c r="R213" s="11" t="str">
        <f>HYPERLINK("\\imagefiles.bcgov\imagery\scanned_maps\moe_terrain_maps\Scanned_T_maps_all\B03\B03-4956","\\imagefiles.bcgov\imagery\scanned_maps\moe_terrain_maps\Scanned_T_maps_all\B03\B03-4956")</f>
        <v>\\imagefiles.bcgov\imagery\scanned_maps\moe_terrain_maps\Scanned_T_maps_all\B03\B03-4956</v>
      </c>
      <c r="S213" t="s">
        <v>62</v>
      </c>
      <c r="T213" s="11" t="str">
        <f>HYPERLINK("http://www.env.gov.bc.ca/esd/distdata/ecosystems/TEI_Scanned_Maps/B03/B03-4956","http://www.env.gov.bc.ca/esd/distdata/ecosystems/TEI_Scanned_Maps/B03/B03-4956")</f>
        <v>http://www.env.gov.bc.ca/esd/distdata/ecosystems/TEI_Scanned_Maps/B03/B03-4956</v>
      </c>
      <c r="U213" t="s">
        <v>58</v>
      </c>
      <c r="V213" t="s">
        <v>58</v>
      </c>
      <c r="W213" t="s">
        <v>58</v>
      </c>
      <c r="X213" t="s">
        <v>58</v>
      </c>
      <c r="Y213" t="s">
        <v>58</v>
      </c>
      <c r="Z213" t="s">
        <v>58</v>
      </c>
      <c r="AA213" t="s">
        <v>58</v>
      </c>
      <c r="AC213" t="s">
        <v>58</v>
      </c>
      <c r="AE213" t="s">
        <v>58</v>
      </c>
      <c r="AG213" t="s">
        <v>63</v>
      </c>
      <c r="AH213" s="11" t="str">
        <f t="shared" si="5"/>
        <v>mailto: soilterrain@victoria1.gov.bc.ca</v>
      </c>
    </row>
    <row r="214" spans="1:34">
      <c r="A214" t="s">
        <v>646</v>
      </c>
      <c r="B214" t="s">
        <v>56</v>
      </c>
      <c r="C214" s="10" t="s">
        <v>647</v>
      </c>
      <c r="D214" t="s">
        <v>61</v>
      </c>
      <c r="E214" t="s">
        <v>166</v>
      </c>
      <c r="F214" t="s">
        <v>648</v>
      </c>
      <c r="G214">
        <v>50000</v>
      </c>
      <c r="H214" t="s">
        <v>168</v>
      </c>
      <c r="I214" t="s">
        <v>58</v>
      </c>
      <c r="J214" t="s">
        <v>58</v>
      </c>
      <c r="K214" t="s">
        <v>61</v>
      </c>
      <c r="L214" t="s">
        <v>58</v>
      </c>
      <c r="M214" t="s">
        <v>58</v>
      </c>
      <c r="Q214" t="s">
        <v>58</v>
      </c>
      <c r="R214" s="11" t="str">
        <f>HYPERLINK("\\imagefiles.bcgov\imagery\scanned_maps\moe_terrain_maps\Scanned_T_maps_all\B03\B03-4957","\\imagefiles.bcgov\imagery\scanned_maps\moe_terrain_maps\Scanned_T_maps_all\B03\B03-4957")</f>
        <v>\\imagefiles.bcgov\imagery\scanned_maps\moe_terrain_maps\Scanned_T_maps_all\B03\B03-4957</v>
      </c>
      <c r="S214" t="s">
        <v>62</v>
      </c>
      <c r="T214" s="11" t="str">
        <f>HYPERLINK("http://www.env.gov.bc.ca/esd/distdata/ecosystems/TEI_Scanned_Maps/B03/B03-4957","http://www.env.gov.bc.ca/esd/distdata/ecosystems/TEI_Scanned_Maps/B03/B03-4957")</f>
        <v>http://www.env.gov.bc.ca/esd/distdata/ecosystems/TEI_Scanned_Maps/B03/B03-4957</v>
      </c>
      <c r="U214" t="s">
        <v>58</v>
      </c>
      <c r="V214" t="s">
        <v>58</v>
      </c>
      <c r="W214" t="s">
        <v>58</v>
      </c>
      <c r="X214" t="s">
        <v>58</v>
      </c>
      <c r="Y214" t="s">
        <v>58</v>
      </c>
      <c r="Z214" t="s">
        <v>58</v>
      </c>
      <c r="AA214" t="s">
        <v>58</v>
      </c>
      <c r="AC214" t="s">
        <v>58</v>
      </c>
      <c r="AE214" t="s">
        <v>58</v>
      </c>
      <c r="AG214" t="s">
        <v>63</v>
      </c>
      <c r="AH214" s="11" t="str">
        <f t="shared" si="5"/>
        <v>mailto: soilterrain@victoria1.gov.bc.ca</v>
      </c>
    </row>
    <row r="215" spans="1:34">
      <c r="A215" t="s">
        <v>649</v>
      </c>
      <c r="B215" t="s">
        <v>56</v>
      </c>
      <c r="C215" s="10" t="s">
        <v>650</v>
      </c>
      <c r="D215" t="s">
        <v>58</v>
      </c>
      <c r="E215" t="s">
        <v>59</v>
      </c>
      <c r="F215" t="s">
        <v>651</v>
      </c>
      <c r="G215">
        <v>20000</v>
      </c>
      <c r="H215" t="s">
        <v>187</v>
      </c>
      <c r="I215" t="s">
        <v>58</v>
      </c>
      <c r="J215" t="s">
        <v>58</v>
      </c>
      <c r="K215" t="s">
        <v>61</v>
      </c>
      <c r="L215" t="s">
        <v>58</v>
      </c>
      <c r="M215" t="s">
        <v>58</v>
      </c>
      <c r="Q215" t="s">
        <v>58</v>
      </c>
      <c r="R215" s="11" t="str">
        <f>HYPERLINK("\\imagefiles.bcgov\imagery\scanned_maps\moe_terrain_maps\Scanned_T_maps_all\B03\B03-4958","\\imagefiles.bcgov\imagery\scanned_maps\moe_terrain_maps\Scanned_T_maps_all\B03\B03-4958")</f>
        <v>\\imagefiles.bcgov\imagery\scanned_maps\moe_terrain_maps\Scanned_T_maps_all\B03\B03-4958</v>
      </c>
      <c r="S215" t="s">
        <v>62</v>
      </c>
      <c r="T215" s="11" t="str">
        <f>HYPERLINK("http://www.env.gov.bc.ca/esd/distdata/ecosystems/TEI_Scanned_Maps/B03/B03-4958","http://www.env.gov.bc.ca/esd/distdata/ecosystems/TEI_Scanned_Maps/B03/B03-4958")</f>
        <v>http://www.env.gov.bc.ca/esd/distdata/ecosystems/TEI_Scanned_Maps/B03/B03-4958</v>
      </c>
      <c r="U215" t="s">
        <v>58</v>
      </c>
      <c r="V215" t="s">
        <v>58</v>
      </c>
      <c r="W215" t="s">
        <v>58</v>
      </c>
      <c r="X215" t="s">
        <v>58</v>
      </c>
      <c r="Y215" t="s">
        <v>58</v>
      </c>
      <c r="Z215" t="s">
        <v>58</v>
      </c>
      <c r="AA215" t="s">
        <v>58</v>
      </c>
      <c r="AC215" t="s">
        <v>58</v>
      </c>
      <c r="AE215" t="s">
        <v>58</v>
      </c>
      <c r="AG215" t="s">
        <v>63</v>
      </c>
      <c r="AH215" s="11" t="str">
        <f t="shared" si="5"/>
        <v>mailto: soilterrain@victoria1.gov.bc.ca</v>
      </c>
    </row>
    <row r="216" spans="1:34">
      <c r="A216" t="s">
        <v>652</v>
      </c>
      <c r="B216" t="s">
        <v>56</v>
      </c>
      <c r="C216" s="10" t="s">
        <v>653</v>
      </c>
      <c r="D216" t="s">
        <v>61</v>
      </c>
      <c r="E216" t="s">
        <v>166</v>
      </c>
      <c r="F216" t="s">
        <v>654</v>
      </c>
      <c r="G216">
        <v>50000</v>
      </c>
      <c r="H216" t="s">
        <v>168</v>
      </c>
      <c r="I216" t="s">
        <v>58</v>
      </c>
      <c r="J216" t="s">
        <v>58</v>
      </c>
      <c r="K216" t="s">
        <v>61</v>
      </c>
      <c r="L216" t="s">
        <v>58</v>
      </c>
      <c r="M216" t="s">
        <v>58</v>
      </c>
      <c r="Q216" t="s">
        <v>58</v>
      </c>
      <c r="R216" s="11" t="str">
        <f>HYPERLINK("\\imagefiles.bcgov\imagery\scanned_maps\moe_terrain_maps\Scanned_T_maps_all\B03\B03-4959","\\imagefiles.bcgov\imagery\scanned_maps\moe_terrain_maps\Scanned_T_maps_all\B03\B03-4959")</f>
        <v>\\imagefiles.bcgov\imagery\scanned_maps\moe_terrain_maps\Scanned_T_maps_all\B03\B03-4959</v>
      </c>
      <c r="S216" t="s">
        <v>62</v>
      </c>
      <c r="T216" s="11" t="str">
        <f>HYPERLINK("http://www.env.gov.bc.ca/esd/distdata/ecosystems/TEI_Scanned_Maps/B03/B03-4959","http://www.env.gov.bc.ca/esd/distdata/ecosystems/TEI_Scanned_Maps/B03/B03-4959")</f>
        <v>http://www.env.gov.bc.ca/esd/distdata/ecosystems/TEI_Scanned_Maps/B03/B03-4959</v>
      </c>
      <c r="U216" t="s">
        <v>58</v>
      </c>
      <c r="V216" t="s">
        <v>58</v>
      </c>
      <c r="W216" t="s">
        <v>58</v>
      </c>
      <c r="X216" t="s">
        <v>58</v>
      </c>
      <c r="Y216" t="s">
        <v>58</v>
      </c>
      <c r="Z216" t="s">
        <v>58</v>
      </c>
      <c r="AA216" t="s">
        <v>58</v>
      </c>
      <c r="AC216" t="s">
        <v>58</v>
      </c>
      <c r="AE216" t="s">
        <v>58</v>
      </c>
      <c r="AG216" t="s">
        <v>63</v>
      </c>
      <c r="AH216" s="11" t="str">
        <f t="shared" si="5"/>
        <v>mailto: soilterrain@victoria1.gov.bc.ca</v>
      </c>
    </row>
    <row r="217" spans="1:34">
      <c r="A217" t="s">
        <v>655</v>
      </c>
      <c r="B217" t="s">
        <v>56</v>
      </c>
      <c r="C217" s="10" t="s">
        <v>656</v>
      </c>
      <c r="D217" t="s">
        <v>58</v>
      </c>
      <c r="E217" t="s">
        <v>166</v>
      </c>
      <c r="F217" t="s">
        <v>657</v>
      </c>
      <c r="G217">
        <v>50000</v>
      </c>
      <c r="H217" t="s">
        <v>168</v>
      </c>
      <c r="I217" t="s">
        <v>58</v>
      </c>
      <c r="J217" t="s">
        <v>58</v>
      </c>
      <c r="K217" t="s">
        <v>61</v>
      </c>
      <c r="L217" t="s">
        <v>58</v>
      </c>
      <c r="M217" t="s">
        <v>58</v>
      </c>
      <c r="Q217" t="s">
        <v>58</v>
      </c>
      <c r="R217" s="11" t="str">
        <f>HYPERLINK("\\imagefiles.bcgov\imagery\scanned_maps\moe_terrain_maps\Scanned_T_maps_all\B03\B03-4960","\\imagefiles.bcgov\imagery\scanned_maps\moe_terrain_maps\Scanned_T_maps_all\B03\B03-4960")</f>
        <v>\\imagefiles.bcgov\imagery\scanned_maps\moe_terrain_maps\Scanned_T_maps_all\B03\B03-4960</v>
      </c>
      <c r="S217" t="s">
        <v>62</v>
      </c>
      <c r="T217" s="11" t="str">
        <f>HYPERLINK("http://www.env.gov.bc.ca/esd/distdata/ecosystems/TEI_Scanned_Maps/B03/B03-4960","http://www.env.gov.bc.ca/esd/distdata/ecosystems/TEI_Scanned_Maps/B03/B03-4960")</f>
        <v>http://www.env.gov.bc.ca/esd/distdata/ecosystems/TEI_Scanned_Maps/B03/B03-4960</v>
      </c>
      <c r="U217" t="s">
        <v>58</v>
      </c>
      <c r="V217" t="s">
        <v>58</v>
      </c>
      <c r="W217" t="s">
        <v>58</v>
      </c>
      <c r="X217" t="s">
        <v>58</v>
      </c>
      <c r="Y217" t="s">
        <v>58</v>
      </c>
      <c r="Z217" t="s">
        <v>58</v>
      </c>
      <c r="AA217" t="s">
        <v>58</v>
      </c>
      <c r="AC217" t="s">
        <v>58</v>
      </c>
      <c r="AE217" t="s">
        <v>58</v>
      </c>
      <c r="AG217" t="s">
        <v>63</v>
      </c>
      <c r="AH217" s="11" t="str">
        <f t="shared" si="5"/>
        <v>mailto: soilterrain@victoria1.gov.bc.ca</v>
      </c>
    </row>
    <row r="218" spans="1:34">
      <c r="A218" t="s">
        <v>658</v>
      </c>
      <c r="B218" t="s">
        <v>56</v>
      </c>
      <c r="C218" s="10" t="s">
        <v>659</v>
      </c>
      <c r="D218" t="s">
        <v>58</v>
      </c>
      <c r="E218" t="s">
        <v>59</v>
      </c>
      <c r="F218" t="s">
        <v>660</v>
      </c>
      <c r="G218">
        <v>20000</v>
      </c>
      <c r="H218" t="s">
        <v>187</v>
      </c>
      <c r="I218" t="s">
        <v>58</v>
      </c>
      <c r="J218" t="s">
        <v>58</v>
      </c>
      <c r="K218" t="s">
        <v>61</v>
      </c>
      <c r="L218" t="s">
        <v>58</v>
      </c>
      <c r="M218" t="s">
        <v>58</v>
      </c>
      <c r="Q218" t="s">
        <v>58</v>
      </c>
      <c r="R218" s="11" t="str">
        <f>HYPERLINK("\\imagefiles.bcgov\imagery\scanned_maps\moe_terrain_maps\Scanned_T_maps_all\B03\B03-4961","\\imagefiles.bcgov\imagery\scanned_maps\moe_terrain_maps\Scanned_T_maps_all\B03\B03-4961")</f>
        <v>\\imagefiles.bcgov\imagery\scanned_maps\moe_terrain_maps\Scanned_T_maps_all\B03\B03-4961</v>
      </c>
      <c r="S218" t="s">
        <v>62</v>
      </c>
      <c r="T218" s="11" t="str">
        <f>HYPERLINK("http://www.env.gov.bc.ca/esd/distdata/ecosystems/TEI_Scanned_Maps/B03/B03-4961","http://www.env.gov.bc.ca/esd/distdata/ecosystems/TEI_Scanned_Maps/B03/B03-4961")</f>
        <v>http://www.env.gov.bc.ca/esd/distdata/ecosystems/TEI_Scanned_Maps/B03/B03-4961</v>
      </c>
      <c r="U218" t="s">
        <v>58</v>
      </c>
      <c r="V218" t="s">
        <v>58</v>
      </c>
      <c r="W218" t="s">
        <v>58</v>
      </c>
      <c r="X218" t="s">
        <v>58</v>
      </c>
      <c r="Y218" t="s">
        <v>58</v>
      </c>
      <c r="Z218" t="s">
        <v>58</v>
      </c>
      <c r="AA218" t="s">
        <v>58</v>
      </c>
      <c r="AC218" t="s">
        <v>58</v>
      </c>
      <c r="AE218" t="s">
        <v>58</v>
      </c>
      <c r="AG218" t="s">
        <v>63</v>
      </c>
      <c r="AH218" s="11" t="str">
        <f t="shared" si="5"/>
        <v>mailto: soilterrain@victoria1.gov.bc.ca</v>
      </c>
    </row>
    <row r="219" spans="1:34">
      <c r="A219" t="s">
        <v>661</v>
      </c>
      <c r="B219" t="s">
        <v>56</v>
      </c>
      <c r="C219" s="10" t="s">
        <v>662</v>
      </c>
      <c r="D219" t="s">
        <v>58</v>
      </c>
      <c r="E219" t="s">
        <v>59</v>
      </c>
      <c r="F219" t="s">
        <v>660</v>
      </c>
      <c r="G219">
        <v>20000</v>
      </c>
      <c r="H219" t="s">
        <v>187</v>
      </c>
      <c r="I219" t="s">
        <v>58</v>
      </c>
      <c r="J219" t="s">
        <v>58</v>
      </c>
      <c r="K219" t="s">
        <v>61</v>
      </c>
      <c r="L219" t="s">
        <v>58</v>
      </c>
      <c r="M219" t="s">
        <v>58</v>
      </c>
      <c r="Q219" t="s">
        <v>58</v>
      </c>
      <c r="R219" s="11" t="str">
        <f>HYPERLINK("\\imagefiles.bcgov\imagery\scanned_maps\moe_terrain_maps\Scanned_T_maps_all\B03\B03-4962","\\imagefiles.bcgov\imagery\scanned_maps\moe_terrain_maps\Scanned_T_maps_all\B03\B03-4962")</f>
        <v>\\imagefiles.bcgov\imagery\scanned_maps\moe_terrain_maps\Scanned_T_maps_all\B03\B03-4962</v>
      </c>
      <c r="S219" t="s">
        <v>62</v>
      </c>
      <c r="T219" s="11" t="str">
        <f>HYPERLINK("http://www.env.gov.bc.ca/esd/distdata/ecosystems/TEI_Scanned_Maps/B03/B03-4962","http://www.env.gov.bc.ca/esd/distdata/ecosystems/TEI_Scanned_Maps/B03/B03-4962")</f>
        <v>http://www.env.gov.bc.ca/esd/distdata/ecosystems/TEI_Scanned_Maps/B03/B03-4962</v>
      </c>
      <c r="U219" t="s">
        <v>58</v>
      </c>
      <c r="V219" t="s">
        <v>58</v>
      </c>
      <c r="W219" t="s">
        <v>58</v>
      </c>
      <c r="X219" t="s">
        <v>58</v>
      </c>
      <c r="Y219" t="s">
        <v>58</v>
      </c>
      <c r="Z219" t="s">
        <v>58</v>
      </c>
      <c r="AA219" t="s">
        <v>58</v>
      </c>
      <c r="AC219" t="s">
        <v>58</v>
      </c>
      <c r="AE219" t="s">
        <v>58</v>
      </c>
      <c r="AG219" t="s">
        <v>63</v>
      </c>
      <c r="AH219" s="11" t="str">
        <f t="shared" si="5"/>
        <v>mailto: soilterrain@victoria1.gov.bc.ca</v>
      </c>
    </row>
    <row r="220" spans="1:34">
      <c r="A220" t="s">
        <v>663</v>
      </c>
      <c r="B220" t="s">
        <v>56</v>
      </c>
      <c r="C220" s="10" t="s">
        <v>388</v>
      </c>
      <c r="D220" t="s">
        <v>58</v>
      </c>
      <c r="E220" t="s">
        <v>59</v>
      </c>
      <c r="F220" t="s">
        <v>660</v>
      </c>
      <c r="G220">
        <v>20000</v>
      </c>
      <c r="H220" t="s">
        <v>187</v>
      </c>
      <c r="I220" t="s">
        <v>58</v>
      </c>
      <c r="J220" t="s">
        <v>58</v>
      </c>
      <c r="K220" t="s">
        <v>61</v>
      </c>
      <c r="L220" t="s">
        <v>58</v>
      </c>
      <c r="M220" t="s">
        <v>58</v>
      </c>
      <c r="Q220" t="s">
        <v>58</v>
      </c>
      <c r="R220" s="11" t="str">
        <f>HYPERLINK("\\imagefiles.bcgov\imagery\scanned_maps\moe_terrain_maps\Scanned_T_maps_all\B03\B03-4963","\\imagefiles.bcgov\imagery\scanned_maps\moe_terrain_maps\Scanned_T_maps_all\B03\B03-4963")</f>
        <v>\\imagefiles.bcgov\imagery\scanned_maps\moe_terrain_maps\Scanned_T_maps_all\B03\B03-4963</v>
      </c>
      <c r="S220" t="s">
        <v>62</v>
      </c>
      <c r="T220" s="11" t="str">
        <f>HYPERLINK("http://www.env.gov.bc.ca/esd/distdata/ecosystems/TEI_Scanned_Maps/B03/B03-4963","http://www.env.gov.bc.ca/esd/distdata/ecosystems/TEI_Scanned_Maps/B03/B03-4963")</f>
        <v>http://www.env.gov.bc.ca/esd/distdata/ecosystems/TEI_Scanned_Maps/B03/B03-4963</v>
      </c>
      <c r="U220" t="s">
        <v>58</v>
      </c>
      <c r="V220" t="s">
        <v>58</v>
      </c>
      <c r="W220" t="s">
        <v>58</v>
      </c>
      <c r="X220" t="s">
        <v>58</v>
      </c>
      <c r="Y220" t="s">
        <v>58</v>
      </c>
      <c r="Z220" t="s">
        <v>58</v>
      </c>
      <c r="AA220" t="s">
        <v>58</v>
      </c>
      <c r="AC220" t="s">
        <v>58</v>
      </c>
      <c r="AE220" t="s">
        <v>58</v>
      </c>
      <c r="AG220" t="s">
        <v>63</v>
      </c>
      <c r="AH220" s="11" t="str">
        <f t="shared" si="5"/>
        <v>mailto: soilterrain@victoria1.gov.bc.ca</v>
      </c>
    </row>
    <row r="221" spans="1:34">
      <c r="A221" t="s">
        <v>664</v>
      </c>
      <c r="B221" t="s">
        <v>56</v>
      </c>
      <c r="C221" s="10" t="s">
        <v>665</v>
      </c>
      <c r="D221" t="s">
        <v>58</v>
      </c>
      <c r="E221" t="s">
        <v>59</v>
      </c>
      <c r="F221" t="s">
        <v>660</v>
      </c>
      <c r="G221">
        <v>20000</v>
      </c>
      <c r="H221" t="s">
        <v>187</v>
      </c>
      <c r="I221" t="s">
        <v>58</v>
      </c>
      <c r="J221" t="s">
        <v>58</v>
      </c>
      <c r="K221" t="s">
        <v>61</v>
      </c>
      <c r="L221" t="s">
        <v>58</v>
      </c>
      <c r="M221" t="s">
        <v>58</v>
      </c>
      <c r="Q221" t="s">
        <v>58</v>
      </c>
      <c r="R221" s="11" t="str">
        <f>HYPERLINK("\\imagefiles.bcgov\imagery\scanned_maps\moe_terrain_maps\Scanned_T_maps_all\B03\B03-4964","\\imagefiles.bcgov\imagery\scanned_maps\moe_terrain_maps\Scanned_T_maps_all\B03\B03-4964")</f>
        <v>\\imagefiles.bcgov\imagery\scanned_maps\moe_terrain_maps\Scanned_T_maps_all\B03\B03-4964</v>
      </c>
      <c r="S221" t="s">
        <v>62</v>
      </c>
      <c r="T221" s="11" t="str">
        <f>HYPERLINK("http://www.env.gov.bc.ca/esd/distdata/ecosystems/TEI_Scanned_Maps/B03/B03-4964","http://www.env.gov.bc.ca/esd/distdata/ecosystems/TEI_Scanned_Maps/B03/B03-4964")</f>
        <v>http://www.env.gov.bc.ca/esd/distdata/ecosystems/TEI_Scanned_Maps/B03/B03-4964</v>
      </c>
      <c r="U221" t="s">
        <v>58</v>
      </c>
      <c r="V221" t="s">
        <v>58</v>
      </c>
      <c r="W221" t="s">
        <v>58</v>
      </c>
      <c r="X221" t="s">
        <v>58</v>
      </c>
      <c r="Y221" t="s">
        <v>58</v>
      </c>
      <c r="Z221" t="s">
        <v>58</v>
      </c>
      <c r="AA221" t="s">
        <v>58</v>
      </c>
      <c r="AC221" t="s">
        <v>58</v>
      </c>
      <c r="AE221" t="s">
        <v>58</v>
      </c>
      <c r="AG221" t="s">
        <v>63</v>
      </c>
      <c r="AH221" s="11" t="str">
        <f t="shared" si="5"/>
        <v>mailto: soilterrain@victoria1.gov.bc.ca</v>
      </c>
    </row>
    <row r="222" spans="1:34">
      <c r="A222" t="s">
        <v>666</v>
      </c>
      <c r="B222" t="s">
        <v>56</v>
      </c>
      <c r="C222" s="10" t="s">
        <v>667</v>
      </c>
      <c r="D222" t="s">
        <v>58</v>
      </c>
      <c r="E222" t="s">
        <v>59</v>
      </c>
      <c r="F222" t="s">
        <v>660</v>
      </c>
      <c r="G222">
        <v>20000</v>
      </c>
      <c r="H222" t="s">
        <v>187</v>
      </c>
      <c r="I222" t="s">
        <v>58</v>
      </c>
      <c r="J222" t="s">
        <v>58</v>
      </c>
      <c r="K222" t="s">
        <v>61</v>
      </c>
      <c r="L222" t="s">
        <v>58</v>
      </c>
      <c r="M222" t="s">
        <v>58</v>
      </c>
      <c r="Q222" t="s">
        <v>58</v>
      </c>
      <c r="R222" s="11" t="str">
        <f>HYPERLINK("\\imagefiles.bcgov\imagery\scanned_maps\moe_terrain_maps\Scanned_T_maps_all\B03\B03-4965","\\imagefiles.bcgov\imagery\scanned_maps\moe_terrain_maps\Scanned_T_maps_all\B03\B03-4965")</f>
        <v>\\imagefiles.bcgov\imagery\scanned_maps\moe_terrain_maps\Scanned_T_maps_all\B03\B03-4965</v>
      </c>
      <c r="S222" t="s">
        <v>62</v>
      </c>
      <c r="T222" s="11" t="str">
        <f>HYPERLINK("http://www.env.gov.bc.ca/esd/distdata/ecosystems/TEI_Scanned_Maps/B03/B03-4965","http://www.env.gov.bc.ca/esd/distdata/ecosystems/TEI_Scanned_Maps/B03/B03-4965")</f>
        <v>http://www.env.gov.bc.ca/esd/distdata/ecosystems/TEI_Scanned_Maps/B03/B03-4965</v>
      </c>
      <c r="U222" t="s">
        <v>58</v>
      </c>
      <c r="V222" t="s">
        <v>58</v>
      </c>
      <c r="W222" t="s">
        <v>58</v>
      </c>
      <c r="X222" t="s">
        <v>58</v>
      </c>
      <c r="Y222" t="s">
        <v>58</v>
      </c>
      <c r="Z222" t="s">
        <v>58</v>
      </c>
      <c r="AA222" t="s">
        <v>58</v>
      </c>
      <c r="AC222" t="s">
        <v>58</v>
      </c>
      <c r="AE222" t="s">
        <v>58</v>
      </c>
      <c r="AG222" t="s">
        <v>63</v>
      </c>
      <c r="AH222" s="11" t="str">
        <f t="shared" si="5"/>
        <v>mailto: soilterrain@victoria1.gov.bc.ca</v>
      </c>
    </row>
    <row r="223" spans="1:34">
      <c r="A223" t="s">
        <v>668</v>
      </c>
      <c r="B223" t="s">
        <v>56</v>
      </c>
      <c r="C223" s="10" t="s">
        <v>486</v>
      </c>
      <c r="D223" t="s">
        <v>61</v>
      </c>
      <c r="E223" t="s">
        <v>59</v>
      </c>
      <c r="F223" t="s">
        <v>669</v>
      </c>
      <c r="G223">
        <v>20000</v>
      </c>
      <c r="H223">
        <v>1999</v>
      </c>
      <c r="I223" t="s">
        <v>58</v>
      </c>
      <c r="J223" t="s">
        <v>58</v>
      </c>
      <c r="K223" t="s">
        <v>61</v>
      </c>
      <c r="L223" t="s">
        <v>58</v>
      </c>
      <c r="M223" t="s">
        <v>58</v>
      </c>
      <c r="Q223" t="s">
        <v>58</v>
      </c>
      <c r="R223" s="11" t="str">
        <f>HYPERLINK("\\imagefiles.bcgov\imagery\scanned_maps\moe_terrain_maps\Scanned_T_maps_all\B03\B03-4979","\\imagefiles.bcgov\imagery\scanned_maps\moe_terrain_maps\Scanned_T_maps_all\B03\B03-4979")</f>
        <v>\\imagefiles.bcgov\imagery\scanned_maps\moe_terrain_maps\Scanned_T_maps_all\B03\B03-4979</v>
      </c>
      <c r="S223" t="s">
        <v>62</v>
      </c>
      <c r="T223" s="11" t="str">
        <f>HYPERLINK("http://www.env.gov.bc.ca/esd/distdata/ecosystems/TEI_Scanned_Maps/B03/B03-4979","http://www.env.gov.bc.ca/esd/distdata/ecosystems/TEI_Scanned_Maps/B03/B03-4979")</f>
        <v>http://www.env.gov.bc.ca/esd/distdata/ecosystems/TEI_Scanned_Maps/B03/B03-4979</v>
      </c>
      <c r="U223" t="s">
        <v>58</v>
      </c>
      <c r="V223" t="s">
        <v>58</v>
      </c>
      <c r="W223" t="s">
        <v>58</v>
      </c>
      <c r="X223" t="s">
        <v>58</v>
      </c>
      <c r="Y223" t="s">
        <v>58</v>
      </c>
      <c r="Z223" t="s">
        <v>58</v>
      </c>
      <c r="AA223" t="s">
        <v>58</v>
      </c>
      <c r="AC223" t="s">
        <v>58</v>
      </c>
      <c r="AE223" t="s">
        <v>58</v>
      </c>
      <c r="AG223" t="s">
        <v>63</v>
      </c>
      <c r="AH223" s="11" t="str">
        <f t="shared" si="5"/>
        <v>mailto: soilterrain@victoria1.gov.bc.ca</v>
      </c>
    </row>
    <row r="224" spans="1:34">
      <c r="A224" t="s">
        <v>670</v>
      </c>
      <c r="B224" t="s">
        <v>56</v>
      </c>
      <c r="C224" s="10" t="s">
        <v>486</v>
      </c>
      <c r="D224" t="s">
        <v>61</v>
      </c>
      <c r="E224" t="s">
        <v>59</v>
      </c>
      <c r="F224" t="s">
        <v>671</v>
      </c>
      <c r="G224">
        <v>20000</v>
      </c>
      <c r="H224">
        <v>1999</v>
      </c>
      <c r="I224" t="s">
        <v>58</v>
      </c>
      <c r="J224" t="s">
        <v>58</v>
      </c>
      <c r="K224" t="s">
        <v>58</v>
      </c>
      <c r="L224" t="s">
        <v>58</v>
      </c>
      <c r="M224" t="s">
        <v>58</v>
      </c>
      <c r="P224" t="s">
        <v>61</v>
      </c>
      <c r="Q224" t="s">
        <v>58</v>
      </c>
      <c r="R224" s="11" t="str">
        <f>HYPERLINK("\\imagefiles.bcgov\imagery\scanned_maps\moe_terrain_maps\Scanned_T_maps_all\B03\B03-4980","\\imagefiles.bcgov\imagery\scanned_maps\moe_terrain_maps\Scanned_T_maps_all\B03\B03-4980")</f>
        <v>\\imagefiles.bcgov\imagery\scanned_maps\moe_terrain_maps\Scanned_T_maps_all\B03\B03-4980</v>
      </c>
      <c r="S224" t="s">
        <v>62</v>
      </c>
      <c r="T224" s="11" t="str">
        <f>HYPERLINK("http://www.env.gov.bc.ca/esd/distdata/ecosystems/TEI_Scanned_Maps/B03/B03-4980","http://www.env.gov.bc.ca/esd/distdata/ecosystems/TEI_Scanned_Maps/B03/B03-4980")</f>
        <v>http://www.env.gov.bc.ca/esd/distdata/ecosystems/TEI_Scanned_Maps/B03/B03-4980</v>
      </c>
      <c r="U224" t="s">
        <v>58</v>
      </c>
      <c r="V224" t="s">
        <v>58</v>
      </c>
      <c r="W224" t="s">
        <v>58</v>
      </c>
      <c r="X224" t="s">
        <v>58</v>
      </c>
      <c r="Y224" t="s">
        <v>58</v>
      </c>
      <c r="Z224" t="s">
        <v>58</v>
      </c>
      <c r="AA224" t="s">
        <v>58</v>
      </c>
      <c r="AC224" t="s">
        <v>58</v>
      </c>
      <c r="AE224" t="s">
        <v>58</v>
      </c>
      <c r="AG224" t="s">
        <v>63</v>
      </c>
      <c r="AH224" s="11" t="str">
        <f t="shared" si="5"/>
        <v>mailto: soilterrain@victoria1.gov.bc.ca</v>
      </c>
    </row>
    <row r="225" spans="1:34">
      <c r="A225" t="s">
        <v>672</v>
      </c>
      <c r="B225" t="s">
        <v>56</v>
      </c>
      <c r="C225" s="10" t="s">
        <v>493</v>
      </c>
      <c r="D225" t="s">
        <v>61</v>
      </c>
      <c r="E225" t="s">
        <v>59</v>
      </c>
      <c r="F225" t="s">
        <v>673</v>
      </c>
      <c r="G225">
        <v>20000</v>
      </c>
      <c r="H225" t="s">
        <v>187</v>
      </c>
      <c r="I225" t="s">
        <v>58</v>
      </c>
      <c r="J225" t="s">
        <v>58</v>
      </c>
      <c r="K225" t="s">
        <v>58</v>
      </c>
      <c r="L225" t="s">
        <v>58</v>
      </c>
      <c r="M225" t="s">
        <v>58</v>
      </c>
      <c r="P225" t="s">
        <v>61</v>
      </c>
      <c r="Q225" t="s">
        <v>58</v>
      </c>
      <c r="R225" s="11" t="str">
        <f>HYPERLINK("\\imagefiles.bcgov\imagery\scanned_maps\moe_terrain_maps\Scanned_T_maps_all\B03\B03-4985","\\imagefiles.bcgov\imagery\scanned_maps\moe_terrain_maps\Scanned_T_maps_all\B03\B03-4985")</f>
        <v>\\imagefiles.bcgov\imagery\scanned_maps\moe_terrain_maps\Scanned_T_maps_all\B03\B03-4985</v>
      </c>
      <c r="S225" t="s">
        <v>62</v>
      </c>
      <c r="T225" s="11" t="str">
        <f>HYPERLINK("http://www.env.gov.bc.ca/esd/distdata/ecosystems/TEI_Scanned_Maps/B03/B03-4985","http://www.env.gov.bc.ca/esd/distdata/ecosystems/TEI_Scanned_Maps/B03/B03-4985")</f>
        <v>http://www.env.gov.bc.ca/esd/distdata/ecosystems/TEI_Scanned_Maps/B03/B03-4985</v>
      </c>
      <c r="U225" t="s">
        <v>58</v>
      </c>
      <c r="V225" t="s">
        <v>58</v>
      </c>
      <c r="W225" t="s">
        <v>58</v>
      </c>
      <c r="X225" t="s">
        <v>58</v>
      </c>
      <c r="Y225" t="s">
        <v>58</v>
      </c>
      <c r="Z225" t="s">
        <v>58</v>
      </c>
      <c r="AA225" t="s">
        <v>58</v>
      </c>
      <c r="AC225" t="s">
        <v>58</v>
      </c>
      <c r="AE225" t="s">
        <v>58</v>
      </c>
      <c r="AG225" t="s">
        <v>63</v>
      </c>
      <c r="AH225" s="11" t="str">
        <f t="shared" si="5"/>
        <v>mailto: soilterrain@victoria1.gov.bc.ca</v>
      </c>
    </row>
    <row r="226" spans="1:34">
      <c r="A226" t="s">
        <v>674</v>
      </c>
      <c r="B226" t="s">
        <v>56</v>
      </c>
      <c r="C226" s="10" t="s">
        <v>493</v>
      </c>
      <c r="D226" t="s">
        <v>61</v>
      </c>
      <c r="E226" t="s">
        <v>59</v>
      </c>
      <c r="F226" t="s">
        <v>675</v>
      </c>
      <c r="G226">
        <v>20000</v>
      </c>
      <c r="H226" t="s">
        <v>187</v>
      </c>
      <c r="I226" t="s">
        <v>58</v>
      </c>
      <c r="J226" t="s">
        <v>58</v>
      </c>
      <c r="K226" t="s">
        <v>61</v>
      </c>
      <c r="L226" t="s">
        <v>58</v>
      </c>
      <c r="M226" t="s">
        <v>58</v>
      </c>
      <c r="Q226" t="s">
        <v>58</v>
      </c>
      <c r="R226" s="11" t="str">
        <f>HYPERLINK("\\imagefiles.bcgov\imagery\scanned_maps\moe_terrain_maps\Scanned_T_maps_all\B03\B03-4986","\\imagefiles.bcgov\imagery\scanned_maps\moe_terrain_maps\Scanned_T_maps_all\B03\B03-4986")</f>
        <v>\\imagefiles.bcgov\imagery\scanned_maps\moe_terrain_maps\Scanned_T_maps_all\B03\B03-4986</v>
      </c>
      <c r="S226" t="s">
        <v>62</v>
      </c>
      <c r="T226" s="11" t="str">
        <f>HYPERLINK("http://www.env.gov.bc.ca/esd/distdata/ecosystems/TEI_Scanned_Maps/B03/B03-4986","http://www.env.gov.bc.ca/esd/distdata/ecosystems/TEI_Scanned_Maps/B03/B03-4986")</f>
        <v>http://www.env.gov.bc.ca/esd/distdata/ecosystems/TEI_Scanned_Maps/B03/B03-4986</v>
      </c>
      <c r="U226" t="s">
        <v>58</v>
      </c>
      <c r="V226" t="s">
        <v>58</v>
      </c>
      <c r="W226" t="s">
        <v>58</v>
      </c>
      <c r="X226" t="s">
        <v>58</v>
      </c>
      <c r="Y226" t="s">
        <v>58</v>
      </c>
      <c r="Z226" t="s">
        <v>58</v>
      </c>
      <c r="AA226" t="s">
        <v>58</v>
      </c>
      <c r="AC226" t="s">
        <v>58</v>
      </c>
      <c r="AE226" t="s">
        <v>58</v>
      </c>
      <c r="AG226" t="s">
        <v>63</v>
      </c>
      <c r="AH226" s="11" t="str">
        <f t="shared" si="5"/>
        <v>mailto: soilterrain@victoria1.gov.bc.ca</v>
      </c>
    </row>
    <row r="227" spans="1:34">
      <c r="A227" t="s">
        <v>676</v>
      </c>
      <c r="B227" t="s">
        <v>56</v>
      </c>
      <c r="C227" s="10" t="s">
        <v>677</v>
      </c>
      <c r="D227" t="s">
        <v>58</v>
      </c>
      <c r="E227" t="s">
        <v>59</v>
      </c>
      <c r="F227" t="s">
        <v>678</v>
      </c>
      <c r="G227">
        <v>50000</v>
      </c>
      <c r="H227" t="s">
        <v>187</v>
      </c>
      <c r="I227" t="s">
        <v>58</v>
      </c>
      <c r="J227" t="s">
        <v>58</v>
      </c>
      <c r="K227" t="s">
        <v>61</v>
      </c>
      <c r="L227" t="s">
        <v>58</v>
      </c>
      <c r="M227" t="s">
        <v>58</v>
      </c>
      <c r="Q227" t="s">
        <v>58</v>
      </c>
      <c r="R227" s="11" t="str">
        <f>HYPERLINK("\\imagefiles.bcgov\imagery\scanned_maps\moe_terrain_maps\Scanned_T_maps_all\B03\B03-4989","\\imagefiles.bcgov\imagery\scanned_maps\moe_terrain_maps\Scanned_T_maps_all\B03\B03-4989")</f>
        <v>\\imagefiles.bcgov\imagery\scanned_maps\moe_terrain_maps\Scanned_T_maps_all\B03\B03-4989</v>
      </c>
      <c r="S227" t="s">
        <v>62</v>
      </c>
      <c r="T227" s="11" t="str">
        <f>HYPERLINK("http://www.env.gov.bc.ca/esd/distdata/ecosystems/TEI_Scanned_Maps/B03/B03-4989","http://www.env.gov.bc.ca/esd/distdata/ecosystems/TEI_Scanned_Maps/B03/B03-4989")</f>
        <v>http://www.env.gov.bc.ca/esd/distdata/ecosystems/TEI_Scanned_Maps/B03/B03-4989</v>
      </c>
      <c r="U227" t="s">
        <v>58</v>
      </c>
      <c r="V227" t="s">
        <v>58</v>
      </c>
      <c r="W227" t="s">
        <v>58</v>
      </c>
      <c r="X227" t="s">
        <v>58</v>
      </c>
      <c r="Y227" t="s">
        <v>58</v>
      </c>
      <c r="Z227" t="s">
        <v>58</v>
      </c>
      <c r="AA227" t="s">
        <v>58</v>
      </c>
      <c r="AC227" t="s">
        <v>58</v>
      </c>
      <c r="AE227" t="s">
        <v>58</v>
      </c>
      <c r="AG227" t="s">
        <v>63</v>
      </c>
      <c r="AH227" s="11" t="str">
        <f t="shared" si="5"/>
        <v>mailto: soilterrain@victoria1.gov.bc.ca</v>
      </c>
    </row>
    <row r="228" spans="1:34">
      <c r="A228" t="s">
        <v>679</v>
      </c>
      <c r="B228" t="s">
        <v>56</v>
      </c>
      <c r="C228" s="10" t="s">
        <v>429</v>
      </c>
      <c r="D228" t="s">
        <v>58</v>
      </c>
      <c r="E228" t="s">
        <v>59</v>
      </c>
      <c r="F228" t="s">
        <v>680</v>
      </c>
      <c r="G228">
        <v>50000</v>
      </c>
      <c r="H228" t="s">
        <v>187</v>
      </c>
      <c r="I228" t="s">
        <v>58</v>
      </c>
      <c r="J228" t="s">
        <v>58</v>
      </c>
      <c r="K228" t="s">
        <v>61</v>
      </c>
      <c r="L228" t="s">
        <v>58</v>
      </c>
      <c r="M228" t="s">
        <v>58</v>
      </c>
      <c r="Q228" t="s">
        <v>58</v>
      </c>
      <c r="R228" s="11" t="str">
        <f>HYPERLINK("\\imagefiles.bcgov\imagery\scanned_maps\moe_terrain_maps\Scanned_T_maps_all\B03\B03-4990","\\imagefiles.bcgov\imagery\scanned_maps\moe_terrain_maps\Scanned_T_maps_all\B03\B03-4990")</f>
        <v>\\imagefiles.bcgov\imagery\scanned_maps\moe_terrain_maps\Scanned_T_maps_all\B03\B03-4990</v>
      </c>
      <c r="S228" t="s">
        <v>62</v>
      </c>
      <c r="T228" s="11" t="str">
        <f>HYPERLINK("http://www.env.gov.bc.ca/esd/distdata/ecosystems/TEI_Scanned_Maps/B03/B03-4990","http://www.env.gov.bc.ca/esd/distdata/ecosystems/TEI_Scanned_Maps/B03/B03-4990")</f>
        <v>http://www.env.gov.bc.ca/esd/distdata/ecosystems/TEI_Scanned_Maps/B03/B03-4990</v>
      </c>
      <c r="U228" t="s">
        <v>58</v>
      </c>
      <c r="V228" t="s">
        <v>58</v>
      </c>
      <c r="W228" t="s">
        <v>58</v>
      </c>
      <c r="X228" t="s">
        <v>58</v>
      </c>
      <c r="Y228" t="s">
        <v>58</v>
      </c>
      <c r="Z228" t="s">
        <v>58</v>
      </c>
      <c r="AA228" t="s">
        <v>58</v>
      </c>
      <c r="AC228" t="s">
        <v>58</v>
      </c>
      <c r="AE228" t="s">
        <v>58</v>
      </c>
      <c r="AG228" t="s">
        <v>63</v>
      </c>
      <c r="AH228" s="11" t="str">
        <f t="shared" si="5"/>
        <v>mailto: soilterrain@victoria1.gov.bc.ca</v>
      </c>
    </row>
    <row r="229" spans="1:34">
      <c r="A229" t="s">
        <v>681</v>
      </c>
      <c r="B229" t="s">
        <v>56</v>
      </c>
      <c r="C229" s="10" t="s">
        <v>451</v>
      </c>
      <c r="D229" t="s">
        <v>58</v>
      </c>
      <c r="E229" t="s">
        <v>59</v>
      </c>
      <c r="F229" t="s">
        <v>682</v>
      </c>
      <c r="G229">
        <v>50000</v>
      </c>
      <c r="H229" t="s">
        <v>187</v>
      </c>
      <c r="I229" t="s">
        <v>58</v>
      </c>
      <c r="J229" t="s">
        <v>58</v>
      </c>
      <c r="K229" t="s">
        <v>61</v>
      </c>
      <c r="L229" t="s">
        <v>58</v>
      </c>
      <c r="M229" t="s">
        <v>58</v>
      </c>
      <c r="Q229" t="s">
        <v>58</v>
      </c>
      <c r="R229" s="11" t="str">
        <f>HYPERLINK("\\imagefiles.bcgov\imagery\scanned_maps\moe_terrain_maps\Scanned_T_maps_all\B03\B03-4991","\\imagefiles.bcgov\imagery\scanned_maps\moe_terrain_maps\Scanned_T_maps_all\B03\B03-4991")</f>
        <v>\\imagefiles.bcgov\imagery\scanned_maps\moe_terrain_maps\Scanned_T_maps_all\B03\B03-4991</v>
      </c>
      <c r="S229" t="s">
        <v>62</v>
      </c>
      <c r="T229" s="11" t="str">
        <f>HYPERLINK("http://www.env.gov.bc.ca/esd/distdata/ecosystems/TEI_Scanned_Maps/B03/B03-4991","http://www.env.gov.bc.ca/esd/distdata/ecosystems/TEI_Scanned_Maps/B03/B03-4991")</f>
        <v>http://www.env.gov.bc.ca/esd/distdata/ecosystems/TEI_Scanned_Maps/B03/B03-4991</v>
      </c>
      <c r="U229" t="s">
        <v>58</v>
      </c>
      <c r="V229" t="s">
        <v>58</v>
      </c>
      <c r="W229" t="s">
        <v>58</v>
      </c>
      <c r="X229" t="s">
        <v>58</v>
      </c>
      <c r="Y229" t="s">
        <v>58</v>
      </c>
      <c r="Z229" t="s">
        <v>58</v>
      </c>
      <c r="AA229" t="s">
        <v>58</v>
      </c>
      <c r="AC229" t="s">
        <v>58</v>
      </c>
      <c r="AE229" t="s">
        <v>58</v>
      </c>
      <c r="AG229" t="s">
        <v>63</v>
      </c>
      <c r="AH229" s="11" t="str">
        <f t="shared" si="5"/>
        <v>mailto: soilterrain@victoria1.gov.bc.ca</v>
      </c>
    </row>
    <row r="230" spans="1:34">
      <c r="A230" t="s">
        <v>683</v>
      </c>
      <c r="B230" t="s">
        <v>56</v>
      </c>
      <c r="C230" s="10" t="s">
        <v>684</v>
      </c>
      <c r="D230" t="s">
        <v>58</v>
      </c>
      <c r="E230" t="s">
        <v>59</v>
      </c>
      <c r="F230" t="s">
        <v>685</v>
      </c>
      <c r="G230">
        <v>50000</v>
      </c>
      <c r="H230" t="s">
        <v>187</v>
      </c>
      <c r="I230" t="s">
        <v>58</v>
      </c>
      <c r="J230" t="s">
        <v>58</v>
      </c>
      <c r="K230" t="s">
        <v>61</v>
      </c>
      <c r="L230" t="s">
        <v>58</v>
      </c>
      <c r="M230" t="s">
        <v>58</v>
      </c>
      <c r="Q230" t="s">
        <v>58</v>
      </c>
      <c r="R230" s="11" t="str">
        <f>HYPERLINK("\\imagefiles.bcgov\imagery\scanned_maps\moe_terrain_maps\Scanned_T_maps_all\B03\B03-4992","\\imagefiles.bcgov\imagery\scanned_maps\moe_terrain_maps\Scanned_T_maps_all\B03\B03-4992")</f>
        <v>\\imagefiles.bcgov\imagery\scanned_maps\moe_terrain_maps\Scanned_T_maps_all\B03\B03-4992</v>
      </c>
      <c r="S230" t="s">
        <v>62</v>
      </c>
      <c r="T230" s="11" t="str">
        <f>HYPERLINK("http://www.env.gov.bc.ca/esd/distdata/ecosystems/TEI_Scanned_Maps/B03/B03-4992","http://www.env.gov.bc.ca/esd/distdata/ecosystems/TEI_Scanned_Maps/B03/B03-4992")</f>
        <v>http://www.env.gov.bc.ca/esd/distdata/ecosystems/TEI_Scanned_Maps/B03/B03-4992</v>
      </c>
      <c r="U230" t="s">
        <v>58</v>
      </c>
      <c r="V230" t="s">
        <v>58</v>
      </c>
      <c r="W230" t="s">
        <v>58</v>
      </c>
      <c r="X230" t="s">
        <v>58</v>
      </c>
      <c r="Y230" t="s">
        <v>58</v>
      </c>
      <c r="Z230" t="s">
        <v>58</v>
      </c>
      <c r="AA230" t="s">
        <v>58</v>
      </c>
      <c r="AC230" t="s">
        <v>58</v>
      </c>
      <c r="AE230" t="s">
        <v>58</v>
      </c>
      <c r="AG230" t="s">
        <v>63</v>
      </c>
      <c r="AH230" s="11" t="str">
        <f t="shared" si="5"/>
        <v>mailto: soilterrain@victoria1.gov.bc.ca</v>
      </c>
    </row>
    <row r="231" spans="1:34">
      <c r="A231" t="s">
        <v>686</v>
      </c>
      <c r="B231" t="s">
        <v>56</v>
      </c>
      <c r="C231" s="10" t="s">
        <v>687</v>
      </c>
      <c r="D231" t="s">
        <v>58</v>
      </c>
      <c r="E231" t="s">
        <v>688</v>
      </c>
      <c r="F231" t="s">
        <v>689</v>
      </c>
      <c r="G231">
        <v>50000</v>
      </c>
      <c r="H231">
        <v>1981</v>
      </c>
      <c r="I231" t="s">
        <v>58</v>
      </c>
      <c r="J231" t="s">
        <v>61</v>
      </c>
      <c r="K231" t="s">
        <v>61</v>
      </c>
      <c r="L231" t="s">
        <v>58</v>
      </c>
      <c r="M231" t="s">
        <v>58</v>
      </c>
      <c r="Q231" t="s">
        <v>58</v>
      </c>
      <c r="R231" s="11" t="str">
        <f>HYPERLINK("\\imagefiles.bcgov\imagery\scanned_maps\moe_terrain_maps\Scanned_T_maps_all\B03\B03-4994","\\imagefiles.bcgov\imagery\scanned_maps\moe_terrain_maps\Scanned_T_maps_all\B03\B03-4994")</f>
        <v>\\imagefiles.bcgov\imagery\scanned_maps\moe_terrain_maps\Scanned_T_maps_all\B03\B03-4994</v>
      </c>
      <c r="S231" t="s">
        <v>62</v>
      </c>
      <c r="T231" s="11" t="str">
        <f>HYPERLINK("http://www.env.gov.bc.ca/esd/distdata/ecosystems/TEI_Scanned_Maps/B03/B03-4994","http://www.env.gov.bc.ca/esd/distdata/ecosystems/TEI_Scanned_Maps/B03/B03-4994")</f>
        <v>http://www.env.gov.bc.ca/esd/distdata/ecosystems/TEI_Scanned_Maps/B03/B03-4994</v>
      </c>
      <c r="U231" t="s">
        <v>58</v>
      </c>
      <c r="V231" t="s">
        <v>58</v>
      </c>
      <c r="W231" t="s">
        <v>58</v>
      </c>
      <c r="X231" t="s">
        <v>58</v>
      </c>
      <c r="Y231" t="s">
        <v>58</v>
      </c>
      <c r="Z231" t="s">
        <v>58</v>
      </c>
      <c r="AA231" t="s">
        <v>58</v>
      </c>
      <c r="AC231" t="s">
        <v>58</v>
      </c>
      <c r="AE231" t="s">
        <v>58</v>
      </c>
      <c r="AG231" t="s">
        <v>63</v>
      </c>
      <c r="AH231" s="11" t="str">
        <f t="shared" si="5"/>
        <v>mailto: soilterrain@victoria1.gov.bc.ca</v>
      </c>
    </row>
    <row r="232" spans="1:34">
      <c r="A232" t="s">
        <v>690</v>
      </c>
      <c r="B232" t="s">
        <v>56</v>
      </c>
      <c r="C232" s="10" t="s">
        <v>687</v>
      </c>
      <c r="D232" t="s">
        <v>58</v>
      </c>
      <c r="E232" t="s">
        <v>688</v>
      </c>
      <c r="F232" t="s">
        <v>691</v>
      </c>
      <c r="G232">
        <v>50000</v>
      </c>
      <c r="H232">
        <v>1981</v>
      </c>
      <c r="I232" t="s">
        <v>58</v>
      </c>
      <c r="J232" t="s">
        <v>61</v>
      </c>
      <c r="K232" t="s">
        <v>61</v>
      </c>
      <c r="L232" t="s">
        <v>61</v>
      </c>
      <c r="M232" t="s">
        <v>58</v>
      </c>
      <c r="N232" t="s">
        <v>61</v>
      </c>
      <c r="P232" t="s">
        <v>61</v>
      </c>
      <c r="Q232" t="s">
        <v>58</v>
      </c>
      <c r="R232" s="11" t="str">
        <f>HYPERLINK("\\imagefiles.bcgov\imagery\scanned_maps\moe_terrain_maps\Scanned_T_maps_all\B03\B03-4995","\\imagefiles.bcgov\imagery\scanned_maps\moe_terrain_maps\Scanned_T_maps_all\B03\B03-4995")</f>
        <v>\\imagefiles.bcgov\imagery\scanned_maps\moe_terrain_maps\Scanned_T_maps_all\B03\B03-4995</v>
      </c>
      <c r="S232" t="s">
        <v>62</v>
      </c>
      <c r="T232" s="11" t="str">
        <f>HYPERLINK("http://www.env.gov.bc.ca/esd/distdata/ecosystems/TEI_Scanned_Maps/B03/B03-4995","http://www.env.gov.bc.ca/esd/distdata/ecosystems/TEI_Scanned_Maps/B03/B03-4995")</f>
        <v>http://www.env.gov.bc.ca/esd/distdata/ecosystems/TEI_Scanned_Maps/B03/B03-4995</v>
      </c>
      <c r="U232" t="s">
        <v>58</v>
      </c>
      <c r="V232" t="s">
        <v>58</v>
      </c>
      <c r="W232" t="s">
        <v>58</v>
      </c>
      <c r="X232" t="s">
        <v>58</v>
      </c>
      <c r="Y232" t="s">
        <v>58</v>
      </c>
      <c r="Z232" t="s">
        <v>58</v>
      </c>
      <c r="AA232" t="s">
        <v>58</v>
      </c>
      <c r="AC232" t="s">
        <v>58</v>
      </c>
      <c r="AE232" t="s">
        <v>58</v>
      </c>
      <c r="AG232" t="s">
        <v>63</v>
      </c>
      <c r="AH232" s="11" t="str">
        <f t="shared" si="5"/>
        <v>mailto: soilterrain@victoria1.gov.bc.ca</v>
      </c>
    </row>
    <row r="233" spans="1:34">
      <c r="A233" t="s">
        <v>692</v>
      </c>
      <c r="B233" t="s">
        <v>56</v>
      </c>
      <c r="C233" s="10" t="s">
        <v>687</v>
      </c>
      <c r="D233" t="s">
        <v>58</v>
      </c>
      <c r="E233" t="s">
        <v>688</v>
      </c>
      <c r="F233" t="s">
        <v>693</v>
      </c>
      <c r="G233">
        <v>50000</v>
      </c>
      <c r="H233">
        <v>1981</v>
      </c>
      <c r="I233" t="s">
        <v>58</v>
      </c>
      <c r="J233" t="s">
        <v>61</v>
      </c>
      <c r="K233" t="s">
        <v>58</v>
      </c>
      <c r="L233" t="s">
        <v>58</v>
      </c>
      <c r="M233" t="s">
        <v>58</v>
      </c>
      <c r="P233" t="s">
        <v>61</v>
      </c>
      <c r="Q233" t="s">
        <v>58</v>
      </c>
      <c r="R233" s="11" t="str">
        <f>HYPERLINK("\\imagefiles.bcgov\imagery\scanned_maps\moe_terrain_maps\Scanned_T_maps_all\B03\B03-4998","\\imagefiles.bcgov\imagery\scanned_maps\moe_terrain_maps\Scanned_T_maps_all\B03\B03-4998")</f>
        <v>\\imagefiles.bcgov\imagery\scanned_maps\moe_terrain_maps\Scanned_T_maps_all\B03\B03-4998</v>
      </c>
      <c r="S233" t="s">
        <v>62</v>
      </c>
      <c r="T233" s="11" t="str">
        <f>HYPERLINK("http://www.env.gov.bc.ca/esd/distdata/ecosystems/TEI_Scanned_Maps/B03/B03-4998","http://www.env.gov.bc.ca/esd/distdata/ecosystems/TEI_Scanned_Maps/B03/B03-4998")</f>
        <v>http://www.env.gov.bc.ca/esd/distdata/ecosystems/TEI_Scanned_Maps/B03/B03-4998</v>
      </c>
      <c r="U233" t="s">
        <v>58</v>
      </c>
      <c r="V233" t="s">
        <v>58</v>
      </c>
      <c r="W233" t="s">
        <v>58</v>
      </c>
      <c r="X233" t="s">
        <v>58</v>
      </c>
      <c r="Y233" t="s">
        <v>58</v>
      </c>
      <c r="Z233" t="s">
        <v>58</v>
      </c>
      <c r="AA233" t="s">
        <v>58</v>
      </c>
      <c r="AC233" t="s">
        <v>58</v>
      </c>
      <c r="AE233" t="s">
        <v>58</v>
      </c>
      <c r="AG233" t="s">
        <v>63</v>
      </c>
      <c r="AH233" s="11" t="str">
        <f t="shared" si="5"/>
        <v>mailto: soilterrain@victoria1.gov.bc.ca</v>
      </c>
    </row>
    <row r="234" spans="1:34">
      <c r="A234" t="s">
        <v>694</v>
      </c>
      <c r="B234" t="s">
        <v>56</v>
      </c>
      <c r="C234" s="10" t="s">
        <v>687</v>
      </c>
      <c r="D234" t="s">
        <v>58</v>
      </c>
      <c r="E234" t="s">
        <v>688</v>
      </c>
      <c r="F234" t="s">
        <v>695</v>
      </c>
      <c r="G234">
        <v>50000</v>
      </c>
      <c r="H234">
        <v>1981</v>
      </c>
      <c r="I234" t="s">
        <v>58</v>
      </c>
      <c r="J234" t="s">
        <v>61</v>
      </c>
      <c r="K234" t="s">
        <v>58</v>
      </c>
      <c r="L234" t="s">
        <v>58</v>
      </c>
      <c r="M234" t="s">
        <v>58</v>
      </c>
      <c r="P234" t="s">
        <v>61</v>
      </c>
      <c r="Q234" t="s">
        <v>58</v>
      </c>
      <c r="R234" s="11" t="str">
        <f>HYPERLINK("\\imagefiles.bcgov\imagery\scanned_maps\moe_terrain_maps\Scanned_T_maps_all\B03\B03-4999","\\imagefiles.bcgov\imagery\scanned_maps\moe_terrain_maps\Scanned_T_maps_all\B03\B03-4999")</f>
        <v>\\imagefiles.bcgov\imagery\scanned_maps\moe_terrain_maps\Scanned_T_maps_all\B03\B03-4999</v>
      </c>
      <c r="S234" t="s">
        <v>62</v>
      </c>
      <c r="T234" s="11" t="str">
        <f>HYPERLINK("http://www.env.gov.bc.ca/esd/distdata/ecosystems/TEI_Scanned_Maps/B03/B03-4999","http://www.env.gov.bc.ca/esd/distdata/ecosystems/TEI_Scanned_Maps/B03/B03-4999")</f>
        <v>http://www.env.gov.bc.ca/esd/distdata/ecosystems/TEI_Scanned_Maps/B03/B03-4999</v>
      </c>
      <c r="U234" t="s">
        <v>58</v>
      </c>
      <c r="V234" t="s">
        <v>58</v>
      </c>
      <c r="W234" t="s">
        <v>58</v>
      </c>
      <c r="X234" t="s">
        <v>58</v>
      </c>
      <c r="Y234" t="s">
        <v>58</v>
      </c>
      <c r="Z234" t="s">
        <v>58</v>
      </c>
      <c r="AA234" t="s">
        <v>58</v>
      </c>
      <c r="AC234" t="s">
        <v>58</v>
      </c>
      <c r="AE234" t="s">
        <v>58</v>
      </c>
      <c r="AG234" t="s">
        <v>63</v>
      </c>
      <c r="AH234" s="11" t="str">
        <f t="shared" si="5"/>
        <v>mailto: soilterrain@victoria1.gov.bc.ca</v>
      </c>
    </row>
    <row r="235" spans="1:34">
      <c r="A235" t="s">
        <v>696</v>
      </c>
      <c r="B235" t="s">
        <v>56</v>
      </c>
      <c r="C235" s="10" t="s">
        <v>687</v>
      </c>
      <c r="D235" t="s">
        <v>58</v>
      </c>
      <c r="E235" t="s">
        <v>688</v>
      </c>
      <c r="F235" t="s">
        <v>697</v>
      </c>
      <c r="G235">
        <v>50000</v>
      </c>
      <c r="H235">
        <v>1981</v>
      </c>
      <c r="I235" t="s">
        <v>58</v>
      </c>
      <c r="J235" t="s">
        <v>61</v>
      </c>
      <c r="K235" t="s">
        <v>58</v>
      </c>
      <c r="L235" t="s">
        <v>58</v>
      </c>
      <c r="M235" t="s">
        <v>58</v>
      </c>
      <c r="P235" t="s">
        <v>61</v>
      </c>
      <c r="Q235" t="s">
        <v>58</v>
      </c>
      <c r="R235" s="11" t="str">
        <f>HYPERLINK("\\imagefiles.bcgov\imagery\scanned_maps\moe_terrain_maps\Scanned_T_maps_all\B03\B03-5000","\\imagefiles.bcgov\imagery\scanned_maps\moe_terrain_maps\Scanned_T_maps_all\B03\B03-5000")</f>
        <v>\\imagefiles.bcgov\imagery\scanned_maps\moe_terrain_maps\Scanned_T_maps_all\B03\B03-5000</v>
      </c>
      <c r="S235" t="s">
        <v>62</v>
      </c>
      <c r="T235" s="11" t="str">
        <f>HYPERLINK("http://www.env.gov.bc.ca/esd/distdata/ecosystems/TEI_Scanned_Maps/B03/B03-5000","http://www.env.gov.bc.ca/esd/distdata/ecosystems/TEI_Scanned_Maps/B03/B03-5000")</f>
        <v>http://www.env.gov.bc.ca/esd/distdata/ecosystems/TEI_Scanned_Maps/B03/B03-5000</v>
      </c>
      <c r="U235" t="s">
        <v>58</v>
      </c>
      <c r="V235" t="s">
        <v>58</v>
      </c>
      <c r="W235" t="s">
        <v>58</v>
      </c>
      <c r="X235" t="s">
        <v>58</v>
      </c>
      <c r="Y235" t="s">
        <v>58</v>
      </c>
      <c r="Z235" t="s">
        <v>58</v>
      </c>
      <c r="AA235" t="s">
        <v>58</v>
      </c>
      <c r="AC235" t="s">
        <v>58</v>
      </c>
      <c r="AE235" t="s">
        <v>58</v>
      </c>
      <c r="AG235" t="s">
        <v>63</v>
      </c>
      <c r="AH235" s="11" t="str">
        <f t="shared" si="5"/>
        <v>mailto: soilterrain@victoria1.gov.bc.ca</v>
      </c>
    </row>
    <row r="236" spans="1:34">
      <c r="A236" t="s">
        <v>698</v>
      </c>
      <c r="B236" t="s">
        <v>56</v>
      </c>
      <c r="C236" s="10" t="s">
        <v>687</v>
      </c>
      <c r="D236" t="s">
        <v>58</v>
      </c>
      <c r="E236" t="s">
        <v>688</v>
      </c>
      <c r="F236" t="s">
        <v>699</v>
      </c>
      <c r="G236">
        <v>50000</v>
      </c>
      <c r="H236">
        <v>1981</v>
      </c>
      <c r="I236" t="s">
        <v>58</v>
      </c>
      <c r="J236" t="s">
        <v>61</v>
      </c>
      <c r="K236" t="s">
        <v>58</v>
      </c>
      <c r="L236" t="s">
        <v>58</v>
      </c>
      <c r="M236" t="s">
        <v>58</v>
      </c>
      <c r="P236" t="s">
        <v>61</v>
      </c>
      <c r="Q236" t="s">
        <v>58</v>
      </c>
      <c r="R236" s="11" t="str">
        <f>HYPERLINK("\\imagefiles.bcgov\imagery\scanned_maps\moe_terrain_maps\Scanned_T_maps_all\B03\B03-5001","\\imagefiles.bcgov\imagery\scanned_maps\moe_terrain_maps\Scanned_T_maps_all\B03\B03-5001")</f>
        <v>\\imagefiles.bcgov\imagery\scanned_maps\moe_terrain_maps\Scanned_T_maps_all\B03\B03-5001</v>
      </c>
      <c r="S236" t="s">
        <v>62</v>
      </c>
      <c r="T236" s="11" t="str">
        <f>HYPERLINK("http://www.env.gov.bc.ca/esd/distdata/ecosystems/TEI_Scanned_Maps/B03/B03-5001","http://www.env.gov.bc.ca/esd/distdata/ecosystems/TEI_Scanned_Maps/B03/B03-5001")</f>
        <v>http://www.env.gov.bc.ca/esd/distdata/ecosystems/TEI_Scanned_Maps/B03/B03-5001</v>
      </c>
      <c r="U236" t="s">
        <v>58</v>
      </c>
      <c r="V236" t="s">
        <v>58</v>
      </c>
      <c r="W236" t="s">
        <v>58</v>
      </c>
      <c r="X236" t="s">
        <v>58</v>
      </c>
      <c r="Y236" t="s">
        <v>58</v>
      </c>
      <c r="Z236" t="s">
        <v>58</v>
      </c>
      <c r="AA236" t="s">
        <v>58</v>
      </c>
      <c r="AC236" t="s">
        <v>58</v>
      </c>
      <c r="AE236" t="s">
        <v>58</v>
      </c>
      <c r="AG236" t="s">
        <v>63</v>
      </c>
      <c r="AH236" s="11" t="str">
        <f t="shared" si="5"/>
        <v>mailto: soilterrain@victoria1.gov.bc.ca</v>
      </c>
    </row>
    <row r="237" spans="1:34">
      <c r="A237" t="s">
        <v>700</v>
      </c>
      <c r="B237" t="s">
        <v>701</v>
      </c>
      <c r="C237" s="10" t="s">
        <v>622</v>
      </c>
      <c r="D237" t="s">
        <v>58</v>
      </c>
      <c r="E237" t="s">
        <v>58</v>
      </c>
      <c r="F237" t="s">
        <v>702</v>
      </c>
      <c r="G237">
        <v>250000</v>
      </c>
      <c r="H237">
        <v>1955</v>
      </c>
      <c r="I237" t="s">
        <v>58</v>
      </c>
      <c r="J237" t="s">
        <v>58</v>
      </c>
      <c r="K237" t="s">
        <v>58</v>
      </c>
      <c r="L237" t="s">
        <v>58</v>
      </c>
      <c r="M237" t="s">
        <v>61</v>
      </c>
      <c r="Q237" t="s">
        <v>58</v>
      </c>
      <c r="R237" s="11" t="str">
        <f>HYPERLINK("\\imagefiles.bcgov\imagery\scanned_maps\moe_terrain_maps\Scanned_T_maps_all\B04\B04-4868","\\imagefiles.bcgov\imagery\scanned_maps\moe_terrain_maps\Scanned_T_maps_all\B04\B04-4868")</f>
        <v>\\imagefiles.bcgov\imagery\scanned_maps\moe_terrain_maps\Scanned_T_maps_all\B04\B04-4868</v>
      </c>
      <c r="S237" t="s">
        <v>62</v>
      </c>
      <c r="T237" s="11" t="str">
        <f>HYPERLINK("http://www.env.gov.bc.ca/esd/distdata/ecosystems/TEI_Scanned_Maps/B04/B04-4868","http://www.env.gov.bc.ca/esd/distdata/ecosystems/TEI_Scanned_Maps/B04/B04-4868")</f>
        <v>http://www.env.gov.bc.ca/esd/distdata/ecosystems/TEI_Scanned_Maps/B04/B04-4868</v>
      </c>
      <c r="U237" t="s">
        <v>58</v>
      </c>
      <c r="V237" t="s">
        <v>58</v>
      </c>
      <c r="W237" t="s">
        <v>58</v>
      </c>
      <c r="X237" t="s">
        <v>58</v>
      </c>
      <c r="Y237" t="s">
        <v>58</v>
      </c>
      <c r="Z237" t="s">
        <v>58</v>
      </c>
      <c r="AA237" t="s">
        <v>58</v>
      </c>
      <c r="AC237" t="s">
        <v>58</v>
      </c>
      <c r="AE237" t="s">
        <v>58</v>
      </c>
      <c r="AG237" t="s">
        <v>63</v>
      </c>
      <c r="AH237" s="11" t="str">
        <f t="shared" si="5"/>
        <v>mailto: soilterrain@victoria1.gov.bc.ca</v>
      </c>
    </row>
    <row r="238" spans="1:34">
      <c r="A238" t="s">
        <v>703</v>
      </c>
      <c r="B238" t="s">
        <v>56</v>
      </c>
      <c r="C238" s="10" t="s">
        <v>622</v>
      </c>
      <c r="D238" t="s">
        <v>58</v>
      </c>
      <c r="E238" t="s">
        <v>704</v>
      </c>
      <c r="F238" t="s">
        <v>705</v>
      </c>
      <c r="G238">
        <v>250000</v>
      </c>
      <c r="H238">
        <v>1984</v>
      </c>
      <c r="I238" t="s">
        <v>58</v>
      </c>
      <c r="J238" t="s">
        <v>58</v>
      </c>
      <c r="K238" t="s">
        <v>61</v>
      </c>
      <c r="L238" t="s">
        <v>61</v>
      </c>
      <c r="M238" t="s">
        <v>58</v>
      </c>
      <c r="Q238" t="s">
        <v>58</v>
      </c>
      <c r="R238" s="11" t="str">
        <f>HYPERLINK("\\imagefiles.bcgov\imagery\scanned_maps\moe_terrain_maps\Scanned_T_maps_all\B04\B04-4869","\\imagefiles.bcgov\imagery\scanned_maps\moe_terrain_maps\Scanned_T_maps_all\B04\B04-4869")</f>
        <v>\\imagefiles.bcgov\imagery\scanned_maps\moe_terrain_maps\Scanned_T_maps_all\B04\B04-4869</v>
      </c>
      <c r="S238" t="s">
        <v>62</v>
      </c>
      <c r="T238" s="11" t="str">
        <f>HYPERLINK("http://www.env.gov.bc.ca/esd/distdata/ecosystems/TEI_Scanned_Maps/B04/B04-4869","http://www.env.gov.bc.ca/esd/distdata/ecosystems/TEI_Scanned_Maps/B04/B04-4869")</f>
        <v>http://www.env.gov.bc.ca/esd/distdata/ecosystems/TEI_Scanned_Maps/B04/B04-4869</v>
      </c>
      <c r="U238" t="s">
        <v>58</v>
      </c>
      <c r="V238" t="s">
        <v>58</v>
      </c>
      <c r="W238" t="s">
        <v>58</v>
      </c>
      <c r="X238" t="s">
        <v>58</v>
      </c>
      <c r="Y238" t="s">
        <v>58</v>
      </c>
      <c r="Z238" t="s">
        <v>58</v>
      </c>
      <c r="AA238" t="s">
        <v>58</v>
      </c>
      <c r="AC238" t="s">
        <v>58</v>
      </c>
      <c r="AE238" t="s">
        <v>58</v>
      </c>
      <c r="AG238" t="s">
        <v>63</v>
      </c>
      <c r="AH238" s="11" t="str">
        <f t="shared" si="5"/>
        <v>mailto: soilterrain@victoria1.gov.bc.ca</v>
      </c>
    </row>
    <row r="239" spans="1:34">
      <c r="A239" t="s">
        <v>706</v>
      </c>
      <c r="B239" t="s">
        <v>701</v>
      </c>
      <c r="C239" s="10" t="s">
        <v>398</v>
      </c>
      <c r="D239" t="s">
        <v>58</v>
      </c>
      <c r="E239" t="s">
        <v>58</v>
      </c>
      <c r="F239" t="s">
        <v>707</v>
      </c>
      <c r="G239">
        <v>250000</v>
      </c>
      <c r="H239">
        <v>1966</v>
      </c>
      <c r="I239" t="s">
        <v>58</v>
      </c>
      <c r="J239" t="s">
        <v>58</v>
      </c>
      <c r="K239" t="s">
        <v>58</v>
      </c>
      <c r="L239" t="s">
        <v>58</v>
      </c>
      <c r="M239" t="s">
        <v>61</v>
      </c>
      <c r="Q239" t="s">
        <v>58</v>
      </c>
      <c r="R239" s="11" t="str">
        <f>HYPERLINK("\\imagefiles.bcgov\imagery\scanned_maps\moe_terrain_maps\Scanned_T_maps_all\B04\B04-4870","\\imagefiles.bcgov\imagery\scanned_maps\moe_terrain_maps\Scanned_T_maps_all\B04\B04-4870")</f>
        <v>\\imagefiles.bcgov\imagery\scanned_maps\moe_terrain_maps\Scanned_T_maps_all\B04\B04-4870</v>
      </c>
      <c r="S239" t="s">
        <v>62</v>
      </c>
      <c r="T239" s="11" t="str">
        <f>HYPERLINK("http://www.env.gov.bc.ca/esd/distdata/ecosystems/TEI_Scanned_Maps/B04/B04-4870","http://www.env.gov.bc.ca/esd/distdata/ecosystems/TEI_Scanned_Maps/B04/B04-4870")</f>
        <v>http://www.env.gov.bc.ca/esd/distdata/ecosystems/TEI_Scanned_Maps/B04/B04-4870</v>
      </c>
      <c r="U239" t="s">
        <v>58</v>
      </c>
      <c r="V239" t="s">
        <v>58</v>
      </c>
      <c r="W239" t="s">
        <v>58</v>
      </c>
      <c r="X239" t="s">
        <v>58</v>
      </c>
      <c r="Y239" t="s">
        <v>58</v>
      </c>
      <c r="Z239" t="s">
        <v>58</v>
      </c>
      <c r="AA239" t="s">
        <v>58</v>
      </c>
      <c r="AC239" t="s">
        <v>58</v>
      </c>
      <c r="AE239" t="s">
        <v>58</v>
      </c>
      <c r="AG239" t="s">
        <v>63</v>
      </c>
      <c r="AH239" s="11" t="str">
        <f t="shared" si="5"/>
        <v>mailto: soilterrain@victoria1.gov.bc.ca</v>
      </c>
    </row>
    <row r="240" spans="1:34">
      <c r="A240" t="s">
        <v>708</v>
      </c>
      <c r="B240" t="s">
        <v>701</v>
      </c>
      <c r="C240" s="10" t="s">
        <v>378</v>
      </c>
      <c r="D240" t="s">
        <v>58</v>
      </c>
      <c r="E240" t="s">
        <v>58</v>
      </c>
      <c r="F240" t="s">
        <v>709</v>
      </c>
      <c r="G240">
        <v>250000</v>
      </c>
      <c r="H240">
        <v>1970</v>
      </c>
      <c r="I240" t="s">
        <v>58</v>
      </c>
      <c r="J240" t="s">
        <v>58</v>
      </c>
      <c r="K240" t="s">
        <v>58</v>
      </c>
      <c r="L240" t="s">
        <v>58</v>
      </c>
      <c r="M240" t="s">
        <v>61</v>
      </c>
      <c r="Q240" t="s">
        <v>58</v>
      </c>
      <c r="R240" s="11" t="str">
        <f>HYPERLINK("\\imagefiles.bcgov\imagery\scanned_maps\moe_terrain_maps\Scanned_T_maps_all\B04\B04-4871","\\imagefiles.bcgov\imagery\scanned_maps\moe_terrain_maps\Scanned_T_maps_all\B04\B04-4871")</f>
        <v>\\imagefiles.bcgov\imagery\scanned_maps\moe_terrain_maps\Scanned_T_maps_all\B04\B04-4871</v>
      </c>
      <c r="S240" t="s">
        <v>62</v>
      </c>
      <c r="T240" s="11" t="str">
        <f>HYPERLINK("http://www.env.gov.bc.ca/esd/distdata/ecosystems/TEI_Scanned_Maps/B04/B04-4871","http://www.env.gov.bc.ca/esd/distdata/ecosystems/TEI_Scanned_Maps/B04/B04-4871")</f>
        <v>http://www.env.gov.bc.ca/esd/distdata/ecosystems/TEI_Scanned_Maps/B04/B04-4871</v>
      </c>
      <c r="U240" t="s">
        <v>58</v>
      </c>
      <c r="V240" t="s">
        <v>58</v>
      </c>
      <c r="W240" t="s">
        <v>58</v>
      </c>
      <c r="X240" t="s">
        <v>58</v>
      </c>
      <c r="Y240" t="s">
        <v>58</v>
      </c>
      <c r="Z240" t="s">
        <v>58</v>
      </c>
      <c r="AA240" t="s">
        <v>58</v>
      </c>
      <c r="AC240" t="s">
        <v>58</v>
      </c>
      <c r="AE240" t="s">
        <v>58</v>
      </c>
      <c r="AG240" t="s">
        <v>63</v>
      </c>
      <c r="AH240" s="11" t="str">
        <f t="shared" si="5"/>
        <v>mailto: soilterrain@victoria1.gov.bc.ca</v>
      </c>
    </row>
    <row r="241" spans="1:34">
      <c r="A241" t="s">
        <v>710</v>
      </c>
      <c r="B241" t="s">
        <v>56</v>
      </c>
      <c r="C241" s="10" t="s">
        <v>711</v>
      </c>
      <c r="D241" t="s">
        <v>58</v>
      </c>
      <c r="E241" t="s">
        <v>59</v>
      </c>
      <c r="F241" t="s">
        <v>712</v>
      </c>
      <c r="G241">
        <v>250000</v>
      </c>
      <c r="H241">
        <v>1983</v>
      </c>
      <c r="I241" t="s">
        <v>58</v>
      </c>
      <c r="J241" t="s">
        <v>58</v>
      </c>
      <c r="K241" t="s">
        <v>58</v>
      </c>
      <c r="L241" t="s">
        <v>58</v>
      </c>
      <c r="M241" t="s">
        <v>58</v>
      </c>
      <c r="P241" t="s">
        <v>61</v>
      </c>
      <c r="Q241" t="s">
        <v>58</v>
      </c>
      <c r="R241" s="11" t="str">
        <f>HYPERLINK("\\imagefiles.bcgov\imagery\scanned_maps\moe_terrain_maps\Scanned_T_maps_all\B04\B04-4872","\\imagefiles.bcgov\imagery\scanned_maps\moe_terrain_maps\Scanned_T_maps_all\B04\B04-4872")</f>
        <v>\\imagefiles.bcgov\imagery\scanned_maps\moe_terrain_maps\Scanned_T_maps_all\B04\B04-4872</v>
      </c>
      <c r="S241" t="s">
        <v>62</v>
      </c>
      <c r="T241" s="11" t="str">
        <f>HYPERLINK("http://www.env.gov.bc.ca/esd/distdata/ecosystems/TEI_Scanned_Maps/B04/B04-4872","http://www.env.gov.bc.ca/esd/distdata/ecosystems/TEI_Scanned_Maps/B04/B04-4872")</f>
        <v>http://www.env.gov.bc.ca/esd/distdata/ecosystems/TEI_Scanned_Maps/B04/B04-4872</v>
      </c>
      <c r="U241" t="s">
        <v>58</v>
      </c>
      <c r="V241" t="s">
        <v>58</v>
      </c>
      <c r="W241" t="s">
        <v>58</v>
      </c>
      <c r="X241" t="s">
        <v>58</v>
      </c>
      <c r="Y241" t="s">
        <v>58</v>
      </c>
      <c r="Z241" t="s">
        <v>58</v>
      </c>
      <c r="AA241" t="s">
        <v>58</v>
      </c>
      <c r="AC241" t="s">
        <v>58</v>
      </c>
      <c r="AE241" t="s">
        <v>58</v>
      </c>
      <c r="AG241" t="s">
        <v>63</v>
      </c>
      <c r="AH241" s="11" t="str">
        <f t="shared" si="5"/>
        <v>mailto: soilterrain@victoria1.gov.bc.ca</v>
      </c>
    </row>
    <row r="242" spans="1:34">
      <c r="A242" t="s">
        <v>713</v>
      </c>
      <c r="B242" t="s">
        <v>56</v>
      </c>
      <c r="C242" s="10" t="s">
        <v>711</v>
      </c>
      <c r="D242" t="s">
        <v>58</v>
      </c>
      <c r="E242" t="s">
        <v>59</v>
      </c>
      <c r="F242" t="s">
        <v>714</v>
      </c>
      <c r="G242">
        <v>250000</v>
      </c>
      <c r="H242">
        <v>1983</v>
      </c>
      <c r="I242" t="s">
        <v>58</v>
      </c>
      <c r="J242" t="s">
        <v>58</v>
      </c>
      <c r="K242" t="s">
        <v>61</v>
      </c>
      <c r="L242" t="s">
        <v>58</v>
      </c>
      <c r="M242" t="s">
        <v>58</v>
      </c>
      <c r="Q242" t="s">
        <v>58</v>
      </c>
      <c r="R242" s="11" t="str">
        <f>HYPERLINK("\\imagefiles.bcgov\imagery\scanned_maps\moe_terrain_maps\Scanned_T_maps_all\B04\B04-4873","\\imagefiles.bcgov\imagery\scanned_maps\moe_terrain_maps\Scanned_T_maps_all\B04\B04-4873")</f>
        <v>\\imagefiles.bcgov\imagery\scanned_maps\moe_terrain_maps\Scanned_T_maps_all\B04\B04-4873</v>
      </c>
      <c r="S242" t="s">
        <v>62</v>
      </c>
      <c r="T242" s="11" t="str">
        <f>HYPERLINK("http://www.env.gov.bc.ca/esd/distdata/ecosystems/TEI_Scanned_Maps/B04/B04-4873","http://www.env.gov.bc.ca/esd/distdata/ecosystems/TEI_Scanned_Maps/B04/B04-4873")</f>
        <v>http://www.env.gov.bc.ca/esd/distdata/ecosystems/TEI_Scanned_Maps/B04/B04-4873</v>
      </c>
      <c r="U242" t="s">
        <v>58</v>
      </c>
      <c r="V242" t="s">
        <v>58</v>
      </c>
      <c r="W242" t="s">
        <v>58</v>
      </c>
      <c r="X242" t="s">
        <v>58</v>
      </c>
      <c r="Y242" t="s">
        <v>58</v>
      </c>
      <c r="Z242" t="s">
        <v>58</v>
      </c>
      <c r="AA242" t="s">
        <v>58</v>
      </c>
      <c r="AC242" t="s">
        <v>58</v>
      </c>
      <c r="AE242" t="s">
        <v>58</v>
      </c>
      <c r="AG242" t="s">
        <v>63</v>
      </c>
      <c r="AH242" s="11" t="str">
        <f t="shared" si="5"/>
        <v>mailto: soilterrain@victoria1.gov.bc.ca</v>
      </c>
    </row>
    <row r="243" spans="1:34">
      <c r="A243" t="s">
        <v>715</v>
      </c>
      <c r="B243" t="s">
        <v>56</v>
      </c>
      <c r="C243" s="10" t="s">
        <v>716</v>
      </c>
      <c r="D243" t="s">
        <v>58</v>
      </c>
      <c r="E243" t="s">
        <v>717</v>
      </c>
      <c r="F243" t="s">
        <v>718</v>
      </c>
      <c r="G243">
        <v>20000</v>
      </c>
      <c r="H243">
        <v>1981</v>
      </c>
      <c r="I243" t="s">
        <v>58</v>
      </c>
      <c r="J243" t="s">
        <v>58</v>
      </c>
      <c r="K243" t="s">
        <v>58</v>
      </c>
      <c r="L243" t="s">
        <v>61</v>
      </c>
      <c r="M243" t="s">
        <v>58</v>
      </c>
      <c r="Q243" t="s">
        <v>58</v>
      </c>
      <c r="R243" s="11" t="str">
        <f>HYPERLINK("\\imagefiles.bcgov\imagery\scanned_maps\moe_terrain_maps\Scanned_T_maps_all\B04\B04-4874","\\imagefiles.bcgov\imagery\scanned_maps\moe_terrain_maps\Scanned_T_maps_all\B04\B04-4874")</f>
        <v>\\imagefiles.bcgov\imagery\scanned_maps\moe_terrain_maps\Scanned_T_maps_all\B04\B04-4874</v>
      </c>
      <c r="S243" t="s">
        <v>62</v>
      </c>
      <c r="T243" s="11" t="str">
        <f>HYPERLINK("http://www.env.gov.bc.ca/esd/distdata/ecosystems/TEI_Scanned_Maps/B04/B04-4874","http://www.env.gov.bc.ca/esd/distdata/ecosystems/TEI_Scanned_Maps/B04/B04-4874")</f>
        <v>http://www.env.gov.bc.ca/esd/distdata/ecosystems/TEI_Scanned_Maps/B04/B04-4874</v>
      </c>
      <c r="U243" t="s">
        <v>58</v>
      </c>
      <c r="V243" t="s">
        <v>58</v>
      </c>
      <c r="W243" t="s">
        <v>58</v>
      </c>
      <c r="X243" t="s">
        <v>58</v>
      </c>
      <c r="Y243" t="s">
        <v>58</v>
      </c>
      <c r="Z243" t="s">
        <v>58</v>
      </c>
      <c r="AA243" t="s">
        <v>58</v>
      </c>
      <c r="AC243" t="s">
        <v>58</v>
      </c>
      <c r="AE243" t="s">
        <v>58</v>
      </c>
      <c r="AG243" t="s">
        <v>63</v>
      </c>
      <c r="AH243" s="11" t="str">
        <f t="shared" si="5"/>
        <v>mailto: soilterrain@victoria1.gov.bc.ca</v>
      </c>
    </row>
    <row r="244" spans="1:34">
      <c r="A244" t="s">
        <v>719</v>
      </c>
      <c r="B244" t="s">
        <v>701</v>
      </c>
      <c r="C244" s="10" t="s">
        <v>409</v>
      </c>
      <c r="D244" t="s">
        <v>58</v>
      </c>
      <c r="E244" t="s">
        <v>58</v>
      </c>
      <c r="F244" t="s">
        <v>720</v>
      </c>
      <c r="G244">
        <v>250000</v>
      </c>
      <c r="H244">
        <v>1974</v>
      </c>
      <c r="I244" t="s">
        <v>58</v>
      </c>
      <c r="J244" t="s">
        <v>58</v>
      </c>
      <c r="K244" t="s">
        <v>58</v>
      </c>
      <c r="L244" t="s">
        <v>58</v>
      </c>
      <c r="M244" t="s">
        <v>61</v>
      </c>
      <c r="Q244" t="s">
        <v>58</v>
      </c>
      <c r="R244" s="11" t="str">
        <f>HYPERLINK("\\imagefiles.bcgov\imagery\scanned_maps\moe_terrain_maps\Scanned_T_maps_all\B04\B04-4875","\\imagefiles.bcgov\imagery\scanned_maps\moe_terrain_maps\Scanned_T_maps_all\B04\B04-4875")</f>
        <v>\\imagefiles.bcgov\imagery\scanned_maps\moe_terrain_maps\Scanned_T_maps_all\B04\B04-4875</v>
      </c>
      <c r="S244" t="s">
        <v>62</v>
      </c>
      <c r="T244" s="11" t="str">
        <f>HYPERLINK("http://www.env.gov.bc.ca/esd/distdata/ecosystems/TEI_Scanned_Maps/B04/B04-4875","http://www.env.gov.bc.ca/esd/distdata/ecosystems/TEI_Scanned_Maps/B04/B04-4875")</f>
        <v>http://www.env.gov.bc.ca/esd/distdata/ecosystems/TEI_Scanned_Maps/B04/B04-4875</v>
      </c>
      <c r="U244" t="s">
        <v>58</v>
      </c>
      <c r="V244" t="s">
        <v>58</v>
      </c>
      <c r="W244" t="s">
        <v>58</v>
      </c>
      <c r="X244" t="s">
        <v>58</v>
      </c>
      <c r="Y244" t="s">
        <v>58</v>
      </c>
      <c r="Z244" t="s">
        <v>58</v>
      </c>
      <c r="AA244" t="s">
        <v>58</v>
      </c>
      <c r="AC244" t="s">
        <v>58</v>
      </c>
      <c r="AE244" t="s">
        <v>58</v>
      </c>
      <c r="AG244" t="s">
        <v>63</v>
      </c>
      <c r="AH244" s="11" t="str">
        <f t="shared" si="5"/>
        <v>mailto: soilterrain@victoria1.gov.bc.ca</v>
      </c>
    </row>
    <row r="245" spans="1:34">
      <c r="A245" t="s">
        <v>721</v>
      </c>
      <c r="B245" t="s">
        <v>56</v>
      </c>
      <c r="C245" s="10" t="s">
        <v>409</v>
      </c>
      <c r="D245" t="s">
        <v>58</v>
      </c>
      <c r="E245" t="s">
        <v>59</v>
      </c>
      <c r="F245" t="s">
        <v>722</v>
      </c>
      <c r="G245">
        <v>250000</v>
      </c>
      <c r="H245" t="s">
        <v>723</v>
      </c>
      <c r="I245" t="s">
        <v>58</v>
      </c>
      <c r="J245" t="s">
        <v>58</v>
      </c>
      <c r="K245" t="s">
        <v>58</v>
      </c>
      <c r="L245" t="s">
        <v>58</v>
      </c>
      <c r="M245" t="s">
        <v>58</v>
      </c>
      <c r="P245" t="s">
        <v>61</v>
      </c>
      <c r="Q245" t="s">
        <v>58</v>
      </c>
      <c r="R245" s="11" t="str">
        <f>HYPERLINK("\\imagefiles.bcgov\imagery\scanned_maps\moe_terrain_maps\Scanned_T_maps_all\B04\B04-4876","\\imagefiles.bcgov\imagery\scanned_maps\moe_terrain_maps\Scanned_T_maps_all\B04\B04-4876")</f>
        <v>\\imagefiles.bcgov\imagery\scanned_maps\moe_terrain_maps\Scanned_T_maps_all\B04\B04-4876</v>
      </c>
      <c r="S245" t="s">
        <v>62</v>
      </c>
      <c r="T245" s="11" t="str">
        <f>HYPERLINK("http://www.env.gov.bc.ca/esd/distdata/ecosystems/TEI_Scanned_Maps/B04/B04-4876","http://www.env.gov.bc.ca/esd/distdata/ecosystems/TEI_Scanned_Maps/B04/B04-4876")</f>
        <v>http://www.env.gov.bc.ca/esd/distdata/ecosystems/TEI_Scanned_Maps/B04/B04-4876</v>
      </c>
      <c r="U245" t="s">
        <v>58</v>
      </c>
      <c r="V245" t="s">
        <v>58</v>
      </c>
      <c r="W245" t="s">
        <v>58</v>
      </c>
      <c r="X245" t="s">
        <v>58</v>
      </c>
      <c r="Y245" t="s">
        <v>58</v>
      </c>
      <c r="Z245" t="s">
        <v>58</v>
      </c>
      <c r="AA245" t="s">
        <v>58</v>
      </c>
      <c r="AC245" t="s">
        <v>58</v>
      </c>
      <c r="AE245" t="s">
        <v>58</v>
      </c>
      <c r="AG245" t="s">
        <v>63</v>
      </c>
      <c r="AH245" s="11" t="str">
        <f t="shared" si="5"/>
        <v>mailto: soilterrain@victoria1.gov.bc.ca</v>
      </c>
    </row>
    <row r="246" spans="1:34">
      <c r="A246" t="s">
        <v>724</v>
      </c>
      <c r="B246" t="s">
        <v>56</v>
      </c>
      <c r="C246" s="10" t="s">
        <v>398</v>
      </c>
      <c r="D246" t="s">
        <v>61</v>
      </c>
      <c r="E246" t="s">
        <v>59</v>
      </c>
      <c r="F246" t="s">
        <v>725</v>
      </c>
      <c r="G246">
        <v>250000</v>
      </c>
      <c r="H246" t="s">
        <v>726</v>
      </c>
      <c r="I246" t="s">
        <v>58</v>
      </c>
      <c r="J246" t="s">
        <v>58</v>
      </c>
      <c r="K246" t="s">
        <v>58</v>
      </c>
      <c r="L246" t="s">
        <v>58</v>
      </c>
      <c r="M246" t="s">
        <v>58</v>
      </c>
      <c r="P246" t="s">
        <v>61</v>
      </c>
      <c r="Q246" t="s">
        <v>58</v>
      </c>
      <c r="R246" s="11" t="str">
        <f>HYPERLINK("\\imagefiles.bcgov\imagery\scanned_maps\moe_terrain_maps\Scanned_T_maps_all\B04\B04-4877","\\imagefiles.bcgov\imagery\scanned_maps\moe_terrain_maps\Scanned_T_maps_all\B04\B04-4877")</f>
        <v>\\imagefiles.bcgov\imagery\scanned_maps\moe_terrain_maps\Scanned_T_maps_all\B04\B04-4877</v>
      </c>
      <c r="S246" t="s">
        <v>62</v>
      </c>
      <c r="T246" s="11" t="str">
        <f>HYPERLINK("http://www.env.gov.bc.ca/esd/distdata/ecosystems/TEI_Scanned_Maps/B04/B04-4877","http://www.env.gov.bc.ca/esd/distdata/ecosystems/TEI_Scanned_Maps/B04/B04-4877")</f>
        <v>http://www.env.gov.bc.ca/esd/distdata/ecosystems/TEI_Scanned_Maps/B04/B04-4877</v>
      </c>
      <c r="U246" t="s">
        <v>58</v>
      </c>
      <c r="V246" t="s">
        <v>58</v>
      </c>
      <c r="W246" t="s">
        <v>58</v>
      </c>
      <c r="X246" t="s">
        <v>58</v>
      </c>
      <c r="Y246" t="s">
        <v>58</v>
      </c>
      <c r="Z246" t="s">
        <v>58</v>
      </c>
      <c r="AA246" t="s">
        <v>58</v>
      </c>
      <c r="AC246" t="s">
        <v>58</v>
      </c>
      <c r="AE246" t="s">
        <v>58</v>
      </c>
      <c r="AG246" t="s">
        <v>63</v>
      </c>
      <c r="AH246" s="11" t="str">
        <f t="shared" si="5"/>
        <v>mailto: soilterrain@victoria1.gov.bc.ca</v>
      </c>
    </row>
    <row r="247" spans="1:34">
      <c r="A247" t="s">
        <v>727</v>
      </c>
      <c r="B247" t="s">
        <v>701</v>
      </c>
      <c r="C247" s="10" t="s">
        <v>728</v>
      </c>
      <c r="D247" t="s">
        <v>58</v>
      </c>
      <c r="E247" t="s">
        <v>58</v>
      </c>
      <c r="F247" t="s">
        <v>729</v>
      </c>
      <c r="G247">
        <v>250000</v>
      </c>
      <c r="H247">
        <v>1982</v>
      </c>
      <c r="I247" t="s">
        <v>58</v>
      </c>
      <c r="J247" t="s">
        <v>58</v>
      </c>
      <c r="K247" t="s">
        <v>58</v>
      </c>
      <c r="L247" t="s">
        <v>61</v>
      </c>
      <c r="M247" t="s">
        <v>61</v>
      </c>
      <c r="Q247" t="s">
        <v>58</v>
      </c>
      <c r="R247" s="11" t="str">
        <f>HYPERLINK("\\imagefiles.bcgov\imagery\scanned_maps\moe_terrain_maps\Scanned_T_maps_all\B04\B04-4878","\\imagefiles.bcgov\imagery\scanned_maps\moe_terrain_maps\Scanned_T_maps_all\B04\B04-4878")</f>
        <v>\\imagefiles.bcgov\imagery\scanned_maps\moe_terrain_maps\Scanned_T_maps_all\B04\B04-4878</v>
      </c>
      <c r="S247" t="s">
        <v>62</v>
      </c>
      <c r="T247" s="11" t="str">
        <f>HYPERLINK("http://www.env.gov.bc.ca/esd/distdata/ecosystems/TEI_Scanned_Maps/B04/B04-4878","http://www.env.gov.bc.ca/esd/distdata/ecosystems/TEI_Scanned_Maps/B04/B04-4878")</f>
        <v>http://www.env.gov.bc.ca/esd/distdata/ecosystems/TEI_Scanned_Maps/B04/B04-4878</v>
      </c>
      <c r="U247" t="s">
        <v>58</v>
      </c>
      <c r="V247" t="s">
        <v>58</v>
      </c>
      <c r="W247" t="s">
        <v>58</v>
      </c>
      <c r="X247" t="s">
        <v>58</v>
      </c>
      <c r="Y247" t="s">
        <v>58</v>
      </c>
      <c r="Z247" t="s">
        <v>58</v>
      </c>
      <c r="AA247" t="s">
        <v>58</v>
      </c>
      <c r="AC247" t="s">
        <v>58</v>
      </c>
      <c r="AE247" t="s">
        <v>58</v>
      </c>
      <c r="AG247" t="s">
        <v>63</v>
      </c>
      <c r="AH247" s="11" t="str">
        <f t="shared" si="5"/>
        <v>mailto: soilterrain@victoria1.gov.bc.ca</v>
      </c>
    </row>
    <row r="248" spans="1:34">
      <c r="A248" t="s">
        <v>730</v>
      </c>
      <c r="B248" t="s">
        <v>701</v>
      </c>
      <c r="C248" s="10" t="s">
        <v>711</v>
      </c>
      <c r="D248" t="s">
        <v>58</v>
      </c>
      <c r="E248" t="s">
        <v>58</v>
      </c>
      <c r="F248" t="s">
        <v>731</v>
      </c>
      <c r="G248">
        <v>250000</v>
      </c>
      <c r="H248" t="s">
        <v>732</v>
      </c>
      <c r="I248" t="s">
        <v>58</v>
      </c>
      <c r="J248" t="s">
        <v>58</v>
      </c>
      <c r="K248" t="s">
        <v>58</v>
      </c>
      <c r="L248" t="s">
        <v>58</v>
      </c>
      <c r="M248" t="s">
        <v>61</v>
      </c>
      <c r="Q248" t="s">
        <v>58</v>
      </c>
      <c r="R248" s="11" t="str">
        <f>HYPERLINK("\\imagefiles.bcgov\imagery\scanned_maps\moe_terrain_maps\Scanned_T_maps_all\B04\B04-4881","\\imagefiles.bcgov\imagery\scanned_maps\moe_terrain_maps\Scanned_T_maps_all\B04\B04-4881")</f>
        <v>\\imagefiles.bcgov\imagery\scanned_maps\moe_terrain_maps\Scanned_T_maps_all\B04\B04-4881</v>
      </c>
      <c r="S248" t="s">
        <v>62</v>
      </c>
      <c r="T248" s="11" t="str">
        <f>HYPERLINK("http://www.env.gov.bc.ca/esd/distdata/ecosystems/TEI_Scanned_Maps/B04/B04-4881","http://www.env.gov.bc.ca/esd/distdata/ecosystems/TEI_Scanned_Maps/B04/B04-4881")</f>
        <v>http://www.env.gov.bc.ca/esd/distdata/ecosystems/TEI_Scanned_Maps/B04/B04-4881</v>
      </c>
      <c r="U248" t="s">
        <v>58</v>
      </c>
      <c r="V248" t="s">
        <v>58</v>
      </c>
      <c r="W248" t="s">
        <v>58</v>
      </c>
      <c r="X248" t="s">
        <v>58</v>
      </c>
      <c r="Y248" t="s">
        <v>58</v>
      </c>
      <c r="Z248" t="s">
        <v>58</v>
      </c>
      <c r="AA248" t="s">
        <v>58</v>
      </c>
      <c r="AC248" t="s">
        <v>58</v>
      </c>
      <c r="AE248" t="s">
        <v>58</v>
      </c>
      <c r="AG248" t="s">
        <v>63</v>
      </c>
      <c r="AH248" s="11" t="str">
        <f t="shared" si="5"/>
        <v>mailto: soilterrain@victoria1.gov.bc.ca</v>
      </c>
    </row>
    <row r="249" spans="1:34">
      <c r="A249" t="s">
        <v>733</v>
      </c>
      <c r="B249" t="s">
        <v>701</v>
      </c>
      <c r="C249" s="10" t="s">
        <v>398</v>
      </c>
      <c r="D249" t="s">
        <v>58</v>
      </c>
      <c r="E249" t="s">
        <v>58</v>
      </c>
      <c r="F249" t="s">
        <v>734</v>
      </c>
      <c r="G249">
        <v>250000</v>
      </c>
      <c r="H249">
        <v>1983</v>
      </c>
      <c r="I249" t="s">
        <v>58</v>
      </c>
      <c r="J249" t="s">
        <v>58</v>
      </c>
      <c r="K249" t="s">
        <v>58</v>
      </c>
      <c r="L249" t="s">
        <v>58</v>
      </c>
      <c r="M249" t="s">
        <v>61</v>
      </c>
      <c r="Q249" t="s">
        <v>58</v>
      </c>
      <c r="R249" s="11" t="str">
        <f>HYPERLINK("\\imagefiles.bcgov\imagery\scanned_maps\moe_terrain_maps\Scanned_T_maps_all\B04\B04-4884","\\imagefiles.bcgov\imagery\scanned_maps\moe_terrain_maps\Scanned_T_maps_all\B04\B04-4884")</f>
        <v>\\imagefiles.bcgov\imagery\scanned_maps\moe_terrain_maps\Scanned_T_maps_all\B04\B04-4884</v>
      </c>
      <c r="S249" t="s">
        <v>62</v>
      </c>
      <c r="T249" s="11" t="str">
        <f>HYPERLINK("http://www.env.gov.bc.ca/esd/distdata/ecosystems/TEI_Scanned_Maps/B04/B04-4884","http://www.env.gov.bc.ca/esd/distdata/ecosystems/TEI_Scanned_Maps/B04/B04-4884")</f>
        <v>http://www.env.gov.bc.ca/esd/distdata/ecosystems/TEI_Scanned_Maps/B04/B04-4884</v>
      </c>
      <c r="U249" t="s">
        <v>58</v>
      </c>
      <c r="V249" t="s">
        <v>58</v>
      </c>
      <c r="W249" t="s">
        <v>58</v>
      </c>
      <c r="X249" t="s">
        <v>58</v>
      </c>
      <c r="Y249" t="s">
        <v>58</v>
      </c>
      <c r="Z249" t="s">
        <v>58</v>
      </c>
      <c r="AA249" t="s">
        <v>58</v>
      </c>
      <c r="AC249" t="s">
        <v>58</v>
      </c>
      <c r="AE249" t="s">
        <v>58</v>
      </c>
      <c r="AG249" t="s">
        <v>63</v>
      </c>
      <c r="AH249" s="11" t="str">
        <f t="shared" si="5"/>
        <v>mailto: soilterrain@victoria1.gov.bc.ca</v>
      </c>
    </row>
    <row r="250" spans="1:34">
      <c r="A250" t="s">
        <v>735</v>
      </c>
      <c r="B250" t="s">
        <v>701</v>
      </c>
      <c r="C250" s="10" t="s">
        <v>736</v>
      </c>
      <c r="D250" t="s">
        <v>58</v>
      </c>
      <c r="E250" t="s">
        <v>58</v>
      </c>
      <c r="F250" t="s">
        <v>737</v>
      </c>
      <c r="G250">
        <v>10000</v>
      </c>
      <c r="H250">
        <v>1992</v>
      </c>
      <c r="I250" t="s">
        <v>58</v>
      </c>
      <c r="J250" t="s">
        <v>58</v>
      </c>
      <c r="K250" t="s">
        <v>58</v>
      </c>
      <c r="L250" t="s">
        <v>58</v>
      </c>
      <c r="M250" t="s">
        <v>61</v>
      </c>
      <c r="Q250" t="s">
        <v>132</v>
      </c>
      <c r="R250" s="11" t="str">
        <f>HYPERLINK("\\imagefiles.bcgov\imagery\scanned_maps\moe_terrain_maps\Scanned_T_maps_all\B04\B04-4886","\\imagefiles.bcgov\imagery\scanned_maps\moe_terrain_maps\Scanned_T_maps_all\B04\B04-4886")</f>
        <v>\\imagefiles.bcgov\imagery\scanned_maps\moe_terrain_maps\Scanned_T_maps_all\B04\B04-4886</v>
      </c>
      <c r="S250" t="s">
        <v>62</v>
      </c>
      <c r="T250" s="11" t="str">
        <f>HYPERLINK("http://www.env.gov.bc.ca/esd/distdata/ecosystems/TEI_Scanned_Maps/B04/B04-4886","http://www.env.gov.bc.ca/esd/distdata/ecosystems/TEI_Scanned_Maps/B04/B04-4886")</f>
        <v>http://www.env.gov.bc.ca/esd/distdata/ecosystems/TEI_Scanned_Maps/B04/B04-4886</v>
      </c>
      <c r="U250" t="s">
        <v>58</v>
      </c>
      <c r="V250" t="s">
        <v>58</v>
      </c>
      <c r="W250" t="s">
        <v>58</v>
      </c>
      <c r="X250" t="s">
        <v>58</v>
      </c>
      <c r="Y250" t="s">
        <v>58</v>
      </c>
      <c r="Z250" t="s">
        <v>58</v>
      </c>
      <c r="AA250" t="s">
        <v>58</v>
      </c>
      <c r="AC250" t="s">
        <v>58</v>
      </c>
      <c r="AE250" t="s">
        <v>58</v>
      </c>
      <c r="AG250" t="s">
        <v>63</v>
      </c>
      <c r="AH250" s="11" t="str">
        <f t="shared" si="5"/>
        <v>mailto: soilterrain@victoria1.gov.bc.ca</v>
      </c>
    </row>
    <row r="251" spans="1:34">
      <c r="A251" t="s">
        <v>738</v>
      </c>
      <c r="B251" t="s">
        <v>701</v>
      </c>
      <c r="C251" s="10" t="s">
        <v>739</v>
      </c>
      <c r="D251" t="s">
        <v>61</v>
      </c>
      <c r="E251" t="s">
        <v>58</v>
      </c>
      <c r="F251" t="s">
        <v>740</v>
      </c>
      <c r="G251">
        <v>50000</v>
      </c>
      <c r="H251" t="s">
        <v>741</v>
      </c>
      <c r="I251" t="s">
        <v>58</v>
      </c>
      <c r="J251" t="s">
        <v>58</v>
      </c>
      <c r="K251" t="s">
        <v>58</v>
      </c>
      <c r="L251" t="s">
        <v>58</v>
      </c>
      <c r="M251" t="s">
        <v>61</v>
      </c>
      <c r="Q251" t="s">
        <v>58</v>
      </c>
      <c r="R251" s="11" t="str">
        <f>HYPERLINK("\\imagefiles.bcgov\imagery\scanned_maps\moe_terrain_maps\Scanned_T_maps_all\B04\B04-4887","\\imagefiles.bcgov\imagery\scanned_maps\moe_terrain_maps\Scanned_T_maps_all\B04\B04-4887")</f>
        <v>\\imagefiles.bcgov\imagery\scanned_maps\moe_terrain_maps\Scanned_T_maps_all\B04\B04-4887</v>
      </c>
      <c r="S251" t="s">
        <v>62</v>
      </c>
      <c r="T251" s="11" t="str">
        <f>HYPERLINK("http://www.env.gov.bc.ca/esd/distdata/ecosystems/TEI_Scanned_Maps/B04/B04-4887","http://www.env.gov.bc.ca/esd/distdata/ecosystems/TEI_Scanned_Maps/B04/B04-4887")</f>
        <v>http://www.env.gov.bc.ca/esd/distdata/ecosystems/TEI_Scanned_Maps/B04/B04-4887</v>
      </c>
      <c r="U251" t="s">
        <v>58</v>
      </c>
      <c r="V251" t="s">
        <v>58</v>
      </c>
      <c r="W251" t="s">
        <v>58</v>
      </c>
      <c r="X251" t="s">
        <v>58</v>
      </c>
      <c r="Y251" t="s">
        <v>58</v>
      </c>
      <c r="Z251" t="s">
        <v>58</v>
      </c>
      <c r="AA251" t="s">
        <v>58</v>
      </c>
      <c r="AC251" t="s">
        <v>58</v>
      </c>
      <c r="AE251" t="s">
        <v>58</v>
      </c>
      <c r="AG251" t="s">
        <v>63</v>
      </c>
      <c r="AH251" s="11" t="str">
        <f t="shared" si="5"/>
        <v>mailto: soilterrain@victoria1.gov.bc.ca</v>
      </c>
    </row>
    <row r="252" spans="1:34">
      <c r="A252" t="s">
        <v>742</v>
      </c>
      <c r="B252" t="s">
        <v>701</v>
      </c>
      <c r="C252" s="10" t="s">
        <v>716</v>
      </c>
      <c r="D252" t="s">
        <v>61</v>
      </c>
      <c r="E252" t="s">
        <v>58</v>
      </c>
      <c r="F252" t="s">
        <v>743</v>
      </c>
      <c r="G252">
        <v>50000</v>
      </c>
      <c r="H252">
        <v>1982</v>
      </c>
      <c r="I252" t="s">
        <v>58</v>
      </c>
      <c r="J252" t="s">
        <v>58</v>
      </c>
      <c r="K252" t="s">
        <v>58</v>
      </c>
      <c r="L252" t="s">
        <v>58</v>
      </c>
      <c r="M252" t="s">
        <v>61</v>
      </c>
      <c r="Q252" t="s">
        <v>58</v>
      </c>
      <c r="R252" s="11" t="str">
        <f>HYPERLINK("\\imagefiles.bcgov\imagery\scanned_maps\moe_terrain_maps\Scanned_T_maps_all\B04\B04-4888","\\imagefiles.bcgov\imagery\scanned_maps\moe_terrain_maps\Scanned_T_maps_all\B04\B04-4888")</f>
        <v>\\imagefiles.bcgov\imagery\scanned_maps\moe_terrain_maps\Scanned_T_maps_all\B04\B04-4888</v>
      </c>
      <c r="S252" t="s">
        <v>62</v>
      </c>
      <c r="T252" s="11" t="str">
        <f>HYPERLINK("http://www.env.gov.bc.ca/esd/distdata/ecosystems/TEI_Scanned_Maps/B04/B04-4888","http://www.env.gov.bc.ca/esd/distdata/ecosystems/TEI_Scanned_Maps/B04/B04-4888")</f>
        <v>http://www.env.gov.bc.ca/esd/distdata/ecosystems/TEI_Scanned_Maps/B04/B04-4888</v>
      </c>
      <c r="U252" t="s">
        <v>58</v>
      </c>
      <c r="V252" t="s">
        <v>58</v>
      </c>
      <c r="W252" t="s">
        <v>58</v>
      </c>
      <c r="X252" t="s">
        <v>58</v>
      </c>
      <c r="Y252" t="s">
        <v>58</v>
      </c>
      <c r="Z252" t="s">
        <v>58</v>
      </c>
      <c r="AA252" t="s">
        <v>58</v>
      </c>
      <c r="AC252" t="s">
        <v>58</v>
      </c>
      <c r="AE252" t="s">
        <v>58</v>
      </c>
      <c r="AG252" t="s">
        <v>63</v>
      </c>
      <c r="AH252" s="11" t="str">
        <f t="shared" si="5"/>
        <v>mailto: soilterrain@victoria1.gov.bc.ca</v>
      </c>
    </row>
    <row r="253" spans="1:34">
      <c r="A253" t="s">
        <v>744</v>
      </c>
      <c r="B253" t="s">
        <v>701</v>
      </c>
      <c r="C253" s="10" t="s">
        <v>409</v>
      </c>
      <c r="D253" t="s">
        <v>61</v>
      </c>
      <c r="E253" t="s">
        <v>58</v>
      </c>
      <c r="F253" t="s">
        <v>745</v>
      </c>
      <c r="G253">
        <v>250000</v>
      </c>
      <c r="H253">
        <v>1985</v>
      </c>
      <c r="I253" t="s">
        <v>58</v>
      </c>
      <c r="J253" t="s">
        <v>58</v>
      </c>
      <c r="K253" t="s">
        <v>58</v>
      </c>
      <c r="L253" t="s">
        <v>61</v>
      </c>
      <c r="M253" t="s">
        <v>61</v>
      </c>
      <c r="Q253" t="s">
        <v>58</v>
      </c>
      <c r="R253" s="11" t="str">
        <f>HYPERLINK("\\imagefiles.bcgov\imagery\scanned_maps\moe_terrain_maps\Scanned_T_maps_all\B04\B04-4889","\\imagefiles.bcgov\imagery\scanned_maps\moe_terrain_maps\Scanned_T_maps_all\B04\B04-4889")</f>
        <v>\\imagefiles.bcgov\imagery\scanned_maps\moe_terrain_maps\Scanned_T_maps_all\B04\B04-4889</v>
      </c>
      <c r="S253" t="s">
        <v>62</v>
      </c>
      <c r="T253" s="11" t="str">
        <f>HYPERLINK("http://www.env.gov.bc.ca/esd/distdata/ecosystems/TEI_Scanned_Maps/B04/B04-4889","http://www.env.gov.bc.ca/esd/distdata/ecosystems/TEI_Scanned_Maps/B04/B04-4889")</f>
        <v>http://www.env.gov.bc.ca/esd/distdata/ecosystems/TEI_Scanned_Maps/B04/B04-4889</v>
      </c>
      <c r="U253" t="s">
        <v>58</v>
      </c>
      <c r="V253" t="s">
        <v>58</v>
      </c>
      <c r="W253" t="s">
        <v>58</v>
      </c>
      <c r="X253" t="s">
        <v>58</v>
      </c>
      <c r="Y253" t="s">
        <v>58</v>
      </c>
      <c r="Z253" t="s">
        <v>58</v>
      </c>
      <c r="AA253" t="s">
        <v>58</v>
      </c>
      <c r="AC253" t="s">
        <v>58</v>
      </c>
      <c r="AE253" t="s">
        <v>58</v>
      </c>
      <c r="AG253" t="s">
        <v>63</v>
      </c>
      <c r="AH253" s="11" t="str">
        <f t="shared" si="5"/>
        <v>mailto: soilterrain@victoria1.gov.bc.ca</v>
      </c>
    </row>
    <row r="254" spans="1:34">
      <c r="A254" t="s">
        <v>746</v>
      </c>
      <c r="B254" t="s">
        <v>701</v>
      </c>
      <c r="C254" s="10" t="s">
        <v>716</v>
      </c>
      <c r="D254" t="s">
        <v>61</v>
      </c>
      <c r="E254" t="s">
        <v>747</v>
      </c>
      <c r="F254" t="s">
        <v>748</v>
      </c>
      <c r="G254">
        <v>20000</v>
      </c>
      <c r="H254">
        <v>1981</v>
      </c>
      <c r="I254" t="s">
        <v>58</v>
      </c>
      <c r="J254" t="s">
        <v>61</v>
      </c>
      <c r="K254" t="s">
        <v>58</v>
      </c>
      <c r="L254" t="s">
        <v>61</v>
      </c>
      <c r="M254" t="s">
        <v>58</v>
      </c>
      <c r="P254" t="s">
        <v>61</v>
      </c>
      <c r="Q254" t="s">
        <v>58</v>
      </c>
      <c r="R254" s="11" t="str">
        <f>HYPERLINK("\\imagefiles.bcgov\imagery\scanned_maps\moe_terrain_maps\Scanned_T_maps_all\B04\B04-4890","\\imagefiles.bcgov\imagery\scanned_maps\moe_terrain_maps\Scanned_T_maps_all\B04\B04-4890")</f>
        <v>\\imagefiles.bcgov\imagery\scanned_maps\moe_terrain_maps\Scanned_T_maps_all\B04\B04-4890</v>
      </c>
      <c r="S254" t="s">
        <v>62</v>
      </c>
      <c r="T254" s="11" t="str">
        <f>HYPERLINK("http://www.env.gov.bc.ca/esd/distdata/ecosystems/TEI_Scanned_Maps/B04/B04-4890","http://www.env.gov.bc.ca/esd/distdata/ecosystems/TEI_Scanned_Maps/B04/B04-4890")</f>
        <v>http://www.env.gov.bc.ca/esd/distdata/ecosystems/TEI_Scanned_Maps/B04/B04-4890</v>
      </c>
      <c r="U254" t="s">
        <v>58</v>
      </c>
      <c r="V254" t="s">
        <v>58</v>
      </c>
      <c r="W254" t="s">
        <v>58</v>
      </c>
      <c r="X254" t="s">
        <v>58</v>
      </c>
      <c r="Y254" t="s">
        <v>58</v>
      </c>
      <c r="Z254" t="s">
        <v>58</v>
      </c>
      <c r="AA254" t="s">
        <v>58</v>
      </c>
      <c r="AC254" t="s">
        <v>58</v>
      </c>
      <c r="AE254" t="s">
        <v>58</v>
      </c>
      <c r="AG254" t="s">
        <v>63</v>
      </c>
      <c r="AH254" s="11" t="str">
        <f t="shared" si="5"/>
        <v>mailto: soilterrain@victoria1.gov.bc.ca</v>
      </c>
    </row>
    <row r="255" spans="1:34">
      <c r="A255" t="s">
        <v>749</v>
      </c>
      <c r="B255" t="s">
        <v>56</v>
      </c>
      <c r="C255" s="10" t="s">
        <v>716</v>
      </c>
      <c r="D255" t="s">
        <v>61</v>
      </c>
      <c r="E255" t="s">
        <v>747</v>
      </c>
      <c r="F255" t="s">
        <v>750</v>
      </c>
      <c r="G255">
        <v>20000</v>
      </c>
      <c r="H255">
        <v>1981</v>
      </c>
      <c r="I255" t="s">
        <v>58</v>
      </c>
      <c r="J255" t="s">
        <v>61</v>
      </c>
      <c r="K255" t="s">
        <v>58</v>
      </c>
      <c r="L255" t="s">
        <v>61</v>
      </c>
      <c r="M255" t="s">
        <v>58</v>
      </c>
      <c r="Q255" t="s">
        <v>58</v>
      </c>
      <c r="R255" s="11" t="str">
        <f>HYPERLINK("\\imagefiles.bcgov\imagery\scanned_maps\moe_terrain_maps\Scanned_T_maps_all\B04\B04-4891","\\imagefiles.bcgov\imagery\scanned_maps\moe_terrain_maps\Scanned_T_maps_all\B04\B04-4891")</f>
        <v>\\imagefiles.bcgov\imagery\scanned_maps\moe_terrain_maps\Scanned_T_maps_all\B04\B04-4891</v>
      </c>
      <c r="S255" t="s">
        <v>62</v>
      </c>
      <c r="T255" s="11" t="str">
        <f>HYPERLINK("http://www.env.gov.bc.ca/esd/distdata/ecosystems/TEI_Scanned_Maps/B04/B04-4891","http://www.env.gov.bc.ca/esd/distdata/ecosystems/TEI_Scanned_Maps/B04/B04-4891")</f>
        <v>http://www.env.gov.bc.ca/esd/distdata/ecosystems/TEI_Scanned_Maps/B04/B04-4891</v>
      </c>
      <c r="U255" t="s">
        <v>58</v>
      </c>
      <c r="V255" t="s">
        <v>58</v>
      </c>
      <c r="W255" t="s">
        <v>58</v>
      </c>
      <c r="X255" t="s">
        <v>58</v>
      </c>
      <c r="Y255" t="s">
        <v>58</v>
      </c>
      <c r="Z255" t="s">
        <v>58</v>
      </c>
      <c r="AA255" t="s">
        <v>58</v>
      </c>
      <c r="AC255" t="s">
        <v>58</v>
      </c>
      <c r="AE255" t="s">
        <v>58</v>
      </c>
      <c r="AG255" t="s">
        <v>63</v>
      </c>
      <c r="AH255" s="11" t="str">
        <f t="shared" si="5"/>
        <v>mailto: soilterrain@victoria1.gov.bc.ca</v>
      </c>
    </row>
    <row r="256" spans="1:34">
      <c r="A256" t="s">
        <v>751</v>
      </c>
      <c r="B256" t="s">
        <v>701</v>
      </c>
      <c r="C256" s="10" t="s">
        <v>716</v>
      </c>
      <c r="D256" t="s">
        <v>61</v>
      </c>
      <c r="E256" t="s">
        <v>747</v>
      </c>
      <c r="F256" t="s">
        <v>752</v>
      </c>
      <c r="G256">
        <v>20000</v>
      </c>
      <c r="H256">
        <v>1981</v>
      </c>
      <c r="I256" t="s">
        <v>58</v>
      </c>
      <c r="J256" t="s">
        <v>61</v>
      </c>
      <c r="K256" t="s">
        <v>58</v>
      </c>
      <c r="L256" t="s">
        <v>58</v>
      </c>
      <c r="M256" t="s">
        <v>58</v>
      </c>
      <c r="P256" t="s">
        <v>61</v>
      </c>
      <c r="Q256" t="s">
        <v>58</v>
      </c>
      <c r="R256" s="11" t="str">
        <f>HYPERLINK("\\imagefiles.bcgov\imagery\scanned_maps\moe_terrain_maps\Scanned_T_maps_all\B04\B04-4892","\\imagefiles.bcgov\imagery\scanned_maps\moe_terrain_maps\Scanned_T_maps_all\B04\B04-4892")</f>
        <v>\\imagefiles.bcgov\imagery\scanned_maps\moe_terrain_maps\Scanned_T_maps_all\B04\B04-4892</v>
      </c>
      <c r="S256" t="s">
        <v>62</v>
      </c>
      <c r="T256" s="11" t="str">
        <f>HYPERLINK("http://www.env.gov.bc.ca/esd/distdata/ecosystems/TEI_Scanned_Maps/B04/B04-4892","http://www.env.gov.bc.ca/esd/distdata/ecosystems/TEI_Scanned_Maps/B04/B04-4892")</f>
        <v>http://www.env.gov.bc.ca/esd/distdata/ecosystems/TEI_Scanned_Maps/B04/B04-4892</v>
      </c>
      <c r="U256" t="s">
        <v>58</v>
      </c>
      <c r="V256" t="s">
        <v>58</v>
      </c>
      <c r="W256" t="s">
        <v>58</v>
      </c>
      <c r="X256" t="s">
        <v>58</v>
      </c>
      <c r="Y256" t="s">
        <v>58</v>
      </c>
      <c r="Z256" t="s">
        <v>58</v>
      </c>
      <c r="AA256" t="s">
        <v>58</v>
      </c>
      <c r="AC256" t="s">
        <v>58</v>
      </c>
      <c r="AE256" t="s">
        <v>58</v>
      </c>
      <c r="AG256" t="s">
        <v>63</v>
      </c>
      <c r="AH256" s="11" t="str">
        <f t="shared" si="5"/>
        <v>mailto: soilterrain@victoria1.gov.bc.ca</v>
      </c>
    </row>
    <row r="257" spans="1:34">
      <c r="A257" t="s">
        <v>753</v>
      </c>
      <c r="B257" t="s">
        <v>701</v>
      </c>
      <c r="C257" s="10" t="s">
        <v>716</v>
      </c>
      <c r="D257" t="s">
        <v>61</v>
      </c>
      <c r="E257" t="s">
        <v>747</v>
      </c>
      <c r="F257" t="s">
        <v>754</v>
      </c>
      <c r="G257">
        <v>20000</v>
      </c>
      <c r="H257">
        <v>1981</v>
      </c>
      <c r="I257" t="s">
        <v>58</v>
      </c>
      <c r="J257" t="s">
        <v>61</v>
      </c>
      <c r="K257" t="s">
        <v>58</v>
      </c>
      <c r="L257" t="s">
        <v>58</v>
      </c>
      <c r="M257" t="s">
        <v>58</v>
      </c>
      <c r="Q257" t="s">
        <v>58</v>
      </c>
      <c r="R257" s="11" t="str">
        <f>HYPERLINK("\\imagefiles.bcgov\imagery\scanned_maps\moe_terrain_maps\Scanned_T_maps_all\B04\B04-4893","\\imagefiles.bcgov\imagery\scanned_maps\moe_terrain_maps\Scanned_T_maps_all\B04\B04-4893")</f>
        <v>\\imagefiles.bcgov\imagery\scanned_maps\moe_terrain_maps\Scanned_T_maps_all\B04\B04-4893</v>
      </c>
      <c r="S257" t="s">
        <v>62</v>
      </c>
      <c r="T257" s="11" t="str">
        <f>HYPERLINK("http://www.env.gov.bc.ca/esd/distdata/ecosystems/TEI_Scanned_Maps/B04/B04-4893","http://www.env.gov.bc.ca/esd/distdata/ecosystems/TEI_Scanned_Maps/B04/B04-4893")</f>
        <v>http://www.env.gov.bc.ca/esd/distdata/ecosystems/TEI_Scanned_Maps/B04/B04-4893</v>
      </c>
      <c r="U257" t="s">
        <v>58</v>
      </c>
      <c r="V257" t="s">
        <v>58</v>
      </c>
      <c r="W257" t="s">
        <v>58</v>
      </c>
      <c r="X257" t="s">
        <v>58</v>
      </c>
      <c r="Y257" t="s">
        <v>58</v>
      </c>
      <c r="Z257" t="s">
        <v>58</v>
      </c>
      <c r="AA257" t="s">
        <v>58</v>
      </c>
      <c r="AC257" t="s">
        <v>58</v>
      </c>
      <c r="AE257" t="s">
        <v>58</v>
      </c>
      <c r="AG257" t="s">
        <v>63</v>
      </c>
      <c r="AH257" s="11" t="str">
        <f t="shared" si="5"/>
        <v>mailto: soilterrain@victoria1.gov.bc.ca</v>
      </c>
    </row>
    <row r="258" spans="1:34">
      <c r="A258" t="s">
        <v>755</v>
      </c>
      <c r="B258" t="s">
        <v>701</v>
      </c>
      <c r="C258" s="10" t="s">
        <v>298</v>
      </c>
      <c r="D258" t="s">
        <v>61</v>
      </c>
      <c r="E258" t="s">
        <v>59</v>
      </c>
      <c r="F258" t="s">
        <v>756</v>
      </c>
      <c r="G258">
        <v>50000</v>
      </c>
      <c r="H258" t="s">
        <v>187</v>
      </c>
      <c r="I258" t="s">
        <v>58</v>
      </c>
      <c r="J258" t="s">
        <v>58</v>
      </c>
      <c r="K258" t="s">
        <v>61</v>
      </c>
      <c r="L258" t="s">
        <v>58</v>
      </c>
      <c r="M258" t="s">
        <v>58</v>
      </c>
      <c r="P258" t="s">
        <v>61</v>
      </c>
      <c r="Q258" t="s">
        <v>58</v>
      </c>
      <c r="R258" s="11" t="str">
        <f>HYPERLINK("\\imagefiles.bcgov\imagery\scanned_maps\moe_terrain_maps\Scanned_T_maps_all\B04\B04-4898","\\imagefiles.bcgov\imagery\scanned_maps\moe_terrain_maps\Scanned_T_maps_all\B04\B04-4898")</f>
        <v>\\imagefiles.bcgov\imagery\scanned_maps\moe_terrain_maps\Scanned_T_maps_all\B04\B04-4898</v>
      </c>
      <c r="S258" t="s">
        <v>62</v>
      </c>
      <c r="T258" s="11" t="str">
        <f>HYPERLINK("http://www.env.gov.bc.ca/esd/distdata/ecosystems/TEI_Scanned_Maps/B04/B04-4898","http://www.env.gov.bc.ca/esd/distdata/ecosystems/TEI_Scanned_Maps/B04/B04-4898")</f>
        <v>http://www.env.gov.bc.ca/esd/distdata/ecosystems/TEI_Scanned_Maps/B04/B04-4898</v>
      </c>
      <c r="U258" t="s">
        <v>58</v>
      </c>
      <c r="V258" t="s">
        <v>58</v>
      </c>
      <c r="W258" t="s">
        <v>58</v>
      </c>
      <c r="X258" t="s">
        <v>58</v>
      </c>
      <c r="Y258" t="s">
        <v>58</v>
      </c>
      <c r="Z258" t="s">
        <v>58</v>
      </c>
      <c r="AA258" t="s">
        <v>58</v>
      </c>
      <c r="AC258" t="s">
        <v>58</v>
      </c>
      <c r="AE258" t="s">
        <v>58</v>
      </c>
      <c r="AG258" t="s">
        <v>63</v>
      </c>
      <c r="AH258" s="11" t="str">
        <f t="shared" ref="AH258:AH321" si="6">HYPERLINK("mailto: soilterrain@victoria1.gov.bc.ca","mailto: soilterrain@victoria1.gov.bc.ca")</f>
        <v>mailto: soilterrain@victoria1.gov.bc.ca</v>
      </c>
    </row>
    <row r="259" spans="1:34">
      <c r="A259" t="s">
        <v>757</v>
      </c>
      <c r="B259" t="s">
        <v>56</v>
      </c>
      <c r="C259" s="10" t="s">
        <v>758</v>
      </c>
      <c r="D259" t="s">
        <v>61</v>
      </c>
      <c r="E259" t="s">
        <v>759</v>
      </c>
      <c r="F259" t="s">
        <v>760</v>
      </c>
      <c r="G259">
        <v>20000</v>
      </c>
      <c r="H259">
        <v>1986</v>
      </c>
      <c r="I259" t="s">
        <v>58</v>
      </c>
      <c r="J259" t="s">
        <v>61</v>
      </c>
      <c r="K259" t="s">
        <v>61</v>
      </c>
      <c r="L259" t="s">
        <v>58</v>
      </c>
      <c r="M259" t="s">
        <v>58</v>
      </c>
      <c r="P259" t="s">
        <v>61</v>
      </c>
      <c r="Q259" t="s">
        <v>58</v>
      </c>
      <c r="R259" s="11" t="str">
        <f>HYPERLINK("\\imagefiles.bcgov\imagery\scanned_maps\moe_terrain_maps\Scanned_T_maps_all\B04\B04-5005","\\imagefiles.bcgov\imagery\scanned_maps\moe_terrain_maps\Scanned_T_maps_all\B04\B04-5005")</f>
        <v>\\imagefiles.bcgov\imagery\scanned_maps\moe_terrain_maps\Scanned_T_maps_all\B04\B04-5005</v>
      </c>
      <c r="S259" t="s">
        <v>62</v>
      </c>
      <c r="T259" s="11" t="str">
        <f>HYPERLINK("http://www.env.gov.bc.ca/esd/distdata/ecosystems/TEI_Scanned_Maps/B04/B04-5005","http://www.env.gov.bc.ca/esd/distdata/ecosystems/TEI_Scanned_Maps/B04/B04-5005")</f>
        <v>http://www.env.gov.bc.ca/esd/distdata/ecosystems/TEI_Scanned_Maps/B04/B04-5005</v>
      </c>
      <c r="U259" t="s">
        <v>58</v>
      </c>
      <c r="V259" t="s">
        <v>58</v>
      </c>
      <c r="W259" t="s">
        <v>58</v>
      </c>
      <c r="X259" t="s">
        <v>58</v>
      </c>
      <c r="Y259" t="s">
        <v>58</v>
      </c>
      <c r="Z259" t="s">
        <v>58</v>
      </c>
      <c r="AA259" t="s">
        <v>58</v>
      </c>
      <c r="AC259" t="s">
        <v>58</v>
      </c>
      <c r="AE259" t="s">
        <v>58</v>
      </c>
      <c r="AG259" t="s">
        <v>63</v>
      </c>
      <c r="AH259" s="11" t="str">
        <f t="shared" si="6"/>
        <v>mailto: soilterrain@victoria1.gov.bc.ca</v>
      </c>
    </row>
    <row r="260" spans="1:34">
      <c r="A260" t="s">
        <v>761</v>
      </c>
      <c r="B260" t="s">
        <v>56</v>
      </c>
      <c r="C260" s="10" t="s">
        <v>758</v>
      </c>
      <c r="D260" t="s">
        <v>61</v>
      </c>
      <c r="E260" t="s">
        <v>759</v>
      </c>
      <c r="F260" t="s">
        <v>762</v>
      </c>
      <c r="G260">
        <v>20000</v>
      </c>
      <c r="H260">
        <v>1986</v>
      </c>
      <c r="I260" t="s">
        <v>58</v>
      </c>
      <c r="J260" t="s">
        <v>61</v>
      </c>
      <c r="K260" t="s">
        <v>61</v>
      </c>
      <c r="L260" t="s">
        <v>58</v>
      </c>
      <c r="M260" t="s">
        <v>58</v>
      </c>
      <c r="P260" t="s">
        <v>61</v>
      </c>
      <c r="Q260" t="s">
        <v>58</v>
      </c>
      <c r="R260" s="11" t="str">
        <f>HYPERLINK("\\imagefiles.bcgov\imagery\scanned_maps\moe_terrain_maps\Scanned_T_maps_all\B04\B04-5006","\\imagefiles.bcgov\imagery\scanned_maps\moe_terrain_maps\Scanned_T_maps_all\B04\B04-5006")</f>
        <v>\\imagefiles.bcgov\imagery\scanned_maps\moe_terrain_maps\Scanned_T_maps_all\B04\B04-5006</v>
      </c>
      <c r="S260" t="s">
        <v>62</v>
      </c>
      <c r="T260" s="11" t="str">
        <f>HYPERLINK("http://www.env.gov.bc.ca/esd/distdata/ecosystems/TEI_Scanned_Maps/B04/B04-5006","http://www.env.gov.bc.ca/esd/distdata/ecosystems/TEI_Scanned_Maps/B04/B04-5006")</f>
        <v>http://www.env.gov.bc.ca/esd/distdata/ecosystems/TEI_Scanned_Maps/B04/B04-5006</v>
      </c>
      <c r="U260" t="s">
        <v>58</v>
      </c>
      <c r="V260" t="s">
        <v>58</v>
      </c>
      <c r="W260" t="s">
        <v>58</v>
      </c>
      <c r="X260" t="s">
        <v>58</v>
      </c>
      <c r="Y260" t="s">
        <v>58</v>
      </c>
      <c r="Z260" t="s">
        <v>58</v>
      </c>
      <c r="AA260" t="s">
        <v>58</v>
      </c>
      <c r="AC260" t="s">
        <v>58</v>
      </c>
      <c r="AE260" t="s">
        <v>58</v>
      </c>
      <c r="AG260" t="s">
        <v>63</v>
      </c>
      <c r="AH260" s="11" t="str">
        <f t="shared" si="6"/>
        <v>mailto: soilterrain@victoria1.gov.bc.ca</v>
      </c>
    </row>
    <row r="261" spans="1:34">
      <c r="A261" t="s">
        <v>763</v>
      </c>
      <c r="B261" t="s">
        <v>56</v>
      </c>
      <c r="C261" s="10" t="s">
        <v>758</v>
      </c>
      <c r="D261" t="s">
        <v>61</v>
      </c>
      <c r="E261" t="s">
        <v>759</v>
      </c>
      <c r="F261" t="s">
        <v>764</v>
      </c>
      <c r="G261">
        <v>20000</v>
      </c>
      <c r="H261">
        <v>1986</v>
      </c>
      <c r="I261" t="s">
        <v>58</v>
      </c>
      <c r="J261" t="s">
        <v>61</v>
      </c>
      <c r="K261" t="s">
        <v>61</v>
      </c>
      <c r="L261" t="s">
        <v>58</v>
      </c>
      <c r="M261" t="s">
        <v>58</v>
      </c>
      <c r="Q261" t="s">
        <v>58</v>
      </c>
      <c r="R261" s="11" t="str">
        <f>HYPERLINK("\\imagefiles.bcgov\imagery\scanned_maps\moe_terrain_maps\Scanned_T_maps_all\B04\B04-5007","\\imagefiles.bcgov\imagery\scanned_maps\moe_terrain_maps\Scanned_T_maps_all\B04\B04-5007")</f>
        <v>\\imagefiles.bcgov\imagery\scanned_maps\moe_terrain_maps\Scanned_T_maps_all\B04\B04-5007</v>
      </c>
      <c r="S261" t="s">
        <v>62</v>
      </c>
      <c r="T261" s="11" t="str">
        <f>HYPERLINK("http://www.env.gov.bc.ca/esd/distdata/ecosystems/TEI_Scanned_Maps/B04/B04-5007","http://www.env.gov.bc.ca/esd/distdata/ecosystems/TEI_Scanned_Maps/B04/B04-5007")</f>
        <v>http://www.env.gov.bc.ca/esd/distdata/ecosystems/TEI_Scanned_Maps/B04/B04-5007</v>
      </c>
      <c r="U261" t="s">
        <v>58</v>
      </c>
      <c r="V261" t="s">
        <v>58</v>
      </c>
      <c r="W261" t="s">
        <v>58</v>
      </c>
      <c r="X261" t="s">
        <v>58</v>
      </c>
      <c r="Y261" t="s">
        <v>58</v>
      </c>
      <c r="Z261" t="s">
        <v>58</v>
      </c>
      <c r="AA261" t="s">
        <v>58</v>
      </c>
      <c r="AC261" t="s">
        <v>58</v>
      </c>
      <c r="AE261" t="s">
        <v>58</v>
      </c>
      <c r="AG261" t="s">
        <v>63</v>
      </c>
      <c r="AH261" s="11" t="str">
        <f t="shared" si="6"/>
        <v>mailto: soilterrain@victoria1.gov.bc.ca</v>
      </c>
    </row>
    <row r="262" spans="1:34">
      <c r="A262" t="s">
        <v>765</v>
      </c>
      <c r="B262" t="s">
        <v>56</v>
      </c>
      <c r="C262" s="10" t="s">
        <v>758</v>
      </c>
      <c r="D262" t="s">
        <v>61</v>
      </c>
      <c r="E262" t="s">
        <v>759</v>
      </c>
      <c r="F262" t="s">
        <v>766</v>
      </c>
      <c r="G262">
        <v>20000</v>
      </c>
      <c r="H262">
        <v>1986</v>
      </c>
      <c r="I262" t="s">
        <v>58</v>
      </c>
      <c r="J262" t="s">
        <v>61</v>
      </c>
      <c r="K262" t="s">
        <v>61</v>
      </c>
      <c r="L262" t="s">
        <v>58</v>
      </c>
      <c r="M262" t="s">
        <v>58</v>
      </c>
      <c r="Q262" t="s">
        <v>58</v>
      </c>
      <c r="R262" s="11" t="str">
        <f>HYPERLINK("\\imagefiles.bcgov\imagery\scanned_maps\moe_terrain_maps\Scanned_T_maps_all\B04\B04-5008","\\imagefiles.bcgov\imagery\scanned_maps\moe_terrain_maps\Scanned_T_maps_all\B04\B04-5008")</f>
        <v>\\imagefiles.bcgov\imagery\scanned_maps\moe_terrain_maps\Scanned_T_maps_all\B04\B04-5008</v>
      </c>
      <c r="S262" t="s">
        <v>62</v>
      </c>
      <c r="T262" s="11" t="str">
        <f>HYPERLINK("http://www.env.gov.bc.ca/esd/distdata/ecosystems/TEI_Scanned_Maps/B04/B04-5008","http://www.env.gov.bc.ca/esd/distdata/ecosystems/TEI_Scanned_Maps/B04/B04-5008")</f>
        <v>http://www.env.gov.bc.ca/esd/distdata/ecosystems/TEI_Scanned_Maps/B04/B04-5008</v>
      </c>
      <c r="U262" t="s">
        <v>58</v>
      </c>
      <c r="V262" t="s">
        <v>58</v>
      </c>
      <c r="W262" t="s">
        <v>58</v>
      </c>
      <c r="X262" t="s">
        <v>58</v>
      </c>
      <c r="Y262" t="s">
        <v>58</v>
      </c>
      <c r="Z262" t="s">
        <v>58</v>
      </c>
      <c r="AA262" t="s">
        <v>58</v>
      </c>
      <c r="AC262" t="s">
        <v>58</v>
      </c>
      <c r="AE262" t="s">
        <v>58</v>
      </c>
      <c r="AG262" t="s">
        <v>63</v>
      </c>
      <c r="AH262" s="11" t="str">
        <f t="shared" si="6"/>
        <v>mailto: soilterrain@victoria1.gov.bc.ca</v>
      </c>
    </row>
    <row r="263" spans="1:34">
      <c r="A263" t="s">
        <v>767</v>
      </c>
      <c r="B263" t="s">
        <v>56</v>
      </c>
      <c r="C263" s="10" t="s">
        <v>758</v>
      </c>
      <c r="D263" t="s">
        <v>61</v>
      </c>
      <c r="E263" t="s">
        <v>759</v>
      </c>
      <c r="F263" t="s">
        <v>768</v>
      </c>
      <c r="G263">
        <v>20000</v>
      </c>
      <c r="H263">
        <v>1986</v>
      </c>
      <c r="I263" t="s">
        <v>58</v>
      </c>
      <c r="J263" t="s">
        <v>61</v>
      </c>
      <c r="K263" t="s">
        <v>61</v>
      </c>
      <c r="L263" t="s">
        <v>58</v>
      </c>
      <c r="M263" t="s">
        <v>58</v>
      </c>
      <c r="Q263" t="s">
        <v>58</v>
      </c>
      <c r="R263" s="11" t="str">
        <f>HYPERLINK("\\imagefiles.bcgov\imagery\scanned_maps\moe_terrain_maps\Scanned_T_maps_all\B04\B04-5009","\\imagefiles.bcgov\imagery\scanned_maps\moe_terrain_maps\Scanned_T_maps_all\B04\B04-5009")</f>
        <v>\\imagefiles.bcgov\imagery\scanned_maps\moe_terrain_maps\Scanned_T_maps_all\B04\B04-5009</v>
      </c>
      <c r="S263" t="s">
        <v>62</v>
      </c>
      <c r="T263" s="11" t="str">
        <f>HYPERLINK("http://www.env.gov.bc.ca/esd/distdata/ecosystems/TEI_Scanned_Maps/B04/B04-5009","http://www.env.gov.bc.ca/esd/distdata/ecosystems/TEI_Scanned_Maps/B04/B04-5009")</f>
        <v>http://www.env.gov.bc.ca/esd/distdata/ecosystems/TEI_Scanned_Maps/B04/B04-5009</v>
      </c>
      <c r="U263" t="s">
        <v>58</v>
      </c>
      <c r="V263" t="s">
        <v>58</v>
      </c>
      <c r="W263" t="s">
        <v>58</v>
      </c>
      <c r="X263" t="s">
        <v>58</v>
      </c>
      <c r="Y263" t="s">
        <v>58</v>
      </c>
      <c r="Z263" t="s">
        <v>58</v>
      </c>
      <c r="AA263" t="s">
        <v>58</v>
      </c>
      <c r="AC263" t="s">
        <v>58</v>
      </c>
      <c r="AE263" t="s">
        <v>58</v>
      </c>
      <c r="AG263" t="s">
        <v>63</v>
      </c>
      <c r="AH263" s="11" t="str">
        <f t="shared" si="6"/>
        <v>mailto: soilterrain@victoria1.gov.bc.ca</v>
      </c>
    </row>
    <row r="264" spans="1:34">
      <c r="A264" t="s">
        <v>769</v>
      </c>
      <c r="B264" t="s">
        <v>56</v>
      </c>
      <c r="C264" s="10" t="s">
        <v>758</v>
      </c>
      <c r="D264" t="s">
        <v>61</v>
      </c>
      <c r="E264" t="s">
        <v>759</v>
      </c>
      <c r="F264" t="s">
        <v>770</v>
      </c>
      <c r="G264">
        <v>20000</v>
      </c>
      <c r="H264">
        <v>1986</v>
      </c>
      <c r="I264" t="s">
        <v>58</v>
      </c>
      <c r="J264" t="s">
        <v>61</v>
      </c>
      <c r="K264" t="s">
        <v>61</v>
      </c>
      <c r="L264" t="s">
        <v>58</v>
      </c>
      <c r="M264" t="s">
        <v>58</v>
      </c>
      <c r="Q264" t="s">
        <v>58</v>
      </c>
      <c r="R264" s="11" t="str">
        <f>HYPERLINK("\\imagefiles.bcgov\imagery\scanned_maps\moe_terrain_maps\Scanned_T_maps_all\B04\B04-5010","\\imagefiles.bcgov\imagery\scanned_maps\moe_terrain_maps\Scanned_T_maps_all\B04\B04-5010")</f>
        <v>\\imagefiles.bcgov\imagery\scanned_maps\moe_terrain_maps\Scanned_T_maps_all\B04\B04-5010</v>
      </c>
      <c r="S264" t="s">
        <v>62</v>
      </c>
      <c r="T264" s="11" t="str">
        <f>HYPERLINK("http://www.env.gov.bc.ca/esd/distdata/ecosystems/TEI_Scanned_Maps/B04/B04-5010","http://www.env.gov.bc.ca/esd/distdata/ecosystems/TEI_Scanned_Maps/B04/B04-5010")</f>
        <v>http://www.env.gov.bc.ca/esd/distdata/ecosystems/TEI_Scanned_Maps/B04/B04-5010</v>
      </c>
      <c r="U264" t="s">
        <v>58</v>
      </c>
      <c r="V264" t="s">
        <v>58</v>
      </c>
      <c r="W264" t="s">
        <v>58</v>
      </c>
      <c r="X264" t="s">
        <v>58</v>
      </c>
      <c r="Y264" t="s">
        <v>58</v>
      </c>
      <c r="Z264" t="s">
        <v>58</v>
      </c>
      <c r="AA264" t="s">
        <v>58</v>
      </c>
      <c r="AC264" t="s">
        <v>58</v>
      </c>
      <c r="AE264" t="s">
        <v>58</v>
      </c>
      <c r="AG264" t="s">
        <v>63</v>
      </c>
      <c r="AH264" s="11" t="str">
        <f t="shared" si="6"/>
        <v>mailto: soilterrain@victoria1.gov.bc.ca</v>
      </c>
    </row>
    <row r="265" spans="1:34">
      <c r="A265" t="s">
        <v>771</v>
      </c>
      <c r="B265" t="s">
        <v>56</v>
      </c>
      <c r="C265" s="10" t="s">
        <v>758</v>
      </c>
      <c r="D265" t="s">
        <v>61</v>
      </c>
      <c r="E265" t="s">
        <v>759</v>
      </c>
      <c r="F265" t="s">
        <v>772</v>
      </c>
      <c r="G265">
        <v>20000</v>
      </c>
      <c r="H265">
        <v>1986</v>
      </c>
      <c r="I265" t="s">
        <v>58</v>
      </c>
      <c r="J265" t="s">
        <v>61</v>
      </c>
      <c r="K265" t="s">
        <v>61</v>
      </c>
      <c r="L265" t="s">
        <v>58</v>
      </c>
      <c r="M265" t="s">
        <v>58</v>
      </c>
      <c r="Q265" t="s">
        <v>58</v>
      </c>
      <c r="R265" s="11" t="str">
        <f>HYPERLINK("\\imagefiles.bcgov\imagery\scanned_maps\moe_terrain_maps\Scanned_T_maps_all\B04\B04-5011","\\imagefiles.bcgov\imagery\scanned_maps\moe_terrain_maps\Scanned_T_maps_all\B04\B04-5011")</f>
        <v>\\imagefiles.bcgov\imagery\scanned_maps\moe_terrain_maps\Scanned_T_maps_all\B04\B04-5011</v>
      </c>
      <c r="S265" t="s">
        <v>62</v>
      </c>
      <c r="T265" s="11" t="str">
        <f>HYPERLINK("http://www.env.gov.bc.ca/esd/distdata/ecosystems/TEI_Scanned_Maps/B04/B04-5011","http://www.env.gov.bc.ca/esd/distdata/ecosystems/TEI_Scanned_Maps/B04/B04-5011")</f>
        <v>http://www.env.gov.bc.ca/esd/distdata/ecosystems/TEI_Scanned_Maps/B04/B04-5011</v>
      </c>
      <c r="U265" t="s">
        <v>58</v>
      </c>
      <c r="V265" t="s">
        <v>58</v>
      </c>
      <c r="W265" t="s">
        <v>58</v>
      </c>
      <c r="X265" t="s">
        <v>58</v>
      </c>
      <c r="Y265" t="s">
        <v>58</v>
      </c>
      <c r="Z265" t="s">
        <v>58</v>
      </c>
      <c r="AA265" t="s">
        <v>58</v>
      </c>
      <c r="AC265" t="s">
        <v>58</v>
      </c>
      <c r="AE265" t="s">
        <v>58</v>
      </c>
      <c r="AG265" t="s">
        <v>63</v>
      </c>
      <c r="AH265" s="11" t="str">
        <f t="shared" si="6"/>
        <v>mailto: soilterrain@victoria1.gov.bc.ca</v>
      </c>
    </row>
    <row r="266" spans="1:34">
      <c r="A266" t="s">
        <v>773</v>
      </c>
      <c r="B266" t="s">
        <v>56</v>
      </c>
      <c r="C266" s="10" t="s">
        <v>758</v>
      </c>
      <c r="D266" t="s">
        <v>61</v>
      </c>
      <c r="E266" t="s">
        <v>759</v>
      </c>
      <c r="F266" t="s">
        <v>774</v>
      </c>
      <c r="G266">
        <v>20000</v>
      </c>
      <c r="H266">
        <v>1986</v>
      </c>
      <c r="I266" t="s">
        <v>58</v>
      </c>
      <c r="J266" t="s">
        <v>61</v>
      </c>
      <c r="K266" t="s">
        <v>61</v>
      </c>
      <c r="L266" t="s">
        <v>58</v>
      </c>
      <c r="M266" t="s">
        <v>58</v>
      </c>
      <c r="Q266" t="s">
        <v>58</v>
      </c>
      <c r="R266" s="11" t="str">
        <f>HYPERLINK("\\imagefiles.bcgov\imagery\scanned_maps\moe_terrain_maps\Scanned_T_maps_all\B04\B04-5012","\\imagefiles.bcgov\imagery\scanned_maps\moe_terrain_maps\Scanned_T_maps_all\B04\B04-5012")</f>
        <v>\\imagefiles.bcgov\imagery\scanned_maps\moe_terrain_maps\Scanned_T_maps_all\B04\B04-5012</v>
      </c>
      <c r="S266" t="s">
        <v>62</v>
      </c>
      <c r="T266" s="11" t="str">
        <f>HYPERLINK("http://www.env.gov.bc.ca/esd/distdata/ecosystems/TEI_Scanned_Maps/B04/B04-5012","http://www.env.gov.bc.ca/esd/distdata/ecosystems/TEI_Scanned_Maps/B04/B04-5012")</f>
        <v>http://www.env.gov.bc.ca/esd/distdata/ecosystems/TEI_Scanned_Maps/B04/B04-5012</v>
      </c>
      <c r="U266" t="s">
        <v>58</v>
      </c>
      <c r="V266" t="s">
        <v>58</v>
      </c>
      <c r="W266" t="s">
        <v>58</v>
      </c>
      <c r="X266" t="s">
        <v>58</v>
      </c>
      <c r="Y266" t="s">
        <v>58</v>
      </c>
      <c r="Z266" t="s">
        <v>58</v>
      </c>
      <c r="AA266" t="s">
        <v>58</v>
      </c>
      <c r="AC266" t="s">
        <v>58</v>
      </c>
      <c r="AE266" t="s">
        <v>58</v>
      </c>
      <c r="AG266" t="s">
        <v>63</v>
      </c>
      <c r="AH266" s="11" t="str">
        <f t="shared" si="6"/>
        <v>mailto: soilterrain@victoria1.gov.bc.ca</v>
      </c>
    </row>
    <row r="267" spans="1:34">
      <c r="A267" t="s">
        <v>775</v>
      </c>
      <c r="B267" t="s">
        <v>56</v>
      </c>
      <c r="C267" s="10" t="s">
        <v>758</v>
      </c>
      <c r="D267" t="s">
        <v>61</v>
      </c>
      <c r="E267" t="s">
        <v>759</v>
      </c>
      <c r="F267" t="s">
        <v>776</v>
      </c>
      <c r="G267">
        <v>20000</v>
      </c>
      <c r="H267">
        <v>1986</v>
      </c>
      <c r="I267" t="s">
        <v>58</v>
      </c>
      <c r="J267" t="s">
        <v>61</v>
      </c>
      <c r="K267" t="s">
        <v>61</v>
      </c>
      <c r="L267" t="s">
        <v>58</v>
      </c>
      <c r="M267" t="s">
        <v>58</v>
      </c>
      <c r="Q267" t="s">
        <v>58</v>
      </c>
      <c r="R267" s="11" t="str">
        <f>HYPERLINK("\\imagefiles.bcgov\imagery\scanned_maps\moe_terrain_maps\Scanned_T_maps_all\B04\B04-5013","\\imagefiles.bcgov\imagery\scanned_maps\moe_terrain_maps\Scanned_T_maps_all\B04\B04-5013")</f>
        <v>\\imagefiles.bcgov\imagery\scanned_maps\moe_terrain_maps\Scanned_T_maps_all\B04\B04-5013</v>
      </c>
      <c r="S267" t="s">
        <v>62</v>
      </c>
      <c r="T267" s="11" t="str">
        <f>HYPERLINK("http://www.env.gov.bc.ca/esd/distdata/ecosystems/TEI_Scanned_Maps/B04/B04-5013","http://www.env.gov.bc.ca/esd/distdata/ecosystems/TEI_Scanned_Maps/B04/B04-5013")</f>
        <v>http://www.env.gov.bc.ca/esd/distdata/ecosystems/TEI_Scanned_Maps/B04/B04-5013</v>
      </c>
      <c r="U267" t="s">
        <v>58</v>
      </c>
      <c r="V267" t="s">
        <v>58</v>
      </c>
      <c r="W267" t="s">
        <v>58</v>
      </c>
      <c r="X267" t="s">
        <v>58</v>
      </c>
      <c r="Y267" t="s">
        <v>58</v>
      </c>
      <c r="Z267" t="s">
        <v>58</v>
      </c>
      <c r="AA267" t="s">
        <v>58</v>
      </c>
      <c r="AC267" t="s">
        <v>58</v>
      </c>
      <c r="AE267" t="s">
        <v>58</v>
      </c>
      <c r="AG267" t="s">
        <v>63</v>
      </c>
      <c r="AH267" s="11" t="str">
        <f t="shared" si="6"/>
        <v>mailto: soilterrain@victoria1.gov.bc.ca</v>
      </c>
    </row>
    <row r="268" spans="1:34">
      <c r="A268" t="s">
        <v>777</v>
      </c>
      <c r="B268" t="s">
        <v>56</v>
      </c>
      <c r="C268" s="10" t="s">
        <v>758</v>
      </c>
      <c r="D268" t="s">
        <v>61</v>
      </c>
      <c r="E268" t="s">
        <v>759</v>
      </c>
      <c r="F268" t="s">
        <v>778</v>
      </c>
      <c r="G268">
        <v>20000</v>
      </c>
      <c r="H268">
        <v>1986</v>
      </c>
      <c r="I268" t="s">
        <v>58</v>
      </c>
      <c r="J268" t="s">
        <v>61</v>
      </c>
      <c r="K268" t="s">
        <v>61</v>
      </c>
      <c r="L268" t="s">
        <v>58</v>
      </c>
      <c r="M268" t="s">
        <v>58</v>
      </c>
      <c r="Q268" t="s">
        <v>58</v>
      </c>
      <c r="R268" s="11" t="str">
        <f>HYPERLINK("\\imagefiles.bcgov\imagery\scanned_maps\moe_terrain_maps\Scanned_T_maps_all\B04\B04-5014","\\imagefiles.bcgov\imagery\scanned_maps\moe_terrain_maps\Scanned_T_maps_all\B04\B04-5014")</f>
        <v>\\imagefiles.bcgov\imagery\scanned_maps\moe_terrain_maps\Scanned_T_maps_all\B04\B04-5014</v>
      </c>
      <c r="S268" t="s">
        <v>62</v>
      </c>
      <c r="T268" s="11" t="str">
        <f>HYPERLINK("http://www.env.gov.bc.ca/esd/distdata/ecosystems/TEI_Scanned_Maps/B04/B04-5014","http://www.env.gov.bc.ca/esd/distdata/ecosystems/TEI_Scanned_Maps/B04/B04-5014")</f>
        <v>http://www.env.gov.bc.ca/esd/distdata/ecosystems/TEI_Scanned_Maps/B04/B04-5014</v>
      </c>
      <c r="U268" t="s">
        <v>58</v>
      </c>
      <c r="V268" t="s">
        <v>58</v>
      </c>
      <c r="W268" t="s">
        <v>58</v>
      </c>
      <c r="X268" t="s">
        <v>58</v>
      </c>
      <c r="Y268" t="s">
        <v>58</v>
      </c>
      <c r="Z268" t="s">
        <v>58</v>
      </c>
      <c r="AA268" t="s">
        <v>58</v>
      </c>
      <c r="AC268" t="s">
        <v>58</v>
      </c>
      <c r="AE268" t="s">
        <v>58</v>
      </c>
      <c r="AG268" t="s">
        <v>63</v>
      </c>
      <c r="AH268" s="11" t="str">
        <f t="shared" si="6"/>
        <v>mailto: soilterrain@victoria1.gov.bc.ca</v>
      </c>
    </row>
    <row r="269" spans="1:34">
      <c r="A269" t="s">
        <v>779</v>
      </c>
      <c r="B269" t="s">
        <v>56</v>
      </c>
      <c r="C269" s="10" t="s">
        <v>758</v>
      </c>
      <c r="D269" t="s">
        <v>61</v>
      </c>
      <c r="E269" t="s">
        <v>759</v>
      </c>
      <c r="F269" t="s">
        <v>780</v>
      </c>
      <c r="G269">
        <v>20000</v>
      </c>
      <c r="H269">
        <v>1986</v>
      </c>
      <c r="I269" t="s">
        <v>58</v>
      </c>
      <c r="J269" t="s">
        <v>61</v>
      </c>
      <c r="K269" t="s">
        <v>61</v>
      </c>
      <c r="L269" t="s">
        <v>58</v>
      </c>
      <c r="M269" t="s">
        <v>58</v>
      </c>
      <c r="Q269" t="s">
        <v>58</v>
      </c>
      <c r="R269" s="11" t="str">
        <f>HYPERLINK("\\imagefiles.bcgov\imagery\scanned_maps\moe_terrain_maps\Scanned_T_maps_all\B04\B04-5015","\\imagefiles.bcgov\imagery\scanned_maps\moe_terrain_maps\Scanned_T_maps_all\B04\B04-5015")</f>
        <v>\\imagefiles.bcgov\imagery\scanned_maps\moe_terrain_maps\Scanned_T_maps_all\B04\B04-5015</v>
      </c>
      <c r="S269" t="s">
        <v>62</v>
      </c>
      <c r="T269" s="11" t="str">
        <f>HYPERLINK("http://www.env.gov.bc.ca/esd/distdata/ecosystems/TEI_Scanned_Maps/B04/B04-5015","http://www.env.gov.bc.ca/esd/distdata/ecosystems/TEI_Scanned_Maps/B04/B04-5015")</f>
        <v>http://www.env.gov.bc.ca/esd/distdata/ecosystems/TEI_Scanned_Maps/B04/B04-5015</v>
      </c>
      <c r="U269" t="s">
        <v>58</v>
      </c>
      <c r="V269" t="s">
        <v>58</v>
      </c>
      <c r="W269" t="s">
        <v>58</v>
      </c>
      <c r="X269" t="s">
        <v>58</v>
      </c>
      <c r="Y269" t="s">
        <v>58</v>
      </c>
      <c r="Z269" t="s">
        <v>58</v>
      </c>
      <c r="AA269" t="s">
        <v>58</v>
      </c>
      <c r="AC269" t="s">
        <v>58</v>
      </c>
      <c r="AE269" t="s">
        <v>58</v>
      </c>
      <c r="AG269" t="s">
        <v>63</v>
      </c>
      <c r="AH269" s="11" t="str">
        <f t="shared" si="6"/>
        <v>mailto: soilterrain@victoria1.gov.bc.ca</v>
      </c>
    </row>
    <row r="270" spans="1:34">
      <c r="A270" t="s">
        <v>781</v>
      </c>
      <c r="B270" t="s">
        <v>56</v>
      </c>
      <c r="C270" s="10" t="s">
        <v>758</v>
      </c>
      <c r="D270" t="s">
        <v>61</v>
      </c>
      <c r="E270" t="s">
        <v>759</v>
      </c>
      <c r="F270" t="s">
        <v>782</v>
      </c>
      <c r="G270">
        <v>20000</v>
      </c>
      <c r="H270">
        <v>1986</v>
      </c>
      <c r="I270" t="s">
        <v>58</v>
      </c>
      <c r="J270" t="s">
        <v>61</v>
      </c>
      <c r="K270" t="s">
        <v>61</v>
      </c>
      <c r="L270" t="s">
        <v>58</v>
      </c>
      <c r="M270" t="s">
        <v>58</v>
      </c>
      <c r="Q270" t="s">
        <v>58</v>
      </c>
      <c r="R270" s="11" t="str">
        <f>HYPERLINK("\\imagefiles.bcgov\imagery\scanned_maps\moe_terrain_maps\Scanned_T_maps_all\B04\B04-5016","\\imagefiles.bcgov\imagery\scanned_maps\moe_terrain_maps\Scanned_T_maps_all\B04\B04-5016")</f>
        <v>\\imagefiles.bcgov\imagery\scanned_maps\moe_terrain_maps\Scanned_T_maps_all\B04\B04-5016</v>
      </c>
      <c r="S270" t="s">
        <v>62</v>
      </c>
      <c r="T270" s="11" t="str">
        <f>HYPERLINK("http://www.env.gov.bc.ca/esd/distdata/ecosystems/TEI_Scanned_Maps/B04/B04-5016","http://www.env.gov.bc.ca/esd/distdata/ecosystems/TEI_Scanned_Maps/B04/B04-5016")</f>
        <v>http://www.env.gov.bc.ca/esd/distdata/ecosystems/TEI_Scanned_Maps/B04/B04-5016</v>
      </c>
      <c r="U270" t="s">
        <v>58</v>
      </c>
      <c r="V270" t="s">
        <v>58</v>
      </c>
      <c r="W270" t="s">
        <v>58</v>
      </c>
      <c r="X270" t="s">
        <v>58</v>
      </c>
      <c r="Y270" t="s">
        <v>58</v>
      </c>
      <c r="Z270" t="s">
        <v>58</v>
      </c>
      <c r="AA270" t="s">
        <v>58</v>
      </c>
      <c r="AC270" t="s">
        <v>58</v>
      </c>
      <c r="AE270" t="s">
        <v>58</v>
      </c>
      <c r="AG270" t="s">
        <v>63</v>
      </c>
      <c r="AH270" s="11" t="str">
        <f t="shared" si="6"/>
        <v>mailto: soilterrain@victoria1.gov.bc.ca</v>
      </c>
    </row>
    <row r="271" spans="1:34">
      <c r="A271" t="s">
        <v>783</v>
      </c>
      <c r="B271" t="s">
        <v>56</v>
      </c>
      <c r="C271" s="10" t="s">
        <v>758</v>
      </c>
      <c r="D271" t="s">
        <v>61</v>
      </c>
      <c r="E271" t="s">
        <v>759</v>
      </c>
      <c r="F271" t="s">
        <v>784</v>
      </c>
      <c r="G271">
        <v>20000</v>
      </c>
      <c r="H271">
        <v>1986</v>
      </c>
      <c r="I271" t="s">
        <v>58</v>
      </c>
      <c r="J271" t="s">
        <v>61</v>
      </c>
      <c r="K271" t="s">
        <v>61</v>
      </c>
      <c r="L271" t="s">
        <v>58</v>
      </c>
      <c r="M271" t="s">
        <v>58</v>
      </c>
      <c r="Q271" t="s">
        <v>58</v>
      </c>
      <c r="R271" s="11" t="str">
        <f>HYPERLINK("\\imagefiles.bcgov\imagery\scanned_maps\moe_terrain_maps\Scanned_T_maps_all\B04\B04-5017","\\imagefiles.bcgov\imagery\scanned_maps\moe_terrain_maps\Scanned_T_maps_all\B04\B04-5017")</f>
        <v>\\imagefiles.bcgov\imagery\scanned_maps\moe_terrain_maps\Scanned_T_maps_all\B04\B04-5017</v>
      </c>
      <c r="S271" t="s">
        <v>62</v>
      </c>
      <c r="T271" s="11" t="str">
        <f>HYPERLINK("http://www.env.gov.bc.ca/esd/distdata/ecosystems/TEI_Scanned_Maps/B04/B04-5017","http://www.env.gov.bc.ca/esd/distdata/ecosystems/TEI_Scanned_Maps/B04/B04-5017")</f>
        <v>http://www.env.gov.bc.ca/esd/distdata/ecosystems/TEI_Scanned_Maps/B04/B04-5017</v>
      </c>
      <c r="U271" t="s">
        <v>58</v>
      </c>
      <c r="V271" t="s">
        <v>58</v>
      </c>
      <c r="W271" t="s">
        <v>58</v>
      </c>
      <c r="X271" t="s">
        <v>58</v>
      </c>
      <c r="Y271" t="s">
        <v>58</v>
      </c>
      <c r="Z271" t="s">
        <v>58</v>
      </c>
      <c r="AA271" t="s">
        <v>58</v>
      </c>
      <c r="AC271" t="s">
        <v>58</v>
      </c>
      <c r="AE271" t="s">
        <v>58</v>
      </c>
      <c r="AG271" t="s">
        <v>63</v>
      </c>
      <c r="AH271" s="11" t="str">
        <f t="shared" si="6"/>
        <v>mailto: soilterrain@victoria1.gov.bc.ca</v>
      </c>
    </row>
    <row r="272" spans="1:34">
      <c r="A272" t="s">
        <v>785</v>
      </c>
      <c r="B272" t="s">
        <v>56</v>
      </c>
      <c r="C272" s="10" t="s">
        <v>758</v>
      </c>
      <c r="D272" t="s">
        <v>61</v>
      </c>
      <c r="E272" t="s">
        <v>759</v>
      </c>
      <c r="F272" t="s">
        <v>786</v>
      </c>
      <c r="G272">
        <v>20000</v>
      </c>
      <c r="H272">
        <v>1986</v>
      </c>
      <c r="I272" t="s">
        <v>58</v>
      </c>
      <c r="J272" t="s">
        <v>61</v>
      </c>
      <c r="K272" t="s">
        <v>61</v>
      </c>
      <c r="L272" t="s">
        <v>58</v>
      </c>
      <c r="M272" t="s">
        <v>58</v>
      </c>
      <c r="Q272" t="s">
        <v>58</v>
      </c>
      <c r="R272" s="11" t="str">
        <f>HYPERLINK("\\imagefiles.bcgov\imagery\scanned_maps\moe_terrain_maps\Scanned_T_maps_all\B04\B04-5018","\\imagefiles.bcgov\imagery\scanned_maps\moe_terrain_maps\Scanned_T_maps_all\B04\B04-5018")</f>
        <v>\\imagefiles.bcgov\imagery\scanned_maps\moe_terrain_maps\Scanned_T_maps_all\B04\B04-5018</v>
      </c>
      <c r="S272" t="s">
        <v>62</v>
      </c>
      <c r="T272" s="11" t="str">
        <f>HYPERLINK("http://www.env.gov.bc.ca/esd/distdata/ecosystems/TEI_Scanned_Maps/B04/B04-5018","http://www.env.gov.bc.ca/esd/distdata/ecosystems/TEI_Scanned_Maps/B04/B04-5018")</f>
        <v>http://www.env.gov.bc.ca/esd/distdata/ecosystems/TEI_Scanned_Maps/B04/B04-5018</v>
      </c>
      <c r="U272" t="s">
        <v>58</v>
      </c>
      <c r="V272" t="s">
        <v>58</v>
      </c>
      <c r="W272" t="s">
        <v>58</v>
      </c>
      <c r="X272" t="s">
        <v>58</v>
      </c>
      <c r="Y272" t="s">
        <v>58</v>
      </c>
      <c r="Z272" t="s">
        <v>58</v>
      </c>
      <c r="AA272" t="s">
        <v>58</v>
      </c>
      <c r="AC272" t="s">
        <v>58</v>
      </c>
      <c r="AE272" t="s">
        <v>58</v>
      </c>
      <c r="AG272" t="s">
        <v>63</v>
      </c>
      <c r="AH272" s="11" t="str">
        <f t="shared" si="6"/>
        <v>mailto: soilterrain@victoria1.gov.bc.ca</v>
      </c>
    </row>
    <row r="273" spans="1:34">
      <c r="A273" t="s">
        <v>787</v>
      </c>
      <c r="B273" t="s">
        <v>56</v>
      </c>
      <c r="C273" s="10" t="s">
        <v>758</v>
      </c>
      <c r="D273" t="s">
        <v>61</v>
      </c>
      <c r="E273" t="s">
        <v>759</v>
      </c>
      <c r="F273" t="s">
        <v>788</v>
      </c>
      <c r="G273">
        <v>20000</v>
      </c>
      <c r="H273">
        <v>1986</v>
      </c>
      <c r="I273" t="s">
        <v>58</v>
      </c>
      <c r="J273" t="s">
        <v>61</v>
      </c>
      <c r="K273" t="s">
        <v>61</v>
      </c>
      <c r="L273" t="s">
        <v>58</v>
      </c>
      <c r="M273" t="s">
        <v>58</v>
      </c>
      <c r="Q273" t="s">
        <v>58</v>
      </c>
      <c r="R273" s="11" t="str">
        <f>HYPERLINK("\\imagefiles.bcgov\imagery\scanned_maps\moe_terrain_maps\Scanned_T_maps_all\B04\B04-5019","\\imagefiles.bcgov\imagery\scanned_maps\moe_terrain_maps\Scanned_T_maps_all\B04\B04-5019")</f>
        <v>\\imagefiles.bcgov\imagery\scanned_maps\moe_terrain_maps\Scanned_T_maps_all\B04\B04-5019</v>
      </c>
      <c r="S273" t="s">
        <v>62</v>
      </c>
      <c r="T273" s="11" t="str">
        <f>HYPERLINK("http://www.env.gov.bc.ca/esd/distdata/ecosystems/TEI_Scanned_Maps/B04/B04-5019","http://www.env.gov.bc.ca/esd/distdata/ecosystems/TEI_Scanned_Maps/B04/B04-5019")</f>
        <v>http://www.env.gov.bc.ca/esd/distdata/ecosystems/TEI_Scanned_Maps/B04/B04-5019</v>
      </c>
      <c r="U273" t="s">
        <v>58</v>
      </c>
      <c r="V273" t="s">
        <v>58</v>
      </c>
      <c r="W273" t="s">
        <v>58</v>
      </c>
      <c r="X273" t="s">
        <v>58</v>
      </c>
      <c r="Y273" t="s">
        <v>58</v>
      </c>
      <c r="Z273" t="s">
        <v>58</v>
      </c>
      <c r="AA273" t="s">
        <v>58</v>
      </c>
      <c r="AC273" t="s">
        <v>58</v>
      </c>
      <c r="AE273" t="s">
        <v>58</v>
      </c>
      <c r="AG273" t="s">
        <v>63</v>
      </c>
      <c r="AH273" s="11" t="str">
        <f t="shared" si="6"/>
        <v>mailto: soilterrain@victoria1.gov.bc.ca</v>
      </c>
    </row>
    <row r="274" spans="1:34">
      <c r="A274" t="s">
        <v>789</v>
      </c>
      <c r="B274" t="s">
        <v>56</v>
      </c>
      <c r="C274" s="10" t="s">
        <v>758</v>
      </c>
      <c r="D274" t="s">
        <v>61</v>
      </c>
      <c r="E274" t="s">
        <v>759</v>
      </c>
      <c r="F274" t="s">
        <v>790</v>
      </c>
      <c r="G274">
        <v>5000</v>
      </c>
      <c r="H274">
        <v>1986</v>
      </c>
      <c r="I274" t="s">
        <v>58</v>
      </c>
      <c r="J274" t="s">
        <v>61</v>
      </c>
      <c r="K274" t="s">
        <v>61</v>
      </c>
      <c r="L274" t="s">
        <v>58</v>
      </c>
      <c r="M274" t="s">
        <v>58</v>
      </c>
      <c r="Q274" t="s">
        <v>58</v>
      </c>
      <c r="R274" s="11" t="str">
        <f>HYPERLINK("\\imagefiles.bcgov\imagery\scanned_maps\moe_terrain_maps\Scanned_T_maps_all\B04\B04-5125","\\imagefiles.bcgov\imagery\scanned_maps\moe_terrain_maps\Scanned_T_maps_all\B04\B04-5125")</f>
        <v>\\imagefiles.bcgov\imagery\scanned_maps\moe_terrain_maps\Scanned_T_maps_all\B04\B04-5125</v>
      </c>
      <c r="S274" t="s">
        <v>62</v>
      </c>
      <c r="T274" s="11" t="str">
        <f>HYPERLINK("http://www.env.gov.bc.ca/esd/distdata/ecosystems/TEI_Scanned_Maps/B04/B04-5125","http://www.env.gov.bc.ca/esd/distdata/ecosystems/TEI_Scanned_Maps/B04/B04-5125")</f>
        <v>http://www.env.gov.bc.ca/esd/distdata/ecosystems/TEI_Scanned_Maps/B04/B04-5125</v>
      </c>
      <c r="U274" t="s">
        <v>58</v>
      </c>
      <c r="V274" t="s">
        <v>58</v>
      </c>
      <c r="W274" t="s">
        <v>58</v>
      </c>
      <c r="X274" t="s">
        <v>58</v>
      </c>
      <c r="Y274" t="s">
        <v>58</v>
      </c>
      <c r="Z274" t="s">
        <v>58</v>
      </c>
      <c r="AA274" t="s">
        <v>58</v>
      </c>
      <c r="AC274" t="s">
        <v>58</v>
      </c>
      <c r="AE274" t="s">
        <v>58</v>
      </c>
      <c r="AG274" t="s">
        <v>63</v>
      </c>
      <c r="AH274" s="11" t="str">
        <f t="shared" si="6"/>
        <v>mailto: soilterrain@victoria1.gov.bc.ca</v>
      </c>
    </row>
    <row r="275" spans="1:34">
      <c r="A275" t="s">
        <v>791</v>
      </c>
      <c r="B275" t="s">
        <v>56</v>
      </c>
      <c r="C275" s="10" t="s">
        <v>792</v>
      </c>
      <c r="D275" t="s">
        <v>61</v>
      </c>
      <c r="E275" t="s">
        <v>759</v>
      </c>
      <c r="F275" t="s">
        <v>793</v>
      </c>
      <c r="G275">
        <v>110000</v>
      </c>
      <c r="H275">
        <v>1986</v>
      </c>
      <c r="I275" t="s">
        <v>58</v>
      </c>
      <c r="J275" t="s">
        <v>61</v>
      </c>
      <c r="K275" t="s">
        <v>61</v>
      </c>
      <c r="L275" t="s">
        <v>58</v>
      </c>
      <c r="M275" t="s">
        <v>58</v>
      </c>
      <c r="Q275" t="s">
        <v>58</v>
      </c>
      <c r="R275" s="11" t="str">
        <f>HYPERLINK("\\imagefiles.bcgov\imagery\scanned_maps\moe_terrain_maps\Scanned_T_maps_all\B04\B04-5126","\\imagefiles.bcgov\imagery\scanned_maps\moe_terrain_maps\Scanned_T_maps_all\B04\B04-5126")</f>
        <v>\\imagefiles.bcgov\imagery\scanned_maps\moe_terrain_maps\Scanned_T_maps_all\B04\B04-5126</v>
      </c>
      <c r="S275" t="s">
        <v>62</v>
      </c>
      <c r="T275" s="11" t="str">
        <f>HYPERLINK("http://www.env.gov.bc.ca/esd/distdata/ecosystems/TEI_Scanned_Maps/B04/B04-5126","http://www.env.gov.bc.ca/esd/distdata/ecosystems/TEI_Scanned_Maps/B04/B04-5126")</f>
        <v>http://www.env.gov.bc.ca/esd/distdata/ecosystems/TEI_Scanned_Maps/B04/B04-5126</v>
      </c>
      <c r="U275" t="s">
        <v>58</v>
      </c>
      <c r="V275" t="s">
        <v>58</v>
      </c>
      <c r="W275" t="s">
        <v>58</v>
      </c>
      <c r="X275" t="s">
        <v>58</v>
      </c>
      <c r="Y275" t="s">
        <v>58</v>
      </c>
      <c r="Z275" t="s">
        <v>58</v>
      </c>
      <c r="AA275" t="s">
        <v>58</v>
      </c>
      <c r="AC275" t="s">
        <v>58</v>
      </c>
      <c r="AE275" t="s">
        <v>58</v>
      </c>
      <c r="AG275" t="s">
        <v>63</v>
      </c>
      <c r="AH275" s="11" t="str">
        <f t="shared" si="6"/>
        <v>mailto: soilterrain@victoria1.gov.bc.ca</v>
      </c>
    </row>
    <row r="276" spans="1:34">
      <c r="A276" t="s">
        <v>794</v>
      </c>
      <c r="B276" t="s">
        <v>56</v>
      </c>
      <c r="C276" s="10" t="s">
        <v>758</v>
      </c>
      <c r="D276" t="s">
        <v>61</v>
      </c>
      <c r="E276" t="s">
        <v>759</v>
      </c>
      <c r="F276" t="s">
        <v>795</v>
      </c>
      <c r="G276">
        <v>5000</v>
      </c>
      <c r="H276">
        <v>1986</v>
      </c>
      <c r="I276" t="s">
        <v>58</v>
      </c>
      <c r="J276" t="s">
        <v>61</v>
      </c>
      <c r="K276" t="s">
        <v>61</v>
      </c>
      <c r="L276" t="s">
        <v>58</v>
      </c>
      <c r="M276" t="s">
        <v>58</v>
      </c>
      <c r="Q276" t="s">
        <v>58</v>
      </c>
      <c r="R276" s="11" t="str">
        <f>HYPERLINK("\\imagefiles.bcgov\imagery\scanned_maps\moe_terrain_maps\Scanned_T_maps_all\B04\B04-5127","\\imagefiles.bcgov\imagery\scanned_maps\moe_terrain_maps\Scanned_T_maps_all\B04\B04-5127")</f>
        <v>\\imagefiles.bcgov\imagery\scanned_maps\moe_terrain_maps\Scanned_T_maps_all\B04\B04-5127</v>
      </c>
      <c r="S276" t="s">
        <v>62</v>
      </c>
      <c r="T276" s="11" t="str">
        <f>HYPERLINK("http://www.env.gov.bc.ca/esd/distdata/ecosystems/TEI_Scanned_Maps/B04/B04-5127","http://www.env.gov.bc.ca/esd/distdata/ecosystems/TEI_Scanned_Maps/B04/B04-5127")</f>
        <v>http://www.env.gov.bc.ca/esd/distdata/ecosystems/TEI_Scanned_Maps/B04/B04-5127</v>
      </c>
      <c r="U276" t="s">
        <v>58</v>
      </c>
      <c r="V276" t="s">
        <v>58</v>
      </c>
      <c r="W276" t="s">
        <v>58</v>
      </c>
      <c r="X276" t="s">
        <v>58</v>
      </c>
      <c r="Y276" t="s">
        <v>58</v>
      </c>
      <c r="Z276" t="s">
        <v>58</v>
      </c>
      <c r="AA276" t="s">
        <v>58</v>
      </c>
      <c r="AC276" t="s">
        <v>58</v>
      </c>
      <c r="AE276" t="s">
        <v>58</v>
      </c>
      <c r="AG276" t="s">
        <v>63</v>
      </c>
      <c r="AH276" s="11" t="str">
        <f t="shared" si="6"/>
        <v>mailto: soilterrain@victoria1.gov.bc.ca</v>
      </c>
    </row>
    <row r="277" spans="1:34">
      <c r="A277" t="s">
        <v>796</v>
      </c>
      <c r="B277" t="s">
        <v>56</v>
      </c>
      <c r="C277" s="10" t="s">
        <v>797</v>
      </c>
      <c r="D277" t="s">
        <v>61</v>
      </c>
      <c r="E277" t="s">
        <v>759</v>
      </c>
      <c r="F277" t="s">
        <v>798</v>
      </c>
      <c r="G277">
        <v>5000</v>
      </c>
      <c r="H277">
        <v>1986</v>
      </c>
      <c r="I277" t="s">
        <v>58</v>
      </c>
      <c r="J277" t="s">
        <v>61</v>
      </c>
      <c r="K277" t="s">
        <v>61</v>
      </c>
      <c r="L277" t="s">
        <v>58</v>
      </c>
      <c r="M277" t="s">
        <v>58</v>
      </c>
      <c r="Q277" t="s">
        <v>132</v>
      </c>
      <c r="R277" s="11" t="str">
        <f>HYPERLINK("\\imagefiles.bcgov\imagery\scanned_maps\moe_terrain_maps\Scanned_T_maps_all\B04\B04-5128","\\imagefiles.bcgov\imagery\scanned_maps\moe_terrain_maps\Scanned_T_maps_all\B04\B04-5128")</f>
        <v>\\imagefiles.bcgov\imagery\scanned_maps\moe_terrain_maps\Scanned_T_maps_all\B04\B04-5128</v>
      </c>
      <c r="S277" t="s">
        <v>62</v>
      </c>
      <c r="T277" s="11" t="str">
        <f>HYPERLINK("http://www.env.gov.bc.ca/esd/distdata/ecosystems/TEI_Scanned_Maps/B04/B04-5128","http://www.env.gov.bc.ca/esd/distdata/ecosystems/TEI_Scanned_Maps/B04/B04-5128")</f>
        <v>http://www.env.gov.bc.ca/esd/distdata/ecosystems/TEI_Scanned_Maps/B04/B04-5128</v>
      </c>
      <c r="U277" t="s">
        <v>58</v>
      </c>
      <c r="V277" t="s">
        <v>58</v>
      </c>
      <c r="W277" t="s">
        <v>58</v>
      </c>
      <c r="X277" t="s">
        <v>58</v>
      </c>
      <c r="Y277" t="s">
        <v>58</v>
      </c>
      <c r="Z277" t="s">
        <v>58</v>
      </c>
      <c r="AA277" t="s">
        <v>58</v>
      </c>
      <c r="AC277" t="s">
        <v>58</v>
      </c>
      <c r="AE277" t="s">
        <v>58</v>
      </c>
      <c r="AG277" t="s">
        <v>63</v>
      </c>
      <c r="AH277" s="11" t="str">
        <f t="shared" si="6"/>
        <v>mailto: soilterrain@victoria1.gov.bc.ca</v>
      </c>
    </row>
    <row r="278" spans="1:34">
      <c r="A278" t="s">
        <v>799</v>
      </c>
      <c r="B278" t="s">
        <v>56</v>
      </c>
      <c r="C278" s="10" t="s">
        <v>797</v>
      </c>
      <c r="D278" t="s">
        <v>61</v>
      </c>
      <c r="E278" t="s">
        <v>759</v>
      </c>
      <c r="F278" t="s">
        <v>800</v>
      </c>
      <c r="G278">
        <v>5000</v>
      </c>
      <c r="H278">
        <v>1986</v>
      </c>
      <c r="I278" t="s">
        <v>58</v>
      </c>
      <c r="J278" t="s">
        <v>61</v>
      </c>
      <c r="K278" t="s">
        <v>61</v>
      </c>
      <c r="L278" t="s">
        <v>58</v>
      </c>
      <c r="M278" t="s">
        <v>58</v>
      </c>
      <c r="Q278" t="s">
        <v>132</v>
      </c>
      <c r="R278" s="11" t="str">
        <f>HYPERLINK("\\imagefiles.bcgov\imagery\scanned_maps\moe_terrain_maps\Scanned_T_maps_all\B04\B04-5129","\\imagefiles.bcgov\imagery\scanned_maps\moe_terrain_maps\Scanned_T_maps_all\B04\B04-5129")</f>
        <v>\\imagefiles.bcgov\imagery\scanned_maps\moe_terrain_maps\Scanned_T_maps_all\B04\B04-5129</v>
      </c>
      <c r="S278" t="s">
        <v>62</v>
      </c>
      <c r="T278" s="11" t="str">
        <f>HYPERLINK("http://www.env.gov.bc.ca/esd/distdata/ecosystems/TEI_Scanned_Maps/B04/B04-5129","http://www.env.gov.bc.ca/esd/distdata/ecosystems/TEI_Scanned_Maps/B04/B04-5129")</f>
        <v>http://www.env.gov.bc.ca/esd/distdata/ecosystems/TEI_Scanned_Maps/B04/B04-5129</v>
      </c>
      <c r="U278" t="s">
        <v>58</v>
      </c>
      <c r="V278" t="s">
        <v>58</v>
      </c>
      <c r="W278" t="s">
        <v>58</v>
      </c>
      <c r="X278" t="s">
        <v>58</v>
      </c>
      <c r="Y278" t="s">
        <v>58</v>
      </c>
      <c r="Z278" t="s">
        <v>58</v>
      </c>
      <c r="AA278" t="s">
        <v>58</v>
      </c>
      <c r="AC278" t="s">
        <v>58</v>
      </c>
      <c r="AE278" t="s">
        <v>58</v>
      </c>
      <c r="AG278" t="s">
        <v>63</v>
      </c>
      <c r="AH278" s="11" t="str">
        <f t="shared" si="6"/>
        <v>mailto: soilterrain@victoria1.gov.bc.ca</v>
      </c>
    </row>
    <row r="279" spans="1:34">
      <c r="A279" t="s">
        <v>801</v>
      </c>
      <c r="B279" t="s">
        <v>56</v>
      </c>
      <c r="C279" s="10" t="s">
        <v>802</v>
      </c>
      <c r="D279" t="s">
        <v>61</v>
      </c>
      <c r="E279" t="s">
        <v>759</v>
      </c>
      <c r="F279" t="s">
        <v>803</v>
      </c>
      <c r="G279">
        <v>5000</v>
      </c>
      <c r="H279">
        <v>1986</v>
      </c>
      <c r="I279" t="s">
        <v>58</v>
      </c>
      <c r="J279" t="s">
        <v>61</v>
      </c>
      <c r="K279" t="s">
        <v>61</v>
      </c>
      <c r="L279" t="s">
        <v>58</v>
      </c>
      <c r="M279" t="s">
        <v>58</v>
      </c>
      <c r="Q279" t="s">
        <v>132</v>
      </c>
      <c r="R279" s="11" t="str">
        <f>HYPERLINK("\\imagefiles.bcgov\imagery\scanned_maps\moe_terrain_maps\Scanned_T_maps_all\B04\B04-5130","\\imagefiles.bcgov\imagery\scanned_maps\moe_terrain_maps\Scanned_T_maps_all\B04\B04-5130")</f>
        <v>\\imagefiles.bcgov\imagery\scanned_maps\moe_terrain_maps\Scanned_T_maps_all\B04\B04-5130</v>
      </c>
      <c r="S279" t="s">
        <v>62</v>
      </c>
      <c r="T279" s="11" t="str">
        <f>HYPERLINK("http://www.env.gov.bc.ca/esd/distdata/ecosystems/TEI_Scanned_Maps/B04/B04-5130","http://www.env.gov.bc.ca/esd/distdata/ecosystems/TEI_Scanned_Maps/B04/B04-5130")</f>
        <v>http://www.env.gov.bc.ca/esd/distdata/ecosystems/TEI_Scanned_Maps/B04/B04-5130</v>
      </c>
      <c r="U279" t="s">
        <v>58</v>
      </c>
      <c r="V279" t="s">
        <v>58</v>
      </c>
      <c r="W279" t="s">
        <v>58</v>
      </c>
      <c r="X279" t="s">
        <v>58</v>
      </c>
      <c r="Y279" t="s">
        <v>58</v>
      </c>
      <c r="Z279" t="s">
        <v>58</v>
      </c>
      <c r="AA279" t="s">
        <v>58</v>
      </c>
      <c r="AC279" t="s">
        <v>58</v>
      </c>
      <c r="AE279" t="s">
        <v>58</v>
      </c>
      <c r="AG279" t="s">
        <v>63</v>
      </c>
      <c r="AH279" s="11" t="str">
        <f t="shared" si="6"/>
        <v>mailto: soilterrain@victoria1.gov.bc.ca</v>
      </c>
    </row>
    <row r="280" spans="1:34">
      <c r="A280" t="s">
        <v>804</v>
      </c>
      <c r="B280" t="s">
        <v>56</v>
      </c>
      <c r="C280" s="10" t="s">
        <v>802</v>
      </c>
      <c r="D280" t="s">
        <v>61</v>
      </c>
      <c r="E280" t="s">
        <v>759</v>
      </c>
      <c r="F280" t="s">
        <v>805</v>
      </c>
      <c r="G280">
        <v>5000</v>
      </c>
      <c r="H280">
        <v>1986</v>
      </c>
      <c r="I280" t="s">
        <v>58</v>
      </c>
      <c r="J280" t="s">
        <v>61</v>
      </c>
      <c r="K280" t="s">
        <v>61</v>
      </c>
      <c r="L280" t="s">
        <v>58</v>
      </c>
      <c r="M280" t="s">
        <v>58</v>
      </c>
      <c r="Q280" t="s">
        <v>132</v>
      </c>
      <c r="R280" s="11" t="str">
        <f>HYPERLINK("\\imagefiles.bcgov\imagery\scanned_maps\moe_terrain_maps\Scanned_T_maps_all\B04\B04-5131","\\imagefiles.bcgov\imagery\scanned_maps\moe_terrain_maps\Scanned_T_maps_all\B04\B04-5131")</f>
        <v>\\imagefiles.bcgov\imagery\scanned_maps\moe_terrain_maps\Scanned_T_maps_all\B04\B04-5131</v>
      </c>
      <c r="S280" t="s">
        <v>62</v>
      </c>
      <c r="T280" s="11" t="str">
        <f>HYPERLINK("http://www.env.gov.bc.ca/esd/distdata/ecosystems/TEI_Scanned_Maps/B04/B04-5131","http://www.env.gov.bc.ca/esd/distdata/ecosystems/TEI_Scanned_Maps/B04/B04-5131")</f>
        <v>http://www.env.gov.bc.ca/esd/distdata/ecosystems/TEI_Scanned_Maps/B04/B04-5131</v>
      </c>
      <c r="U280" t="s">
        <v>58</v>
      </c>
      <c r="V280" t="s">
        <v>58</v>
      </c>
      <c r="W280" t="s">
        <v>58</v>
      </c>
      <c r="X280" t="s">
        <v>58</v>
      </c>
      <c r="Y280" t="s">
        <v>58</v>
      </c>
      <c r="Z280" t="s">
        <v>58</v>
      </c>
      <c r="AA280" t="s">
        <v>58</v>
      </c>
      <c r="AC280" t="s">
        <v>58</v>
      </c>
      <c r="AE280" t="s">
        <v>58</v>
      </c>
      <c r="AG280" t="s">
        <v>63</v>
      </c>
      <c r="AH280" s="11" t="str">
        <f t="shared" si="6"/>
        <v>mailto: soilterrain@victoria1.gov.bc.ca</v>
      </c>
    </row>
    <row r="281" spans="1:34">
      <c r="A281" t="s">
        <v>806</v>
      </c>
      <c r="B281" t="s">
        <v>56</v>
      </c>
      <c r="C281" s="10" t="s">
        <v>802</v>
      </c>
      <c r="D281" t="s">
        <v>61</v>
      </c>
      <c r="E281" t="s">
        <v>759</v>
      </c>
      <c r="F281" t="s">
        <v>807</v>
      </c>
      <c r="G281">
        <v>5000</v>
      </c>
      <c r="H281">
        <v>1986</v>
      </c>
      <c r="I281" t="s">
        <v>58</v>
      </c>
      <c r="J281" t="s">
        <v>61</v>
      </c>
      <c r="K281" t="s">
        <v>61</v>
      </c>
      <c r="L281" t="s">
        <v>58</v>
      </c>
      <c r="M281" t="s">
        <v>58</v>
      </c>
      <c r="Q281" t="s">
        <v>132</v>
      </c>
      <c r="R281" s="11" t="str">
        <f>HYPERLINK("\\imagefiles.bcgov\imagery\scanned_maps\moe_terrain_maps\Scanned_T_maps_all\B04\B04-5132","\\imagefiles.bcgov\imagery\scanned_maps\moe_terrain_maps\Scanned_T_maps_all\B04\B04-5132")</f>
        <v>\\imagefiles.bcgov\imagery\scanned_maps\moe_terrain_maps\Scanned_T_maps_all\B04\B04-5132</v>
      </c>
      <c r="S281" t="s">
        <v>62</v>
      </c>
      <c r="T281" s="11" t="str">
        <f>HYPERLINK("http://www.env.gov.bc.ca/esd/distdata/ecosystems/TEI_Scanned_Maps/B04/B04-5132","http://www.env.gov.bc.ca/esd/distdata/ecosystems/TEI_Scanned_Maps/B04/B04-5132")</f>
        <v>http://www.env.gov.bc.ca/esd/distdata/ecosystems/TEI_Scanned_Maps/B04/B04-5132</v>
      </c>
      <c r="U281" t="s">
        <v>58</v>
      </c>
      <c r="V281" t="s">
        <v>58</v>
      </c>
      <c r="W281" t="s">
        <v>58</v>
      </c>
      <c r="X281" t="s">
        <v>58</v>
      </c>
      <c r="Y281" t="s">
        <v>58</v>
      </c>
      <c r="Z281" t="s">
        <v>58</v>
      </c>
      <c r="AA281" t="s">
        <v>58</v>
      </c>
      <c r="AC281" t="s">
        <v>58</v>
      </c>
      <c r="AE281" t="s">
        <v>58</v>
      </c>
      <c r="AG281" t="s">
        <v>63</v>
      </c>
      <c r="AH281" s="11" t="str">
        <f t="shared" si="6"/>
        <v>mailto: soilterrain@victoria1.gov.bc.ca</v>
      </c>
    </row>
    <row r="282" spans="1:34">
      <c r="A282" t="s">
        <v>808</v>
      </c>
      <c r="B282" t="s">
        <v>56</v>
      </c>
      <c r="C282" s="10" t="s">
        <v>802</v>
      </c>
      <c r="D282" t="s">
        <v>61</v>
      </c>
      <c r="E282" t="s">
        <v>759</v>
      </c>
      <c r="F282" t="s">
        <v>809</v>
      </c>
      <c r="G282">
        <v>5000</v>
      </c>
      <c r="H282">
        <v>1986</v>
      </c>
      <c r="I282" t="s">
        <v>58</v>
      </c>
      <c r="J282" t="s">
        <v>61</v>
      </c>
      <c r="K282" t="s">
        <v>61</v>
      </c>
      <c r="L282" t="s">
        <v>58</v>
      </c>
      <c r="M282" t="s">
        <v>58</v>
      </c>
      <c r="Q282" t="s">
        <v>132</v>
      </c>
      <c r="R282" s="11" t="str">
        <f>HYPERLINK("\\imagefiles.bcgov\imagery\scanned_maps\moe_terrain_maps\Scanned_T_maps_all\B04\B04-5133","\\imagefiles.bcgov\imagery\scanned_maps\moe_terrain_maps\Scanned_T_maps_all\B04\B04-5133")</f>
        <v>\\imagefiles.bcgov\imagery\scanned_maps\moe_terrain_maps\Scanned_T_maps_all\B04\B04-5133</v>
      </c>
      <c r="S282" t="s">
        <v>62</v>
      </c>
      <c r="T282" s="11" t="str">
        <f>HYPERLINK("http://www.env.gov.bc.ca/esd/distdata/ecosystems/TEI_Scanned_Maps/B04/B04-5133","http://www.env.gov.bc.ca/esd/distdata/ecosystems/TEI_Scanned_Maps/B04/B04-5133")</f>
        <v>http://www.env.gov.bc.ca/esd/distdata/ecosystems/TEI_Scanned_Maps/B04/B04-5133</v>
      </c>
      <c r="U282" t="s">
        <v>58</v>
      </c>
      <c r="V282" t="s">
        <v>58</v>
      </c>
      <c r="W282" t="s">
        <v>58</v>
      </c>
      <c r="X282" t="s">
        <v>58</v>
      </c>
      <c r="Y282" t="s">
        <v>58</v>
      </c>
      <c r="Z282" t="s">
        <v>58</v>
      </c>
      <c r="AA282" t="s">
        <v>58</v>
      </c>
      <c r="AC282" t="s">
        <v>58</v>
      </c>
      <c r="AE282" t="s">
        <v>58</v>
      </c>
      <c r="AG282" t="s">
        <v>63</v>
      </c>
      <c r="AH282" s="11" t="str">
        <f t="shared" si="6"/>
        <v>mailto: soilterrain@victoria1.gov.bc.ca</v>
      </c>
    </row>
    <row r="283" spans="1:34">
      <c r="A283" t="s">
        <v>810</v>
      </c>
      <c r="B283" t="s">
        <v>56</v>
      </c>
      <c r="C283" s="10" t="s">
        <v>811</v>
      </c>
      <c r="D283" t="s">
        <v>61</v>
      </c>
      <c r="E283" t="s">
        <v>759</v>
      </c>
      <c r="F283" t="s">
        <v>812</v>
      </c>
      <c r="G283">
        <v>5000</v>
      </c>
      <c r="H283">
        <v>1986</v>
      </c>
      <c r="I283" t="s">
        <v>58</v>
      </c>
      <c r="J283" t="s">
        <v>61</v>
      </c>
      <c r="K283" t="s">
        <v>61</v>
      </c>
      <c r="L283" t="s">
        <v>58</v>
      </c>
      <c r="M283" t="s">
        <v>58</v>
      </c>
      <c r="Q283" t="s">
        <v>132</v>
      </c>
      <c r="R283" s="11" t="str">
        <f>HYPERLINK("\\imagefiles.bcgov\imagery\scanned_maps\moe_terrain_maps\Scanned_T_maps_all\B04\B04-5134","\\imagefiles.bcgov\imagery\scanned_maps\moe_terrain_maps\Scanned_T_maps_all\B04\B04-5134")</f>
        <v>\\imagefiles.bcgov\imagery\scanned_maps\moe_terrain_maps\Scanned_T_maps_all\B04\B04-5134</v>
      </c>
      <c r="S283" t="s">
        <v>62</v>
      </c>
      <c r="T283" s="11" t="str">
        <f>HYPERLINK("http://www.env.gov.bc.ca/esd/distdata/ecosystems/TEI_Scanned_Maps/B04/B04-5134","http://www.env.gov.bc.ca/esd/distdata/ecosystems/TEI_Scanned_Maps/B04/B04-5134")</f>
        <v>http://www.env.gov.bc.ca/esd/distdata/ecosystems/TEI_Scanned_Maps/B04/B04-5134</v>
      </c>
      <c r="U283" t="s">
        <v>58</v>
      </c>
      <c r="V283" t="s">
        <v>58</v>
      </c>
      <c r="W283" t="s">
        <v>58</v>
      </c>
      <c r="X283" t="s">
        <v>58</v>
      </c>
      <c r="Y283" t="s">
        <v>58</v>
      </c>
      <c r="Z283" t="s">
        <v>58</v>
      </c>
      <c r="AA283" t="s">
        <v>58</v>
      </c>
      <c r="AC283" t="s">
        <v>58</v>
      </c>
      <c r="AE283" t="s">
        <v>58</v>
      </c>
      <c r="AG283" t="s">
        <v>63</v>
      </c>
      <c r="AH283" s="11" t="str">
        <f t="shared" si="6"/>
        <v>mailto: soilterrain@victoria1.gov.bc.ca</v>
      </c>
    </row>
    <row r="284" spans="1:34">
      <c r="A284" t="s">
        <v>813</v>
      </c>
      <c r="B284" t="s">
        <v>56</v>
      </c>
      <c r="C284" s="10" t="s">
        <v>811</v>
      </c>
      <c r="D284" t="s">
        <v>61</v>
      </c>
      <c r="E284" t="s">
        <v>759</v>
      </c>
      <c r="F284" t="s">
        <v>814</v>
      </c>
      <c r="G284">
        <v>5000</v>
      </c>
      <c r="H284">
        <v>1986</v>
      </c>
      <c r="I284" t="s">
        <v>58</v>
      </c>
      <c r="J284" t="s">
        <v>61</v>
      </c>
      <c r="K284" t="s">
        <v>61</v>
      </c>
      <c r="L284" t="s">
        <v>58</v>
      </c>
      <c r="M284" t="s">
        <v>58</v>
      </c>
      <c r="Q284" t="s">
        <v>132</v>
      </c>
      <c r="R284" s="11" t="str">
        <f>HYPERLINK("\\imagefiles.bcgov\imagery\scanned_maps\moe_terrain_maps\Scanned_T_maps_all\B04\B04-5135","\\imagefiles.bcgov\imagery\scanned_maps\moe_terrain_maps\Scanned_T_maps_all\B04\B04-5135")</f>
        <v>\\imagefiles.bcgov\imagery\scanned_maps\moe_terrain_maps\Scanned_T_maps_all\B04\B04-5135</v>
      </c>
      <c r="S284" t="s">
        <v>62</v>
      </c>
      <c r="T284" s="11" t="str">
        <f>HYPERLINK("http://www.env.gov.bc.ca/esd/distdata/ecosystems/TEI_Scanned_Maps/B04/B04-5135","http://www.env.gov.bc.ca/esd/distdata/ecosystems/TEI_Scanned_Maps/B04/B04-5135")</f>
        <v>http://www.env.gov.bc.ca/esd/distdata/ecosystems/TEI_Scanned_Maps/B04/B04-5135</v>
      </c>
      <c r="U284" t="s">
        <v>58</v>
      </c>
      <c r="V284" t="s">
        <v>58</v>
      </c>
      <c r="W284" t="s">
        <v>58</v>
      </c>
      <c r="X284" t="s">
        <v>58</v>
      </c>
      <c r="Y284" t="s">
        <v>58</v>
      </c>
      <c r="Z284" t="s">
        <v>58</v>
      </c>
      <c r="AA284" t="s">
        <v>58</v>
      </c>
      <c r="AC284" t="s">
        <v>58</v>
      </c>
      <c r="AE284" t="s">
        <v>58</v>
      </c>
      <c r="AG284" t="s">
        <v>63</v>
      </c>
      <c r="AH284" s="11" t="str">
        <f t="shared" si="6"/>
        <v>mailto: soilterrain@victoria1.gov.bc.ca</v>
      </c>
    </row>
    <row r="285" spans="1:34">
      <c r="A285" t="s">
        <v>815</v>
      </c>
      <c r="B285" t="s">
        <v>56</v>
      </c>
      <c r="C285" s="10" t="s">
        <v>811</v>
      </c>
      <c r="D285" t="s">
        <v>61</v>
      </c>
      <c r="E285" t="s">
        <v>759</v>
      </c>
      <c r="F285" t="s">
        <v>816</v>
      </c>
      <c r="G285">
        <v>5000</v>
      </c>
      <c r="H285">
        <v>1986</v>
      </c>
      <c r="I285" t="s">
        <v>58</v>
      </c>
      <c r="J285" t="s">
        <v>61</v>
      </c>
      <c r="K285" t="s">
        <v>61</v>
      </c>
      <c r="L285" t="s">
        <v>58</v>
      </c>
      <c r="M285" t="s">
        <v>58</v>
      </c>
      <c r="Q285" t="s">
        <v>132</v>
      </c>
      <c r="R285" s="11" t="str">
        <f>HYPERLINK("\\imagefiles.bcgov\imagery\scanned_maps\moe_terrain_maps\Scanned_T_maps_all\B04\B04-5136","\\imagefiles.bcgov\imagery\scanned_maps\moe_terrain_maps\Scanned_T_maps_all\B04\B04-5136")</f>
        <v>\\imagefiles.bcgov\imagery\scanned_maps\moe_terrain_maps\Scanned_T_maps_all\B04\B04-5136</v>
      </c>
      <c r="S285" t="s">
        <v>62</v>
      </c>
      <c r="T285" s="11" t="str">
        <f>HYPERLINK("http://www.env.gov.bc.ca/esd/distdata/ecosystems/TEI_Scanned_Maps/B04/B04-5136","http://www.env.gov.bc.ca/esd/distdata/ecosystems/TEI_Scanned_Maps/B04/B04-5136")</f>
        <v>http://www.env.gov.bc.ca/esd/distdata/ecosystems/TEI_Scanned_Maps/B04/B04-5136</v>
      </c>
      <c r="U285" t="s">
        <v>58</v>
      </c>
      <c r="V285" t="s">
        <v>58</v>
      </c>
      <c r="W285" t="s">
        <v>58</v>
      </c>
      <c r="X285" t="s">
        <v>58</v>
      </c>
      <c r="Y285" t="s">
        <v>58</v>
      </c>
      <c r="Z285" t="s">
        <v>58</v>
      </c>
      <c r="AA285" t="s">
        <v>58</v>
      </c>
      <c r="AC285" t="s">
        <v>58</v>
      </c>
      <c r="AE285" t="s">
        <v>58</v>
      </c>
      <c r="AG285" t="s">
        <v>63</v>
      </c>
      <c r="AH285" s="11" t="str">
        <f t="shared" si="6"/>
        <v>mailto: soilterrain@victoria1.gov.bc.ca</v>
      </c>
    </row>
    <row r="286" spans="1:34">
      <c r="A286" t="s">
        <v>817</v>
      </c>
      <c r="B286" t="s">
        <v>56</v>
      </c>
      <c r="C286" s="10" t="s">
        <v>811</v>
      </c>
      <c r="D286" t="s">
        <v>61</v>
      </c>
      <c r="E286" t="s">
        <v>759</v>
      </c>
      <c r="F286" t="s">
        <v>818</v>
      </c>
      <c r="G286">
        <v>5000</v>
      </c>
      <c r="H286">
        <v>1986</v>
      </c>
      <c r="I286" t="s">
        <v>58</v>
      </c>
      <c r="J286" t="s">
        <v>61</v>
      </c>
      <c r="K286" t="s">
        <v>61</v>
      </c>
      <c r="L286" t="s">
        <v>58</v>
      </c>
      <c r="M286" t="s">
        <v>58</v>
      </c>
      <c r="Q286" t="s">
        <v>132</v>
      </c>
      <c r="R286" s="11" t="str">
        <f>HYPERLINK("\\imagefiles.bcgov\imagery\scanned_maps\moe_terrain_maps\Scanned_T_maps_all\B04\B04-5137","\\imagefiles.bcgov\imagery\scanned_maps\moe_terrain_maps\Scanned_T_maps_all\B04\B04-5137")</f>
        <v>\\imagefiles.bcgov\imagery\scanned_maps\moe_terrain_maps\Scanned_T_maps_all\B04\B04-5137</v>
      </c>
      <c r="S286" t="s">
        <v>62</v>
      </c>
      <c r="T286" s="11" t="str">
        <f>HYPERLINK("http://www.env.gov.bc.ca/esd/distdata/ecosystems/TEI_Scanned_Maps/B04/B04-5137","http://www.env.gov.bc.ca/esd/distdata/ecosystems/TEI_Scanned_Maps/B04/B04-5137")</f>
        <v>http://www.env.gov.bc.ca/esd/distdata/ecosystems/TEI_Scanned_Maps/B04/B04-5137</v>
      </c>
      <c r="U286" t="s">
        <v>58</v>
      </c>
      <c r="V286" t="s">
        <v>58</v>
      </c>
      <c r="W286" t="s">
        <v>58</v>
      </c>
      <c r="X286" t="s">
        <v>58</v>
      </c>
      <c r="Y286" t="s">
        <v>58</v>
      </c>
      <c r="Z286" t="s">
        <v>58</v>
      </c>
      <c r="AA286" t="s">
        <v>58</v>
      </c>
      <c r="AC286" t="s">
        <v>58</v>
      </c>
      <c r="AE286" t="s">
        <v>58</v>
      </c>
      <c r="AG286" t="s">
        <v>63</v>
      </c>
      <c r="AH286" s="11" t="str">
        <f t="shared" si="6"/>
        <v>mailto: soilterrain@victoria1.gov.bc.ca</v>
      </c>
    </row>
    <row r="287" spans="1:34">
      <c r="A287" t="s">
        <v>819</v>
      </c>
      <c r="B287" t="s">
        <v>56</v>
      </c>
      <c r="C287" s="10" t="s">
        <v>820</v>
      </c>
      <c r="D287" t="s">
        <v>61</v>
      </c>
      <c r="E287" t="s">
        <v>759</v>
      </c>
      <c r="F287" t="s">
        <v>821</v>
      </c>
      <c r="G287">
        <v>5000</v>
      </c>
      <c r="H287">
        <v>1986</v>
      </c>
      <c r="I287" t="s">
        <v>58</v>
      </c>
      <c r="J287" t="s">
        <v>61</v>
      </c>
      <c r="K287" t="s">
        <v>61</v>
      </c>
      <c r="L287" t="s">
        <v>58</v>
      </c>
      <c r="M287" t="s">
        <v>58</v>
      </c>
      <c r="Q287" t="s">
        <v>132</v>
      </c>
      <c r="R287" s="11" t="str">
        <f>HYPERLINK("\\imagefiles.bcgov\imagery\scanned_maps\moe_terrain_maps\Scanned_T_maps_all\B04\B04-5138","\\imagefiles.bcgov\imagery\scanned_maps\moe_terrain_maps\Scanned_T_maps_all\B04\B04-5138")</f>
        <v>\\imagefiles.bcgov\imagery\scanned_maps\moe_terrain_maps\Scanned_T_maps_all\B04\B04-5138</v>
      </c>
      <c r="S287" t="s">
        <v>62</v>
      </c>
      <c r="T287" s="11" t="str">
        <f>HYPERLINK("http://www.env.gov.bc.ca/esd/distdata/ecosystems/TEI_Scanned_Maps/B04/B04-5138","http://www.env.gov.bc.ca/esd/distdata/ecosystems/TEI_Scanned_Maps/B04/B04-5138")</f>
        <v>http://www.env.gov.bc.ca/esd/distdata/ecosystems/TEI_Scanned_Maps/B04/B04-5138</v>
      </c>
      <c r="U287" t="s">
        <v>58</v>
      </c>
      <c r="V287" t="s">
        <v>58</v>
      </c>
      <c r="W287" t="s">
        <v>58</v>
      </c>
      <c r="X287" t="s">
        <v>58</v>
      </c>
      <c r="Y287" t="s">
        <v>58</v>
      </c>
      <c r="Z287" t="s">
        <v>58</v>
      </c>
      <c r="AA287" t="s">
        <v>58</v>
      </c>
      <c r="AC287" t="s">
        <v>58</v>
      </c>
      <c r="AE287" t="s">
        <v>58</v>
      </c>
      <c r="AG287" t="s">
        <v>63</v>
      </c>
      <c r="AH287" s="11" t="str">
        <f t="shared" si="6"/>
        <v>mailto: soilterrain@victoria1.gov.bc.ca</v>
      </c>
    </row>
    <row r="288" spans="1:34">
      <c r="A288" t="s">
        <v>822</v>
      </c>
      <c r="B288" t="s">
        <v>56</v>
      </c>
      <c r="C288" s="10" t="s">
        <v>820</v>
      </c>
      <c r="D288" t="s">
        <v>61</v>
      </c>
      <c r="E288" t="s">
        <v>759</v>
      </c>
      <c r="F288" t="s">
        <v>823</v>
      </c>
      <c r="G288">
        <v>5000</v>
      </c>
      <c r="H288">
        <v>1986</v>
      </c>
      <c r="I288" t="s">
        <v>58</v>
      </c>
      <c r="J288" t="s">
        <v>61</v>
      </c>
      <c r="K288" t="s">
        <v>61</v>
      </c>
      <c r="L288" t="s">
        <v>58</v>
      </c>
      <c r="M288" t="s">
        <v>58</v>
      </c>
      <c r="Q288" t="s">
        <v>132</v>
      </c>
      <c r="R288" s="11" t="str">
        <f>HYPERLINK("\\imagefiles.bcgov\imagery\scanned_maps\moe_terrain_maps\Scanned_T_maps_all\B04\B04-5139","\\imagefiles.bcgov\imagery\scanned_maps\moe_terrain_maps\Scanned_T_maps_all\B04\B04-5139")</f>
        <v>\\imagefiles.bcgov\imagery\scanned_maps\moe_terrain_maps\Scanned_T_maps_all\B04\B04-5139</v>
      </c>
      <c r="S288" t="s">
        <v>62</v>
      </c>
      <c r="T288" s="11" t="str">
        <f>HYPERLINK("http://www.env.gov.bc.ca/esd/distdata/ecosystems/TEI_Scanned_Maps/B04/B04-5139","http://www.env.gov.bc.ca/esd/distdata/ecosystems/TEI_Scanned_Maps/B04/B04-5139")</f>
        <v>http://www.env.gov.bc.ca/esd/distdata/ecosystems/TEI_Scanned_Maps/B04/B04-5139</v>
      </c>
      <c r="U288" t="s">
        <v>58</v>
      </c>
      <c r="V288" t="s">
        <v>58</v>
      </c>
      <c r="W288" t="s">
        <v>58</v>
      </c>
      <c r="X288" t="s">
        <v>58</v>
      </c>
      <c r="Y288" t="s">
        <v>58</v>
      </c>
      <c r="Z288" t="s">
        <v>58</v>
      </c>
      <c r="AA288" t="s">
        <v>58</v>
      </c>
      <c r="AC288" t="s">
        <v>58</v>
      </c>
      <c r="AE288" t="s">
        <v>58</v>
      </c>
      <c r="AG288" t="s">
        <v>63</v>
      </c>
      <c r="AH288" s="11" t="str">
        <f t="shared" si="6"/>
        <v>mailto: soilterrain@victoria1.gov.bc.ca</v>
      </c>
    </row>
    <row r="289" spans="1:34">
      <c r="A289" t="s">
        <v>824</v>
      </c>
      <c r="B289" t="s">
        <v>56</v>
      </c>
      <c r="C289" s="10" t="s">
        <v>820</v>
      </c>
      <c r="D289" t="s">
        <v>61</v>
      </c>
      <c r="E289" t="s">
        <v>759</v>
      </c>
      <c r="F289" t="s">
        <v>825</v>
      </c>
      <c r="G289">
        <v>5000</v>
      </c>
      <c r="H289">
        <v>1986</v>
      </c>
      <c r="I289" t="s">
        <v>58</v>
      </c>
      <c r="J289" t="s">
        <v>61</v>
      </c>
      <c r="K289" t="s">
        <v>61</v>
      </c>
      <c r="L289" t="s">
        <v>58</v>
      </c>
      <c r="M289" t="s">
        <v>58</v>
      </c>
      <c r="Q289" t="s">
        <v>132</v>
      </c>
      <c r="R289" s="11" t="str">
        <f>HYPERLINK("\\imagefiles.bcgov\imagery\scanned_maps\moe_terrain_maps\Scanned_T_maps_all\B04\B04-5140","\\imagefiles.bcgov\imagery\scanned_maps\moe_terrain_maps\Scanned_T_maps_all\B04\B04-5140")</f>
        <v>\\imagefiles.bcgov\imagery\scanned_maps\moe_terrain_maps\Scanned_T_maps_all\B04\B04-5140</v>
      </c>
      <c r="S289" t="s">
        <v>62</v>
      </c>
      <c r="T289" s="11" t="str">
        <f>HYPERLINK("http://www.env.gov.bc.ca/esd/distdata/ecosystems/TEI_Scanned_Maps/B04/B04-5140","http://www.env.gov.bc.ca/esd/distdata/ecosystems/TEI_Scanned_Maps/B04/B04-5140")</f>
        <v>http://www.env.gov.bc.ca/esd/distdata/ecosystems/TEI_Scanned_Maps/B04/B04-5140</v>
      </c>
      <c r="U289" t="s">
        <v>58</v>
      </c>
      <c r="V289" t="s">
        <v>58</v>
      </c>
      <c r="W289" t="s">
        <v>58</v>
      </c>
      <c r="X289" t="s">
        <v>58</v>
      </c>
      <c r="Y289" t="s">
        <v>58</v>
      </c>
      <c r="Z289" t="s">
        <v>58</v>
      </c>
      <c r="AA289" t="s">
        <v>58</v>
      </c>
      <c r="AC289" t="s">
        <v>58</v>
      </c>
      <c r="AE289" t="s">
        <v>58</v>
      </c>
      <c r="AG289" t="s">
        <v>63</v>
      </c>
      <c r="AH289" s="11" t="str">
        <f t="shared" si="6"/>
        <v>mailto: soilterrain@victoria1.gov.bc.ca</v>
      </c>
    </row>
    <row r="290" spans="1:34">
      <c r="A290" t="s">
        <v>826</v>
      </c>
      <c r="B290" t="s">
        <v>56</v>
      </c>
      <c r="C290" s="10" t="s">
        <v>820</v>
      </c>
      <c r="D290" t="s">
        <v>61</v>
      </c>
      <c r="E290" t="s">
        <v>759</v>
      </c>
      <c r="F290" t="s">
        <v>827</v>
      </c>
      <c r="G290">
        <v>5000</v>
      </c>
      <c r="H290">
        <v>1986</v>
      </c>
      <c r="I290" t="s">
        <v>58</v>
      </c>
      <c r="J290" t="s">
        <v>61</v>
      </c>
      <c r="K290" t="s">
        <v>61</v>
      </c>
      <c r="L290" t="s">
        <v>58</v>
      </c>
      <c r="M290" t="s">
        <v>58</v>
      </c>
      <c r="Q290" t="s">
        <v>132</v>
      </c>
      <c r="R290" s="11" t="str">
        <f>HYPERLINK("\\imagefiles.bcgov\imagery\scanned_maps\moe_terrain_maps\Scanned_T_maps_all\B04\B04-5141","\\imagefiles.bcgov\imagery\scanned_maps\moe_terrain_maps\Scanned_T_maps_all\B04\B04-5141")</f>
        <v>\\imagefiles.bcgov\imagery\scanned_maps\moe_terrain_maps\Scanned_T_maps_all\B04\B04-5141</v>
      </c>
      <c r="S290" t="s">
        <v>62</v>
      </c>
      <c r="T290" s="11" t="str">
        <f>HYPERLINK("http://www.env.gov.bc.ca/esd/distdata/ecosystems/TEI_Scanned_Maps/B04/B04-5141","http://www.env.gov.bc.ca/esd/distdata/ecosystems/TEI_Scanned_Maps/B04/B04-5141")</f>
        <v>http://www.env.gov.bc.ca/esd/distdata/ecosystems/TEI_Scanned_Maps/B04/B04-5141</v>
      </c>
      <c r="U290" t="s">
        <v>58</v>
      </c>
      <c r="V290" t="s">
        <v>58</v>
      </c>
      <c r="W290" t="s">
        <v>58</v>
      </c>
      <c r="X290" t="s">
        <v>58</v>
      </c>
      <c r="Y290" t="s">
        <v>58</v>
      </c>
      <c r="Z290" t="s">
        <v>58</v>
      </c>
      <c r="AA290" t="s">
        <v>58</v>
      </c>
      <c r="AC290" t="s">
        <v>58</v>
      </c>
      <c r="AE290" t="s">
        <v>58</v>
      </c>
      <c r="AG290" t="s">
        <v>63</v>
      </c>
      <c r="AH290" s="11" t="str">
        <f t="shared" si="6"/>
        <v>mailto: soilterrain@victoria1.gov.bc.ca</v>
      </c>
    </row>
    <row r="291" spans="1:34">
      <c r="A291" t="s">
        <v>828</v>
      </c>
      <c r="B291" t="s">
        <v>56</v>
      </c>
      <c r="C291" s="10" t="s">
        <v>829</v>
      </c>
      <c r="D291" t="s">
        <v>61</v>
      </c>
      <c r="E291" t="s">
        <v>759</v>
      </c>
      <c r="F291" t="s">
        <v>830</v>
      </c>
      <c r="G291">
        <v>5000</v>
      </c>
      <c r="H291">
        <v>1986</v>
      </c>
      <c r="I291" t="s">
        <v>58</v>
      </c>
      <c r="J291" t="s">
        <v>61</v>
      </c>
      <c r="K291" t="s">
        <v>61</v>
      </c>
      <c r="L291" t="s">
        <v>58</v>
      </c>
      <c r="M291" t="s">
        <v>58</v>
      </c>
      <c r="Q291" t="s">
        <v>132</v>
      </c>
      <c r="R291" s="11" t="str">
        <f>HYPERLINK("\\imagefiles.bcgov\imagery\scanned_maps\moe_terrain_maps\Scanned_T_maps_all\B04\B04-5142","\\imagefiles.bcgov\imagery\scanned_maps\moe_terrain_maps\Scanned_T_maps_all\B04\B04-5142")</f>
        <v>\\imagefiles.bcgov\imagery\scanned_maps\moe_terrain_maps\Scanned_T_maps_all\B04\B04-5142</v>
      </c>
      <c r="S291" t="s">
        <v>62</v>
      </c>
      <c r="T291" s="11" t="str">
        <f>HYPERLINK("http://www.env.gov.bc.ca/esd/distdata/ecosystems/TEI_Scanned_Maps/B04/B04-5142","http://www.env.gov.bc.ca/esd/distdata/ecosystems/TEI_Scanned_Maps/B04/B04-5142")</f>
        <v>http://www.env.gov.bc.ca/esd/distdata/ecosystems/TEI_Scanned_Maps/B04/B04-5142</v>
      </c>
      <c r="U291" t="s">
        <v>58</v>
      </c>
      <c r="V291" t="s">
        <v>58</v>
      </c>
      <c r="W291" t="s">
        <v>58</v>
      </c>
      <c r="X291" t="s">
        <v>58</v>
      </c>
      <c r="Y291" t="s">
        <v>58</v>
      </c>
      <c r="Z291" t="s">
        <v>58</v>
      </c>
      <c r="AA291" t="s">
        <v>58</v>
      </c>
      <c r="AC291" t="s">
        <v>58</v>
      </c>
      <c r="AE291" t="s">
        <v>58</v>
      </c>
      <c r="AG291" t="s">
        <v>63</v>
      </c>
      <c r="AH291" s="11" t="str">
        <f t="shared" si="6"/>
        <v>mailto: soilterrain@victoria1.gov.bc.ca</v>
      </c>
    </row>
    <row r="292" spans="1:34">
      <c r="A292" t="s">
        <v>831</v>
      </c>
      <c r="B292" t="s">
        <v>56</v>
      </c>
      <c r="C292" s="10" t="s">
        <v>832</v>
      </c>
      <c r="D292" t="s">
        <v>61</v>
      </c>
      <c r="E292" t="s">
        <v>759</v>
      </c>
      <c r="F292" t="s">
        <v>833</v>
      </c>
      <c r="G292">
        <v>5000</v>
      </c>
      <c r="H292">
        <v>1986</v>
      </c>
      <c r="I292" t="s">
        <v>58</v>
      </c>
      <c r="J292" t="s">
        <v>61</v>
      </c>
      <c r="K292" t="s">
        <v>61</v>
      </c>
      <c r="L292" t="s">
        <v>58</v>
      </c>
      <c r="M292" t="s">
        <v>58</v>
      </c>
      <c r="Q292" t="s">
        <v>132</v>
      </c>
      <c r="R292" s="11" t="str">
        <f>HYPERLINK("\\imagefiles.bcgov\imagery\scanned_maps\moe_terrain_maps\Scanned_T_maps_all\B04\B04-5143","\\imagefiles.bcgov\imagery\scanned_maps\moe_terrain_maps\Scanned_T_maps_all\B04\B04-5143")</f>
        <v>\\imagefiles.bcgov\imagery\scanned_maps\moe_terrain_maps\Scanned_T_maps_all\B04\B04-5143</v>
      </c>
      <c r="S292" t="s">
        <v>62</v>
      </c>
      <c r="T292" s="11" t="str">
        <f>HYPERLINK("http://www.env.gov.bc.ca/esd/distdata/ecosystems/TEI_Scanned_Maps/B04/B04-5143","http://www.env.gov.bc.ca/esd/distdata/ecosystems/TEI_Scanned_Maps/B04/B04-5143")</f>
        <v>http://www.env.gov.bc.ca/esd/distdata/ecosystems/TEI_Scanned_Maps/B04/B04-5143</v>
      </c>
      <c r="U292" t="s">
        <v>58</v>
      </c>
      <c r="V292" t="s">
        <v>58</v>
      </c>
      <c r="W292" t="s">
        <v>58</v>
      </c>
      <c r="X292" t="s">
        <v>58</v>
      </c>
      <c r="Y292" t="s">
        <v>58</v>
      </c>
      <c r="Z292" t="s">
        <v>58</v>
      </c>
      <c r="AA292" t="s">
        <v>58</v>
      </c>
      <c r="AC292" t="s">
        <v>58</v>
      </c>
      <c r="AE292" t="s">
        <v>58</v>
      </c>
      <c r="AG292" t="s">
        <v>63</v>
      </c>
      <c r="AH292" s="11" t="str">
        <f t="shared" si="6"/>
        <v>mailto: soilterrain@victoria1.gov.bc.ca</v>
      </c>
    </row>
    <row r="293" spans="1:34">
      <c r="A293" t="s">
        <v>834</v>
      </c>
      <c r="B293" t="s">
        <v>56</v>
      </c>
      <c r="C293" s="10" t="s">
        <v>832</v>
      </c>
      <c r="D293" t="s">
        <v>61</v>
      </c>
      <c r="E293" t="s">
        <v>759</v>
      </c>
      <c r="F293" t="s">
        <v>835</v>
      </c>
      <c r="G293">
        <v>5000</v>
      </c>
      <c r="H293">
        <v>1986</v>
      </c>
      <c r="I293" t="s">
        <v>58</v>
      </c>
      <c r="J293" t="s">
        <v>61</v>
      </c>
      <c r="K293" t="s">
        <v>61</v>
      </c>
      <c r="L293" t="s">
        <v>58</v>
      </c>
      <c r="M293" t="s">
        <v>58</v>
      </c>
      <c r="Q293" t="s">
        <v>132</v>
      </c>
      <c r="R293" s="11" t="str">
        <f>HYPERLINK("\\imagefiles.bcgov\imagery\scanned_maps\moe_terrain_maps\Scanned_T_maps_all\B04\B04-5144","\\imagefiles.bcgov\imagery\scanned_maps\moe_terrain_maps\Scanned_T_maps_all\B04\B04-5144")</f>
        <v>\\imagefiles.bcgov\imagery\scanned_maps\moe_terrain_maps\Scanned_T_maps_all\B04\B04-5144</v>
      </c>
      <c r="S293" t="s">
        <v>62</v>
      </c>
      <c r="T293" s="11" t="str">
        <f>HYPERLINK("http://www.env.gov.bc.ca/esd/distdata/ecosystems/TEI_Scanned_Maps/B04/B04-5144","http://www.env.gov.bc.ca/esd/distdata/ecosystems/TEI_Scanned_Maps/B04/B04-5144")</f>
        <v>http://www.env.gov.bc.ca/esd/distdata/ecosystems/TEI_Scanned_Maps/B04/B04-5144</v>
      </c>
      <c r="U293" t="s">
        <v>58</v>
      </c>
      <c r="V293" t="s">
        <v>58</v>
      </c>
      <c r="W293" t="s">
        <v>58</v>
      </c>
      <c r="X293" t="s">
        <v>58</v>
      </c>
      <c r="Y293" t="s">
        <v>58</v>
      </c>
      <c r="Z293" t="s">
        <v>58</v>
      </c>
      <c r="AA293" t="s">
        <v>58</v>
      </c>
      <c r="AC293" t="s">
        <v>58</v>
      </c>
      <c r="AE293" t="s">
        <v>58</v>
      </c>
      <c r="AG293" t="s">
        <v>63</v>
      </c>
      <c r="AH293" s="11" t="str">
        <f t="shared" si="6"/>
        <v>mailto: soilterrain@victoria1.gov.bc.ca</v>
      </c>
    </row>
    <row r="294" spans="1:34">
      <c r="A294" t="s">
        <v>836</v>
      </c>
      <c r="B294" t="s">
        <v>56</v>
      </c>
      <c r="C294" s="10" t="s">
        <v>832</v>
      </c>
      <c r="D294" t="s">
        <v>61</v>
      </c>
      <c r="E294" t="s">
        <v>759</v>
      </c>
      <c r="F294" t="s">
        <v>837</v>
      </c>
      <c r="G294">
        <v>5000</v>
      </c>
      <c r="H294">
        <v>1986</v>
      </c>
      <c r="I294" t="s">
        <v>58</v>
      </c>
      <c r="J294" t="s">
        <v>61</v>
      </c>
      <c r="K294" t="s">
        <v>61</v>
      </c>
      <c r="L294" t="s">
        <v>58</v>
      </c>
      <c r="M294" t="s">
        <v>58</v>
      </c>
      <c r="Q294" t="s">
        <v>132</v>
      </c>
      <c r="R294" s="11" t="str">
        <f>HYPERLINK("\\imagefiles.bcgov\imagery\scanned_maps\moe_terrain_maps\Scanned_T_maps_all\B04\B04-5145","\\imagefiles.bcgov\imagery\scanned_maps\moe_terrain_maps\Scanned_T_maps_all\B04\B04-5145")</f>
        <v>\\imagefiles.bcgov\imagery\scanned_maps\moe_terrain_maps\Scanned_T_maps_all\B04\B04-5145</v>
      </c>
      <c r="S294" t="s">
        <v>62</v>
      </c>
      <c r="T294" s="11" t="str">
        <f>HYPERLINK("http://www.env.gov.bc.ca/esd/distdata/ecosystems/TEI_Scanned_Maps/B04/B04-5145","http://www.env.gov.bc.ca/esd/distdata/ecosystems/TEI_Scanned_Maps/B04/B04-5145")</f>
        <v>http://www.env.gov.bc.ca/esd/distdata/ecosystems/TEI_Scanned_Maps/B04/B04-5145</v>
      </c>
      <c r="U294" t="s">
        <v>58</v>
      </c>
      <c r="V294" t="s">
        <v>58</v>
      </c>
      <c r="W294" t="s">
        <v>58</v>
      </c>
      <c r="X294" t="s">
        <v>58</v>
      </c>
      <c r="Y294" t="s">
        <v>58</v>
      </c>
      <c r="Z294" t="s">
        <v>58</v>
      </c>
      <c r="AA294" t="s">
        <v>58</v>
      </c>
      <c r="AC294" t="s">
        <v>58</v>
      </c>
      <c r="AE294" t="s">
        <v>58</v>
      </c>
      <c r="AG294" t="s">
        <v>63</v>
      </c>
      <c r="AH294" s="11" t="str">
        <f t="shared" si="6"/>
        <v>mailto: soilterrain@victoria1.gov.bc.ca</v>
      </c>
    </row>
    <row r="295" spans="1:34">
      <c r="A295" t="s">
        <v>838</v>
      </c>
      <c r="B295" t="s">
        <v>56</v>
      </c>
      <c r="C295" s="10" t="s">
        <v>839</v>
      </c>
      <c r="D295" t="s">
        <v>61</v>
      </c>
      <c r="E295" t="s">
        <v>759</v>
      </c>
      <c r="F295" t="s">
        <v>840</v>
      </c>
      <c r="G295">
        <v>5000</v>
      </c>
      <c r="H295">
        <v>1986</v>
      </c>
      <c r="I295" t="s">
        <v>58</v>
      </c>
      <c r="J295" t="s">
        <v>61</v>
      </c>
      <c r="K295" t="s">
        <v>61</v>
      </c>
      <c r="L295" t="s">
        <v>58</v>
      </c>
      <c r="M295" t="s">
        <v>58</v>
      </c>
      <c r="Q295" t="s">
        <v>132</v>
      </c>
      <c r="R295" s="11" t="str">
        <f>HYPERLINK("\\imagefiles.bcgov\imagery\scanned_maps\moe_terrain_maps\Scanned_T_maps_all\B04\B04-5146","\\imagefiles.bcgov\imagery\scanned_maps\moe_terrain_maps\Scanned_T_maps_all\B04\B04-5146")</f>
        <v>\\imagefiles.bcgov\imagery\scanned_maps\moe_terrain_maps\Scanned_T_maps_all\B04\B04-5146</v>
      </c>
      <c r="S295" t="s">
        <v>62</v>
      </c>
      <c r="T295" s="11" t="str">
        <f>HYPERLINK("http://www.env.gov.bc.ca/esd/distdata/ecosystems/TEI_Scanned_Maps/B04/B04-5146","http://www.env.gov.bc.ca/esd/distdata/ecosystems/TEI_Scanned_Maps/B04/B04-5146")</f>
        <v>http://www.env.gov.bc.ca/esd/distdata/ecosystems/TEI_Scanned_Maps/B04/B04-5146</v>
      </c>
      <c r="U295" t="s">
        <v>58</v>
      </c>
      <c r="V295" t="s">
        <v>58</v>
      </c>
      <c r="W295" t="s">
        <v>58</v>
      </c>
      <c r="X295" t="s">
        <v>58</v>
      </c>
      <c r="Y295" t="s">
        <v>58</v>
      </c>
      <c r="Z295" t="s">
        <v>58</v>
      </c>
      <c r="AA295" t="s">
        <v>58</v>
      </c>
      <c r="AC295" t="s">
        <v>58</v>
      </c>
      <c r="AE295" t="s">
        <v>58</v>
      </c>
      <c r="AG295" t="s">
        <v>63</v>
      </c>
      <c r="AH295" s="11" t="str">
        <f t="shared" si="6"/>
        <v>mailto: soilterrain@victoria1.gov.bc.ca</v>
      </c>
    </row>
    <row r="296" spans="1:34">
      <c r="A296" t="s">
        <v>841</v>
      </c>
      <c r="B296" t="s">
        <v>56</v>
      </c>
      <c r="C296" s="10" t="s">
        <v>839</v>
      </c>
      <c r="D296" t="s">
        <v>61</v>
      </c>
      <c r="E296" t="s">
        <v>759</v>
      </c>
      <c r="F296" t="s">
        <v>842</v>
      </c>
      <c r="G296">
        <v>5000</v>
      </c>
      <c r="H296">
        <v>1986</v>
      </c>
      <c r="I296" t="s">
        <v>58</v>
      </c>
      <c r="J296" t="s">
        <v>61</v>
      </c>
      <c r="K296" t="s">
        <v>61</v>
      </c>
      <c r="L296" t="s">
        <v>58</v>
      </c>
      <c r="M296" t="s">
        <v>58</v>
      </c>
      <c r="Q296" t="s">
        <v>132</v>
      </c>
      <c r="R296" s="11" t="str">
        <f>HYPERLINK("\\imagefiles.bcgov\imagery\scanned_maps\moe_terrain_maps\Scanned_T_maps_all\B04\B04-5147","\\imagefiles.bcgov\imagery\scanned_maps\moe_terrain_maps\Scanned_T_maps_all\B04\B04-5147")</f>
        <v>\\imagefiles.bcgov\imagery\scanned_maps\moe_terrain_maps\Scanned_T_maps_all\B04\B04-5147</v>
      </c>
      <c r="S296" t="s">
        <v>62</v>
      </c>
      <c r="T296" s="11" t="str">
        <f>HYPERLINK("http://www.env.gov.bc.ca/esd/distdata/ecosystems/TEI_Scanned_Maps/B04/B04-5147","http://www.env.gov.bc.ca/esd/distdata/ecosystems/TEI_Scanned_Maps/B04/B04-5147")</f>
        <v>http://www.env.gov.bc.ca/esd/distdata/ecosystems/TEI_Scanned_Maps/B04/B04-5147</v>
      </c>
      <c r="U296" t="s">
        <v>58</v>
      </c>
      <c r="V296" t="s">
        <v>58</v>
      </c>
      <c r="W296" t="s">
        <v>58</v>
      </c>
      <c r="X296" t="s">
        <v>58</v>
      </c>
      <c r="Y296" t="s">
        <v>58</v>
      </c>
      <c r="Z296" t="s">
        <v>58</v>
      </c>
      <c r="AA296" t="s">
        <v>58</v>
      </c>
      <c r="AC296" t="s">
        <v>58</v>
      </c>
      <c r="AE296" t="s">
        <v>58</v>
      </c>
      <c r="AG296" t="s">
        <v>63</v>
      </c>
      <c r="AH296" s="11" t="str">
        <f t="shared" si="6"/>
        <v>mailto: soilterrain@victoria1.gov.bc.ca</v>
      </c>
    </row>
    <row r="297" spans="1:34">
      <c r="A297" t="s">
        <v>843</v>
      </c>
      <c r="B297" t="s">
        <v>56</v>
      </c>
      <c r="C297" s="10" t="s">
        <v>839</v>
      </c>
      <c r="D297" t="s">
        <v>61</v>
      </c>
      <c r="E297" t="s">
        <v>759</v>
      </c>
      <c r="F297" t="s">
        <v>844</v>
      </c>
      <c r="G297">
        <v>5000</v>
      </c>
      <c r="H297">
        <v>1986</v>
      </c>
      <c r="I297" t="s">
        <v>58</v>
      </c>
      <c r="J297" t="s">
        <v>61</v>
      </c>
      <c r="K297" t="s">
        <v>61</v>
      </c>
      <c r="L297" t="s">
        <v>58</v>
      </c>
      <c r="M297" t="s">
        <v>58</v>
      </c>
      <c r="Q297" t="s">
        <v>132</v>
      </c>
      <c r="R297" s="11" t="str">
        <f>HYPERLINK("\\imagefiles.bcgov\imagery\scanned_maps\moe_terrain_maps\Scanned_T_maps_all\B04\B04-5148","\\imagefiles.bcgov\imagery\scanned_maps\moe_terrain_maps\Scanned_T_maps_all\B04\B04-5148")</f>
        <v>\\imagefiles.bcgov\imagery\scanned_maps\moe_terrain_maps\Scanned_T_maps_all\B04\B04-5148</v>
      </c>
      <c r="S297" t="s">
        <v>62</v>
      </c>
      <c r="T297" s="11" t="str">
        <f>HYPERLINK("http://www.env.gov.bc.ca/esd/distdata/ecosystems/TEI_Scanned_Maps/B04/B04-5148","http://www.env.gov.bc.ca/esd/distdata/ecosystems/TEI_Scanned_Maps/B04/B04-5148")</f>
        <v>http://www.env.gov.bc.ca/esd/distdata/ecosystems/TEI_Scanned_Maps/B04/B04-5148</v>
      </c>
      <c r="U297" t="s">
        <v>58</v>
      </c>
      <c r="V297" t="s">
        <v>58</v>
      </c>
      <c r="W297" t="s">
        <v>58</v>
      </c>
      <c r="X297" t="s">
        <v>58</v>
      </c>
      <c r="Y297" t="s">
        <v>58</v>
      </c>
      <c r="Z297" t="s">
        <v>58</v>
      </c>
      <c r="AA297" t="s">
        <v>58</v>
      </c>
      <c r="AC297" t="s">
        <v>58</v>
      </c>
      <c r="AE297" t="s">
        <v>58</v>
      </c>
      <c r="AG297" t="s">
        <v>63</v>
      </c>
      <c r="AH297" s="11" t="str">
        <f t="shared" si="6"/>
        <v>mailto: soilterrain@victoria1.gov.bc.ca</v>
      </c>
    </row>
    <row r="298" spans="1:34">
      <c r="A298" t="s">
        <v>845</v>
      </c>
      <c r="B298" t="s">
        <v>56</v>
      </c>
      <c r="C298" s="10" t="s">
        <v>839</v>
      </c>
      <c r="D298" t="s">
        <v>61</v>
      </c>
      <c r="E298" t="s">
        <v>759</v>
      </c>
      <c r="F298" t="s">
        <v>846</v>
      </c>
      <c r="G298">
        <v>5000</v>
      </c>
      <c r="H298">
        <v>1986</v>
      </c>
      <c r="I298" t="s">
        <v>58</v>
      </c>
      <c r="J298" t="s">
        <v>61</v>
      </c>
      <c r="K298" t="s">
        <v>61</v>
      </c>
      <c r="L298" t="s">
        <v>58</v>
      </c>
      <c r="M298" t="s">
        <v>58</v>
      </c>
      <c r="Q298" t="s">
        <v>132</v>
      </c>
      <c r="R298" s="11" t="str">
        <f>HYPERLINK("\\imagefiles.bcgov\imagery\scanned_maps\moe_terrain_maps\Scanned_T_maps_all\B04\B04-5149","\\imagefiles.bcgov\imagery\scanned_maps\moe_terrain_maps\Scanned_T_maps_all\B04\B04-5149")</f>
        <v>\\imagefiles.bcgov\imagery\scanned_maps\moe_terrain_maps\Scanned_T_maps_all\B04\B04-5149</v>
      </c>
      <c r="S298" t="s">
        <v>62</v>
      </c>
      <c r="T298" s="11" t="str">
        <f>HYPERLINK("http://www.env.gov.bc.ca/esd/distdata/ecosystems/TEI_Scanned_Maps/B04/B04-5149","http://www.env.gov.bc.ca/esd/distdata/ecosystems/TEI_Scanned_Maps/B04/B04-5149")</f>
        <v>http://www.env.gov.bc.ca/esd/distdata/ecosystems/TEI_Scanned_Maps/B04/B04-5149</v>
      </c>
      <c r="U298" t="s">
        <v>58</v>
      </c>
      <c r="V298" t="s">
        <v>58</v>
      </c>
      <c r="W298" t="s">
        <v>58</v>
      </c>
      <c r="X298" t="s">
        <v>58</v>
      </c>
      <c r="Y298" t="s">
        <v>58</v>
      </c>
      <c r="Z298" t="s">
        <v>58</v>
      </c>
      <c r="AA298" t="s">
        <v>58</v>
      </c>
      <c r="AC298" t="s">
        <v>58</v>
      </c>
      <c r="AE298" t="s">
        <v>58</v>
      </c>
      <c r="AG298" t="s">
        <v>63</v>
      </c>
      <c r="AH298" s="11" t="str">
        <f t="shared" si="6"/>
        <v>mailto: soilterrain@victoria1.gov.bc.ca</v>
      </c>
    </row>
    <row r="299" spans="1:34">
      <c r="A299" t="s">
        <v>847</v>
      </c>
      <c r="B299" t="s">
        <v>56</v>
      </c>
      <c r="C299" s="10" t="s">
        <v>797</v>
      </c>
      <c r="D299" t="s">
        <v>61</v>
      </c>
      <c r="E299" t="s">
        <v>759</v>
      </c>
      <c r="F299" t="s">
        <v>848</v>
      </c>
      <c r="G299">
        <v>5000</v>
      </c>
      <c r="H299">
        <v>1986</v>
      </c>
      <c r="I299" t="s">
        <v>58</v>
      </c>
      <c r="J299" t="s">
        <v>61</v>
      </c>
      <c r="K299" t="s">
        <v>61</v>
      </c>
      <c r="L299" t="s">
        <v>58</v>
      </c>
      <c r="M299" t="s">
        <v>58</v>
      </c>
      <c r="Q299" t="s">
        <v>132</v>
      </c>
      <c r="R299" s="11" t="str">
        <f>HYPERLINK("\\imagefiles.bcgov\imagery\scanned_maps\moe_terrain_maps\Scanned_T_maps_all\B04\B04-5150","\\imagefiles.bcgov\imagery\scanned_maps\moe_terrain_maps\Scanned_T_maps_all\B04\B04-5150")</f>
        <v>\\imagefiles.bcgov\imagery\scanned_maps\moe_terrain_maps\Scanned_T_maps_all\B04\B04-5150</v>
      </c>
      <c r="S299" t="s">
        <v>62</v>
      </c>
      <c r="T299" s="11" t="str">
        <f>HYPERLINK("http://www.env.gov.bc.ca/esd/distdata/ecosystems/TEI_Scanned_Maps/B04/B04-5150","http://www.env.gov.bc.ca/esd/distdata/ecosystems/TEI_Scanned_Maps/B04/B04-5150")</f>
        <v>http://www.env.gov.bc.ca/esd/distdata/ecosystems/TEI_Scanned_Maps/B04/B04-5150</v>
      </c>
      <c r="U299" t="s">
        <v>58</v>
      </c>
      <c r="V299" t="s">
        <v>58</v>
      </c>
      <c r="W299" t="s">
        <v>58</v>
      </c>
      <c r="X299" t="s">
        <v>58</v>
      </c>
      <c r="Y299" t="s">
        <v>58</v>
      </c>
      <c r="Z299" t="s">
        <v>58</v>
      </c>
      <c r="AA299" t="s">
        <v>58</v>
      </c>
      <c r="AC299" t="s">
        <v>58</v>
      </c>
      <c r="AE299" t="s">
        <v>58</v>
      </c>
      <c r="AG299" t="s">
        <v>63</v>
      </c>
      <c r="AH299" s="11" t="str">
        <f t="shared" si="6"/>
        <v>mailto: soilterrain@victoria1.gov.bc.ca</v>
      </c>
    </row>
    <row r="300" spans="1:34">
      <c r="A300" t="s">
        <v>849</v>
      </c>
      <c r="B300" t="s">
        <v>56</v>
      </c>
      <c r="C300" s="10" t="s">
        <v>797</v>
      </c>
      <c r="D300" t="s">
        <v>61</v>
      </c>
      <c r="E300" t="s">
        <v>759</v>
      </c>
      <c r="F300" t="s">
        <v>850</v>
      </c>
      <c r="G300">
        <v>5000</v>
      </c>
      <c r="H300">
        <v>1986</v>
      </c>
      <c r="I300" t="s">
        <v>58</v>
      </c>
      <c r="J300" t="s">
        <v>61</v>
      </c>
      <c r="K300" t="s">
        <v>61</v>
      </c>
      <c r="L300" t="s">
        <v>58</v>
      </c>
      <c r="M300" t="s">
        <v>58</v>
      </c>
      <c r="Q300" t="s">
        <v>132</v>
      </c>
      <c r="R300" s="11" t="str">
        <f>HYPERLINK("\\imagefiles.bcgov\imagery\scanned_maps\moe_terrain_maps\Scanned_T_maps_all\B04\B04-5151","\\imagefiles.bcgov\imagery\scanned_maps\moe_terrain_maps\Scanned_T_maps_all\B04\B04-5151")</f>
        <v>\\imagefiles.bcgov\imagery\scanned_maps\moe_terrain_maps\Scanned_T_maps_all\B04\B04-5151</v>
      </c>
      <c r="S300" t="s">
        <v>62</v>
      </c>
      <c r="T300" s="11" t="str">
        <f>HYPERLINK("http://www.env.gov.bc.ca/esd/distdata/ecosystems/TEI_Scanned_Maps/B04/B04-5151","http://www.env.gov.bc.ca/esd/distdata/ecosystems/TEI_Scanned_Maps/B04/B04-5151")</f>
        <v>http://www.env.gov.bc.ca/esd/distdata/ecosystems/TEI_Scanned_Maps/B04/B04-5151</v>
      </c>
      <c r="U300" t="s">
        <v>58</v>
      </c>
      <c r="V300" t="s">
        <v>58</v>
      </c>
      <c r="W300" t="s">
        <v>58</v>
      </c>
      <c r="X300" t="s">
        <v>58</v>
      </c>
      <c r="Y300" t="s">
        <v>58</v>
      </c>
      <c r="Z300" t="s">
        <v>58</v>
      </c>
      <c r="AA300" t="s">
        <v>58</v>
      </c>
      <c r="AC300" t="s">
        <v>58</v>
      </c>
      <c r="AE300" t="s">
        <v>58</v>
      </c>
      <c r="AG300" t="s">
        <v>63</v>
      </c>
      <c r="AH300" s="11" t="str">
        <f t="shared" si="6"/>
        <v>mailto: soilterrain@victoria1.gov.bc.ca</v>
      </c>
    </row>
    <row r="301" spans="1:34">
      <c r="A301" t="s">
        <v>851</v>
      </c>
      <c r="B301" t="s">
        <v>56</v>
      </c>
      <c r="C301" s="10" t="s">
        <v>852</v>
      </c>
      <c r="D301" t="s">
        <v>61</v>
      </c>
      <c r="E301" t="s">
        <v>759</v>
      </c>
      <c r="F301" t="s">
        <v>853</v>
      </c>
      <c r="G301">
        <v>5000</v>
      </c>
      <c r="H301">
        <v>1986</v>
      </c>
      <c r="I301" t="s">
        <v>58</v>
      </c>
      <c r="J301" t="s">
        <v>61</v>
      </c>
      <c r="K301" t="s">
        <v>61</v>
      </c>
      <c r="L301" t="s">
        <v>58</v>
      </c>
      <c r="M301" t="s">
        <v>58</v>
      </c>
      <c r="Q301" t="s">
        <v>132</v>
      </c>
      <c r="R301" s="11" t="str">
        <f>HYPERLINK("\\imagefiles.bcgov\imagery\scanned_maps\moe_terrain_maps\Scanned_T_maps_all\B04\B04-5152","\\imagefiles.bcgov\imagery\scanned_maps\moe_terrain_maps\Scanned_T_maps_all\B04\B04-5152")</f>
        <v>\\imagefiles.bcgov\imagery\scanned_maps\moe_terrain_maps\Scanned_T_maps_all\B04\B04-5152</v>
      </c>
      <c r="S301" t="s">
        <v>62</v>
      </c>
      <c r="T301" s="11" t="str">
        <f>HYPERLINK("http://www.env.gov.bc.ca/esd/distdata/ecosystems/TEI_Scanned_Maps/B04/B04-5152","http://www.env.gov.bc.ca/esd/distdata/ecosystems/TEI_Scanned_Maps/B04/B04-5152")</f>
        <v>http://www.env.gov.bc.ca/esd/distdata/ecosystems/TEI_Scanned_Maps/B04/B04-5152</v>
      </c>
      <c r="U301" t="s">
        <v>58</v>
      </c>
      <c r="V301" t="s">
        <v>58</v>
      </c>
      <c r="W301" t="s">
        <v>58</v>
      </c>
      <c r="X301" t="s">
        <v>58</v>
      </c>
      <c r="Y301" t="s">
        <v>58</v>
      </c>
      <c r="Z301" t="s">
        <v>58</v>
      </c>
      <c r="AA301" t="s">
        <v>58</v>
      </c>
      <c r="AC301" t="s">
        <v>58</v>
      </c>
      <c r="AE301" t="s">
        <v>58</v>
      </c>
      <c r="AG301" t="s">
        <v>63</v>
      </c>
      <c r="AH301" s="11" t="str">
        <f t="shared" si="6"/>
        <v>mailto: soilterrain@victoria1.gov.bc.ca</v>
      </c>
    </row>
    <row r="302" spans="1:34">
      <c r="A302" t="s">
        <v>854</v>
      </c>
      <c r="B302" t="s">
        <v>56</v>
      </c>
      <c r="C302" s="10" t="s">
        <v>852</v>
      </c>
      <c r="D302" t="s">
        <v>61</v>
      </c>
      <c r="E302" t="s">
        <v>759</v>
      </c>
      <c r="F302" t="s">
        <v>855</v>
      </c>
      <c r="G302">
        <v>5000</v>
      </c>
      <c r="H302">
        <v>1986</v>
      </c>
      <c r="I302" t="s">
        <v>58</v>
      </c>
      <c r="J302" t="s">
        <v>61</v>
      </c>
      <c r="K302" t="s">
        <v>61</v>
      </c>
      <c r="L302" t="s">
        <v>58</v>
      </c>
      <c r="M302" t="s">
        <v>58</v>
      </c>
      <c r="Q302" t="s">
        <v>132</v>
      </c>
      <c r="R302" s="11" t="str">
        <f>HYPERLINK("\\imagefiles.bcgov\imagery\scanned_maps\moe_terrain_maps\Scanned_T_maps_all\B04\B04-5153","\\imagefiles.bcgov\imagery\scanned_maps\moe_terrain_maps\Scanned_T_maps_all\B04\B04-5153")</f>
        <v>\\imagefiles.bcgov\imagery\scanned_maps\moe_terrain_maps\Scanned_T_maps_all\B04\B04-5153</v>
      </c>
      <c r="S302" t="s">
        <v>62</v>
      </c>
      <c r="T302" s="11" t="str">
        <f>HYPERLINK("http://www.env.gov.bc.ca/esd/distdata/ecosystems/TEI_Scanned_Maps/B04/B04-5153","http://www.env.gov.bc.ca/esd/distdata/ecosystems/TEI_Scanned_Maps/B04/B04-5153")</f>
        <v>http://www.env.gov.bc.ca/esd/distdata/ecosystems/TEI_Scanned_Maps/B04/B04-5153</v>
      </c>
      <c r="U302" t="s">
        <v>58</v>
      </c>
      <c r="V302" t="s">
        <v>58</v>
      </c>
      <c r="W302" t="s">
        <v>58</v>
      </c>
      <c r="X302" t="s">
        <v>58</v>
      </c>
      <c r="Y302" t="s">
        <v>58</v>
      </c>
      <c r="Z302" t="s">
        <v>58</v>
      </c>
      <c r="AA302" t="s">
        <v>58</v>
      </c>
      <c r="AC302" t="s">
        <v>58</v>
      </c>
      <c r="AE302" t="s">
        <v>58</v>
      </c>
      <c r="AG302" t="s">
        <v>63</v>
      </c>
      <c r="AH302" s="11" t="str">
        <f t="shared" si="6"/>
        <v>mailto: soilterrain@victoria1.gov.bc.ca</v>
      </c>
    </row>
    <row r="303" spans="1:34">
      <c r="A303" t="s">
        <v>856</v>
      </c>
      <c r="B303" t="s">
        <v>56</v>
      </c>
      <c r="C303" s="10" t="s">
        <v>857</v>
      </c>
      <c r="D303" t="s">
        <v>61</v>
      </c>
      <c r="E303" t="s">
        <v>759</v>
      </c>
      <c r="F303" t="s">
        <v>858</v>
      </c>
      <c r="G303">
        <v>5000</v>
      </c>
      <c r="H303">
        <v>1986</v>
      </c>
      <c r="I303" t="s">
        <v>58</v>
      </c>
      <c r="J303" t="s">
        <v>61</v>
      </c>
      <c r="K303" t="s">
        <v>61</v>
      </c>
      <c r="L303" t="s">
        <v>58</v>
      </c>
      <c r="M303" t="s">
        <v>58</v>
      </c>
      <c r="Q303" t="s">
        <v>132</v>
      </c>
      <c r="R303" s="11" t="str">
        <f>HYPERLINK("\\imagefiles.bcgov\imagery\scanned_maps\moe_terrain_maps\Scanned_T_maps_all\B04\B04-5154","\\imagefiles.bcgov\imagery\scanned_maps\moe_terrain_maps\Scanned_T_maps_all\B04\B04-5154")</f>
        <v>\\imagefiles.bcgov\imagery\scanned_maps\moe_terrain_maps\Scanned_T_maps_all\B04\B04-5154</v>
      </c>
      <c r="S303" t="s">
        <v>62</v>
      </c>
      <c r="T303" s="11" t="str">
        <f>HYPERLINK("http://www.env.gov.bc.ca/esd/distdata/ecosystems/TEI_Scanned_Maps/B04/B04-5154","http://www.env.gov.bc.ca/esd/distdata/ecosystems/TEI_Scanned_Maps/B04/B04-5154")</f>
        <v>http://www.env.gov.bc.ca/esd/distdata/ecosystems/TEI_Scanned_Maps/B04/B04-5154</v>
      </c>
      <c r="U303" t="s">
        <v>58</v>
      </c>
      <c r="V303" t="s">
        <v>58</v>
      </c>
      <c r="W303" t="s">
        <v>58</v>
      </c>
      <c r="X303" t="s">
        <v>58</v>
      </c>
      <c r="Y303" t="s">
        <v>58</v>
      </c>
      <c r="Z303" t="s">
        <v>58</v>
      </c>
      <c r="AA303" t="s">
        <v>58</v>
      </c>
      <c r="AC303" t="s">
        <v>58</v>
      </c>
      <c r="AE303" t="s">
        <v>58</v>
      </c>
      <c r="AG303" t="s">
        <v>63</v>
      </c>
      <c r="AH303" s="11" t="str">
        <f t="shared" si="6"/>
        <v>mailto: soilterrain@victoria1.gov.bc.ca</v>
      </c>
    </row>
    <row r="304" spans="1:34">
      <c r="A304" t="s">
        <v>859</v>
      </c>
      <c r="B304" t="s">
        <v>56</v>
      </c>
      <c r="C304" s="10" t="s">
        <v>852</v>
      </c>
      <c r="D304" t="s">
        <v>61</v>
      </c>
      <c r="E304" t="s">
        <v>759</v>
      </c>
      <c r="F304" t="s">
        <v>860</v>
      </c>
      <c r="G304">
        <v>5000</v>
      </c>
      <c r="H304">
        <v>1986</v>
      </c>
      <c r="I304" t="s">
        <v>58</v>
      </c>
      <c r="J304" t="s">
        <v>61</v>
      </c>
      <c r="K304" t="s">
        <v>61</v>
      </c>
      <c r="L304" t="s">
        <v>58</v>
      </c>
      <c r="M304" t="s">
        <v>58</v>
      </c>
      <c r="Q304" t="s">
        <v>132</v>
      </c>
      <c r="R304" s="11" t="str">
        <f>HYPERLINK("\\imagefiles.bcgov\imagery\scanned_maps\moe_terrain_maps\Scanned_T_maps_all\B04\B04-5155","\\imagefiles.bcgov\imagery\scanned_maps\moe_terrain_maps\Scanned_T_maps_all\B04\B04-5155")</f>
        <v>\\imagefiles.bcgov\imagery\scanned_maps\moe_terrain_maps\Scanned_T_maps_all\B04\B04-5155</v>
      </c>
      <c r="S304" t="s">
        <v>62</v>
      </c>
      <c r="T304" s="11" t="str">
        <f>HYPERLINK("http://www.env.gov.bc.ca/esd/distdata/ecosystems/TEI_Scanned_Maps/B04/B04-5155","http://www.env.gov.bc.ca/esd/distdata/ecosystems/TEI_Scanned_Maps/B04/B04-5155")</f>
        <v>http://www.env.gov.bc.ca/esd/distdata/ecosystems/TEI_Scanned_Maps/B04/B04-5155</v>
      </c>
      <c r="U304" t="s">
        <v>58</v>
      </c>
      <c r="V304" t="s">
        <v>58</v>
      </c>
      <c r="W304" t="s">
        <v>58</v>
      </c>
      <c r="X304" t="s">
        <v>58</v>
      </c>
      <c r="Y304" t="s">
        <v>58</v>
      </c>
      <c r="Z304" t="s">
        <v>58</v>
      </c>
      <c r="AA304" t="s">
        <v>58</v>
      </c>
      <c r="AC304" t="s">
        <v>58</v>
      </c>
      <c r="AE304" t="s">
        <v>58</v>
      </c>
      <c r="AG304" t="s">
        <v>63</v>
      </c>
      <c r="AH304" s="11" t="str">
        <f t="shared" si="6"/>
        <v>mailto: soilterrain@victoria1.gov.bc.ca</v>
      </c>
    </row>
    <row r="305" spans="1:34">
      <c r="A305" t="s">
        <v>861</v>
      </c>
      <c r="B305" t="s">
        <v>56</v>
      </c>
      <c r="C305" s="10" t="s">
        <v>862</v>
      </c>
      <c r="D305" t="s">
        <v>61</v>
      </c>
      <c r="E305" t="s">
        <v>759</v>
      </c>
      <c r="F305" t="s">
        <v>863</v>
      </c>
      <c r="G305">
        <v>5000</v>
      </c>
      <c r="H305">
        <v>1986</v>
      </c>
      <c r="I305" t="s">
        <v>58</v>
      </c>
      <c r="J305" t="s">
        <v>61</v>
      </c>
      <c r="K305" t="s">
        <v>61</v>
      </c>
      <c r="L305" t="s">
        <v>58</v>
      </c>
      <c r="M305" t="s">
        <v>58</v>
      </c>
      <c r="Q305" t="s">
        <v>132</v>
      </c>
      <c r="R305" s="11" t="str">
        <f>HYPERLINK("\\imagefiles.bcgov\imagery\scanned_maps\moe_terrain_maps\Scanned_T_maps_all\B04\B04-5156","\\imagefiles.bcgov\imagery\scanned_maps\moe_terrain_maps\Scanned_T_maps_all\B04\B04-5156")</f>
        <v>\\imagefiles.bcgov\imagery\scanned_maps\moe_terrain_maps\Scanned_T_maps_all\B04\B04-5156</v>
      </c>
      <c r="S305" t="s">
        <v>62</v>
      </c>
      <c r="T305" s="11" t="str">
        <f>HYPERLINK("http://www.env.gov.bc.ca/esd/distdata/ecosystems/TEI_Scanned_Maps/B04/B04-5156","http://www.env.gov.bc.ca/esd/distdata/ecosystems/TEI_Scanned_Maps/B04/B04-5156")</f>
        <v>http://www.env.gov.bc.ca/esd/distdata/ecosystems/TEI_Scanned_Maps/B04/B04-5156</v>
      </c>
      <c r="U305" t="s">
        <v>58</v>
      </c>
      <c r="V305" t="s">
        <v>58</v>
      </c>
      <c r="W305" t="s">
        <v>58</v>
      </c>
      <c r="X305" t="s">
        <v>58</v>
      </c>
      <c r="Y305" t="s">
        <v>58</v>
      </c>
      <c r="Z305" t="s">
        <v>58</v>
      </c>
      <c r="AA305" t="s">
        <v>58</v>
      </c>
      <c r="AC305" t="s">
        <v>58</v>
      </c>
      <c r="AE305" t="s">
        <v>58</v>
      </c>
      <c r="AG305" t="s">
        <v>63</v>
      </c>
      <c r="AH305" s="11" t="str">
        <f t="shared" si="6"/>
        <v>mailto: soilterrain@victoria1.gov.bc.ca</v>
      </c>
    </row>
    <row r="306" spans="1:34">
      <c r="A306" t="s">
        <v>864</v>
      </c>
      <c r="B306" t="s">
        <v>56</v>
      </c>
      <c r="C306" s="10" t="s">
        <v>862</v>
      </c>
      <c r="D306" t="s">
        <v>61</v>
      </c>
      <c r="E306" t="s">
        <v>759</v>
      </c>
      <c r="F306" t="s">
        <v>865</v>
      </c>
      <c r="G306">
        <v>5000</v>
      </c>
      <c r="H306">
        <v>1986</v>
      </c>
      <c r="I306" t="s">
        <v>58</v>
      </c>
      <c r="J306" t="s">
        <v>61</v>
      </c>
      <c r="K306" t="s">
        <v>61</v>
      </c>
      <c r="L306" t="s">
        <v>58</v>
      </c>
      <c r="M306" t="s">
        <v>58</v>
      </c>
      <c r="Q306" t="s">
        <v>132</v>
      </c>
      <c r="R306" s="11" t="str">
        <f>HYPERLINK("\\imagefiles.bcgov\imagery\scanned_maps\moe_terrain_maps\Scanned_T_maps_all\B04\B04-5157","\\imagefiles.bcgov\imagery\scanned_maps\moe_terrain_maps\Scanned_T_maps_all\B04\B04-5157")</f>
        <v>\\imagefiles.bcgov\imagery\scanned_maps\moe_terrain_maps\Scanned_T_maps_all\B04\B04-5157</v>
      </c>
      <c r="S306" t="s">
        <v>62</v>
      </c>
      <c r="T306" s="11" t="str">
        <f>HYPERLINK("http://www.env.gov.bc.ca/esd/distdata/ecosystems/TEI_Scanned_Maps/B04/B04-5157","http://www.env.gov.bc.ca/esd/distdata/ecosystems/TEI_Scanned_Maps/B04/B04-5157")</f>
        <v>http://www.env.gov.bc.ca/esd/distdata/ecosystems/TEI_Scanned_Maps/B04/B04-5157</v>
      </c>
      <c r="U306" t="s">
        <v>58</v>
      </c>
      <c r="V306" t="s">
        <v>58</v>
      </c>
      <c r="W306" t="s">
        <v>58</v>
      </c>
      <c r="X306" t="s">
        <v>58</v>
      </c>
      <c r="Y306" t="s">
        <v>58</v>
      </c>
      <c r="Z306" t="s">
        <v>58</v>
      </c>
      <c r="AA306" t="s">
        <v>58</v>
      </c>
      <c r="AC306" t="s">
        <v>58</v>
      </c>
      <c r="AE306" t="s">
        <v>58</v>
      </c>
      <c r="AG306" t="s">
        <v>63</v>
      </c>
      <c r="AH306" s="11" t="str">
        <f t="shared" si="6"/>
        <v>mailto: soilterrain@victoria1.gov.bc.ca</v>
      </c>
    </row>
    <row r="307" spans="1:34">
      <c r="A307" t="s">
        <v>866</v>
      </c>
      <c r="B307" t="s">
        <v>56</v>
      </c>
      <c r="C307" s="10" t="s">
        <v>867</v>
      </c>
      <c r="D307" t="s">
        <v>61</v>
      </c>
      <c r="E307" t="s">
        <v>759</v>
      </c>
      <c r="F307" t="s">
        <v>868</v>
      </c>
      <c r="G307">
        <v>5000</v>
      </c>
      <c r="H307">
        <v>1986</v>
      </c>
      <c r="I307" t="s">
        <v>58</v>
      </c>
      <c r="J307" t="s">
        <v>61</v>
      </c>
      <c r="K307" t="s">
        <v>61</v>
      </c>
      <c r="L307" t="s">
        <v>58</v>
      </c>
      <c r="M307" t="s">
        <v>58</v>
      </c>
      <c r="Q307" t="s">
        <v>132</v>
      </c>
      <c r="R307" s="11" t="str">
        <f>HYPERLINK("\\imagefiles.bcgov\imagery\scanned_maps\moe_terrain_maps\Scanned_T_maps_all\B04\B04-5158","\\imagefiles.bcgov\imagery\scanned_maps\moe_terrain_maps\Scanned_T_maps_all\B04\B04-5158")</f>
        <v>\\imagefiles.bcgov\imagery\scanned_maps\moe_terrain_maps\Scanned_T_maps_all\B04\B04-5158</v>
      </c>
      <c r="S307" t="s">
        <v>62</v>
      </c>
      <c r="T307" s="11" t="str">
        <f>HYPERLINK("http://www.env.gov.bc.ca/esd/distdata/ecosystems/TEI_Scanned_Maps/B04/B04-5158","http://www.env.gov.bc.ca/esd/distdata/ecosystems/TEI_Scanned_Maps/B04/B04-5158")</f>
        <v>http://www.env.gov.bc.ca/esd/distdata/ecosystems/TEI_Scanned_Maps/B04/B04-5158</v>
      </c>
      <c r="U307" t="s">
        <v>58</v>
      </c>
      <c r="V307" t="s">
        <v>58</v>
      </c>
      <c r="W307" t="s">
        <v>58</v>
      </c>
      <c r="X307" t="s">
        <v>58</v>
      </c>
      <c r="Y307" t="s">
        <v>58</v>
      </c>
      <c r="Z307" t="s">
        <v>58</v>
      </c>
      <c r="AA307" t="s">
        <v>58</v>
      </c>
      <c r="AC307" t="s">
        <v>58</v>
      </c>
      <c r="AE307" t="s">
        <v>58</v>
      </c>
      <c r="AG307" t="s">
        <v>63</v>
      </c>
      <c r="AH307" s="11" t="str">
        <f t="shared" si="6"/>
        <v>mailto: soilterrain@victoria1.gov.bc.ca</v>
      </c>
    </row>
    <row r="308" spans="1:34">
      <c r="A308" t="s">
        <v>869</v>
      </c>
      <c r="B308" t="s">
        <v>56</v>
      </c>
      <c r="C308" s="10" t="s">
        <v>862</v>
      </c>
      <c r="D308" t="s">
        <v>61</v>
      </c>
      <c r="E308" t="s">
        <v>759</v>
      </c>
      <c r="F308" t="s">
        <v>870</v>
      </c>
      <c r="G308">
        <v>5000</v>
      </c>
      <c r="H308">
        <v>1986</v>
      </c>
      <c r="I308" t="s">
        <v>58</v>
      </c>
      <c r="J308" t="s">
        <v>61</v>
      </c>
      <c r="K308" t="s">
        <v>61</v>
      </c>
      <c r="L308" t="s">
        <v>58</v>
      </c>
      <c r="M308" t="s">
        <v>58</v>
      </c>
      <c r="Q308" t="s">
        <v>132</v>
      </c>
      <c r="R308" s="11" t="str">
        <f>HYPERLINK("\\imagefiles.bcgov\imagery\scanned_maps\moe_terrain_maps\Scanned_T_maps_all\B04\B04-5159","\\imagefiles.bcgov\imagery\scanned_maps\moe_terrain_maps\Scanned_T_maps_all\B04\B04-5159")</f>
        <v>\\imagefiles.bcgov\imagery\scanned_maps\moe_terrain_maps\Scanned_T_maps_all\B04\B04-5159</v>
      </c>
      <c r="S308" t="s">
        <v>62</v>
      </c>
      <c r="T308" s="11" t="str">
        <f>HYPERLINK("http://www.env.gov.bc.ca/esd/distdata/ecosystems/TEI_Scanned_Maps/B04/B04-5159","http://www.env.gov.bc.ca/esd/distdata/ecosystems/TEI_Scanned_Maps/B04/B04-5159")</f>
        <v>http://www.env.gov.bc.ca/esd/distdata/ecosystems/TEI_Scanned_Maps/B04/B04-5159</v>
      </c>
      <c r="U308" t="s">
        <v>58</v>
      </c>
      <c r="V308" t="s">
        <v>58</v>
      </c>
      <c r="W308" t="s">
        <v>58</v>
      </c>
      <c r="X308" t="s">
        <v>58</v>
      </c>
      <c r="Y308" t="s">
        <v>58</v>
      </c>
      <c r="Z308" t="s">
        <v>58</v>
      </c>
      <c r="AA308" t="s">
        <v>58</v>
      </c>
      <c r="AC308" t="s">
        <v>58</v>
      </c>
      <c r="AE308" t="s">
        <v>58</v>
      </c>
      <c r="AG308" t="s">
        <v>63</v>
      </c>
      <c r="AH308" s="11" t="str">
        <f t="shared" si="6"/>
        <v>mailto: soilterrain@victoria1.gov.bc.ca</v>
      </c>
    </row>
    <row r="309" spans="1:34">
      <c r="A309" t="s">
        <v>871</v>
      </c>
      <c r="B309" t="s">
        <v>56</v>
      </c>
      <c r="C309" s="10" t="s">
        <v>867</v>
      </c>
      <c r="D309" t="s">
        <v>61</v>
      </c>
      <c r="E309" t="s">
        <v>759</v>
      </c>
      <c r="F309" t="s">
        <v>872</v>
      </c>
      <c r="G309">
        <v>5000</v>
      </c>
      <c r="H309">
        <v>1986</v>
      </c>
      <c r="I309" t="s">
        <v>58</v>
      </c>
      <c r="J309" t="s">
        <v>61</v>
      </c>
      <c r="K309" t="s">
        <v>61</v>
      </c>
      <c r="L309" t="s">
        <v>58</v>
      </c>
      <c r="M309" t="s">
        <v>58</v>
      </c>
      <c r="Q309" t="s">
        <v>132</v>
      </c>
      <c r="R309" s="11" t="str">
        <f>HYPERLINK("\\imagefiles.bcgov\imagery\scanned_maps\moe_terrain_maps\Scanned_T_maps_all\B04\B04-5160","\\imagefiles.bcgov\imagery\scanned_maps\moe_terrain_maps\Scanned_T_maps_all\B04\B04-5160")</f>
        <v>\\imagefiles.bcgov\imagery\scanned_maps\moe_terrain_maps\Scanned_T_maps_all\B04\B04-5160</v>
      </c>
      <c r="S309" t="s">
        <v>62</v>
      </c>
      <c r="T309" s="11" t="str">
        <f>HYPERLINK("http://www.env.gov.bc.ca/esd/distdata/ecosystems/TEI_Scanned_Maps/B04/B04-5160","http://www.env.gov.bc.ca/esd/distdata/ecosystems/TEI_Scanned_Maps/B04/B04-5160")</f>
        <v>http://www.env.gov.bc.ca/esd/distdata/ecosystems/TEI_Scanned_Maps/B04/B04-5160</v>
      </c>
      <c r="U309" t="s">
        <v>58</v>
      </c>
      <c r="V309" t="s">
        <v>58</v>
      </c>
      <c r="W309" t="s">
        <v>58</v>
      </c>
      <c r="X309" t="s">
        <v>58</v>
      </c>
      <c r="Y309" t="s">
        <v>58</v>
      </c>
      <c r="Z309" t="s">
        <v>58</v>
      </c>
      <c r="AA309" t="s">
        <v>58</v>
      </c>
      <c r="AC309" t="s">
        <v>58</v>
      </c>
      <c r="AE309" t="s">
        <v>58</v>
      </c>
      <c r="AG309" t="s">
        <v>63</v>
      </c>
      <c r="AH309" s="11" t="str">
        <f t="shared" si="6"/>
        <v>mailto: soilterrain@victoria1.gov.bc.ca</v>
      </c>
    </row>
    <row r="310" spans="1:34">
      <c r="A310" t="s">
        <v>873</v>
      </c>
      <c r="B310" t="s">
        <v>56</v>
      </c>
      <c r="C310" s="10" t="s">
        <v>867</v>
      </c>
      <c r="D310" t="s">
        <v>61</v>
      </c>
      <c r="E310" t="s">
        <v>759</v>
      </c>
      <c r="F310" t="s">
        <v>874</v>
      </c>
      <c r="G310">
        <v>5000</v>
      </c>
      <c r="H310">
        <v>1986</v>
      </c>
      <c r="I310" t="s">
        <v>58</v>
      </c>
      <c r="J310" t="s">
        <v>61</v>
      </c>
      <c r="K310" t="s">
        <v>61</v>
      </c>
      <c r="L310" t="s">
        <v>58</v>
      </c>
      <c r="M310" t="s">
        <v>58</v>
      </c>
      <c r="Q310" t="s">
        <v>132</v>
      </c>
      <c r="R310" s="11" t="str">
        <f>HYPERLINK("\\imagefiles.bcgov\imagery\scanned_maps\moe_terrain_maps\Scanned_T_maps_all\B04\B04-5161","\\imagefiles.bcgov\imagery\scanned_maps\moe_terrain_maps\Scanned_T_maps_all\B04\B04-5161")</f>
        <v>\\imagefiles.bcgov\imagery\scanned_maps\moe_terrain_maps\Scanned_T_maps_all\B04\B04-5161</v>
      </c>
      <c r="S310" t="s">
        <v>62</v>
      </c>
      <c r="T310" s="11" t="str">
        <f>HYPERLINK("http://www.env.gov.bc.ca/esd/distdata/ecosystems/TEI_Scanned_Maps/B04/B04-5161","http://www.env.gov.bc.ca/esd/distdata/ecosystems/TEI_Scanned_Maps/B04/B04-5161")</f>
        <v>http://www.env.gov.bc.ca/esd/distdata/ecosystems/TEI_Scanned_Maps/B04/B04-5161</v>
      </c>
      <c r="U310" t="s">
        <v>58</v>
      </c>
      <c r="V310" t="s">
        <v>58</v>
      </c>
      <c r="W310" t="s">
        <v>58</v>
      </c>
      <c r="X310" t="s">
        <v>58</v>
      </c>
      <c r="Y310" t="s">
        <v>58</v>
      </c>
      <c r="Z310" t="s">
        <v>58</v>
      </c>
      <c r="AA310" t="s">
        <v>58</v>
      </c>
      <c r="AC310" t="s">
        <v>58</v>
      </c>
      <c r="AE310" t="s">
        <v>58</v>
      </c>
      <c r="AG310" t="s">
        <v>63</v>
      </c>
      <c r="AH310" s="11" t="str">
        <f t="shared" si="6"/>
        <v>mailto: soilterrain@victoria1.gov.bc.ca</v>
      </c>
    </row>
    <row r="311" spans="1:34">
      <c r="A311" t="s">
        <v>875</v>
      </c>
      <c r="B311" t="s">
        <v>56</v>
      </c>
      <c r="C311" s="10" t="s">
        <v>876</v>
      </c>
      <c r="D311" t="s">
        <v>61</v>
      </c>
      <c r="E311" t="s">
        <v>759</v>
      </c>
      <c r="F311" t="s">
        <v>877</v>
      </c>
      <c r="G311">
        <v>5000</v>
      </c>
      <c r="H311">
        <v>1986</v>
      </c>
      <c r="I311" t="s">
        <v>58</v>
      </c>
      <c r="J311" t="s">
        <v>61</v>
      </c>
      <c r="K311" t="s">
        <v>61</v>
      </c>
      <c r="L311" t="s">
        <v>58</v>
      </c>
      <c r="M311" t="s">
        <v>58</v>
      </c>
      <c r="Q311" t="s">
        <v>132</v>
      </c>
      <c r="R311" s="11" t="str">
        <f>HYPERLINK("\\imagefiles.bcgov\imagery\scanned_maps\moe_terrain_maps\Scanned_T_maps_all\B04\B04-5162","\\imagefiles.bcgov\imagery\scanned_maps\moe_terrain_maps\Scanned_T_maps_all\B04\B04-5162")</f>
        <v>\\imagefiles.bcgov\imagery\scanned_maps\moe_terrain_maps\Scanned_T_maps_all\B04\B04-5162</v>
      </c>
      <c r="S311" t="s">
        <v>62</v>
      </c>
      <c r="T311" s="11" t="str">
        <f>HYPERLINK("http://www.env.gov.bc.ca/esd/distdata/ecosystems/TEI_Scanned_Maps/B04/B04-5162","http://www.env.gov.bc.ca/esd/distdata/ecosystems/TEI_Scanned_Maps/B04/B04-5162")</f>
        <v>http://www.env.gov.bc.ca/esd/distdata/ecosystems/TEI_Scanned_Maps/B04/B04-5162</v>
      </c>
      <c r="U311" t="s">
        <v>58</v>
      </c>
      <c r="V311" t="s">
        <v>58</v>
      </c>
      <c r="W311" t="s">
        <v>58</v>
      </c>
      <c r="X311" t="s">
        <v>58</v>
      </c>
      <c r="Y311" t="s">
        <v>58</v>
      </c>
      <c r="Z311" t="s">
        <v>58</v>
      </c>
      <c r="AA311" t="s">
        <v>58</v>
      </c>
      <c r="AC311" t="s">
        <v>58</v>
      </c>
      <c r="AE311" t="s">
        <v>58</v>
      </c>
      <c r="AG311" t="s">
        <v>63</v>
      </c>
      <c r="AH311" s="11" t="str">
        <f t="shared" si="6"/>
        <v>mailto: soilterrain@victoria1.gov.bc.ca</v>
      </c>
    </row>
    <row r="312" spans="1:34">
      <c r="A312" t="s">
        <v>878</v>
      </c>
      <c r="B312" t="s">
        <v>56</v>
      </c>
      <c r="C312" s="10" t="s">
        <v>876</v>
      </c>
      <c r="D312" t="s">
        <v>61</v>
      </c>
      <c r="E312" t="s">
        <v>759</v>
      </c>
      <c r="F312" t="s">
        <v>879</v>
      </c>
      <c r="G312">
        <v>5000</v>
      </c>
      <c r="H312">
        <v>1986</v>
      </c>
      <c r="I312" t="s">
        <v>58</v>
      </c>
      <c r="J312" t="s">
        <v>61</v>
      </c>
      <c r="K312" t="s">
        <v>61</v>
      </c>
      <c r="L312" t="s">
        <v>58</v>
      </c>
      <c r="M312" t="s">
        <v>58</v>
      </c>
      <c r="Q312" t="s">
        <v>132</v>
      </c>
      <c r="R312" s="11" t="str">
        <f>HYPERLINK("\\imagefiles.bcgov\imagery\scanned_maps\moe_terrain_maps\Scanned_T_maps_all\B04\B04-5163","\\imagefiles.bcgov\imagery\scanned_maps\moe_terrain_maps\Scanned_T_maps_all\B04\B04-5163")</f>
        <v>\\imagefiles.bcgov\imagery\scanned_maps\moe_terrain_maps\Scanned_T_maps_all\B04\B04-5163</v>
      </c>
      <c r="S312" t="s">
        <v>62</v>
      </c>
      <c r="T312" s="11" t="str">
        <f>HYPERLINK("http://www.env.gov.bc.ca/esd/distdata/ecosystems/TEI_Scanned_Maps/B04/B04-5163","http://www.env.gov.bc.ca/esd/distdata/ecosystems/TEI_Scanned_Maps/B04/B04-5163")</f>
        <v>http://www.env.gov.bc.ca/esd/distdata/ecosystems/TEI_Scanned_Maps/B04/B04-5163</v>
      </c>
      <c r="U312" t="s">
        <v>58</v>
      </c>
      <c r="V312" t="s">
        <v>58</v>
      </c>
      <c r="W312" t="s">
        <v>58</v>
      </c>
      <c r="X312" t="s">
        <v>58</v>
      </c>
      <c r="Y312" t="s">
        <v>58</v>
      </c>
      <c r="Z312" t="s">
        <v>58</v>
      </c>
      <c r="AA312" t="s">
        <v>58</v>
      </c>
      <c r="AC312" t="s">
        <v>58</v>
      </c>
      <c r="AE312" t="s">
        <v>58</v>
      </c>
      <c r="AG312" t="s">
        <v>63</v>
      </c>
      <c r="AH312" s="11" t="str">
        <f t="shared" si="6"/>
        <v>mailto: soilterrain@victoria1.gov.bc.ca</v>
      </c>
    </row>
    <row r="313" spans="1:34">
      <c r="A313" t="s">
        <v>880</v>
      </c>
      <c r="B313" t="s">
        <v>56</v>
      </c>
      <c r="C313" s="10" t="s">
        <v>881</v>
      </c>
      <c r="D313" t="s">
        <v>61</v>
      </c>
      <c r="E313" t="s">
        <v>759</v>
      </c>
      <c r="F313" t="s">
        <v>882</v>
      </c>
      <c r="G313">
        <v>5000</v>
      </c>
      <c r="H313">
        <v>1986</v>
      </c>
      <c r="I313" t="s">
        <v>58</v>
      </c>
      <c r="J313" t="s">
        <v>61</v>
      </c>
      <c r="K313" t="s">
        <v>61</v>
      </c>
      <c r="L313" t="s">
        <v>58</v>
      </c>
      <c r="M313" t="s">
        <v>58</v>
      </c>
      <c r="Q313" t="s">
        <v>132</v>
      </c>
      <c r="R313" s="11" t="str">
        <f>HYPERLINK("\\imagefiles.bcgov\imagery\scanned_maps\moe_terrain_maps\Scanned_T_maps_all\B04\B04-5164","\\imagefiles.bcgov\imagery\scanned_maps\moe_terrain_maps\Scanned_T_maps_all\B04\B04-5164")</f>
        <v>\\imagefiles.bcgov\imagery\scanned_maps\moe_terrain_maps\Scanned_T_maps_all\B04\B04-5164</v>
      </c>
      <c r="S313" t="s">
        <v>62</v>
      </c>
      <c r="T313" s="11" t="str">
        <f>HYPERLINK("http://www.env.gov.bc.ca/esd/distdata/ecosystems/TEI_Scanned_Maps/B04/B04-5164","http://www.env.gov.bc.ca/esd/distdata/ecosystems/TEI_Scanned_Maps/B04/B04-5164")</f>
        <v>http://www.env.gov.bc.ca/esd/distdata/ecosystems/TEI_Scanned_Maps/B04/B04-5164</v>
      </c>
      <c r="U313" t="s">
        <v>58</v>
      </c>
      <c r="V313" t="s">
        <v>58</v>
      </c>
      <c r="W313" t="s">
        <v>58</v>
      </c>
      <c r="X313" t="s">
        <v>58</v>
      </c>
      <c r="Y313" t="s">
        <v>58</v>
      </c>
      <c r="Z313" t="s">
        <v>58</v>
      </c>
      <c r="AA313" t="s">
        <v>58</v>
      </c>
      <c r="AC313" t="s">
        <v>58</v>
      </c>
      <c r="AE313" t="s">
        <v>58</v>
      </c>
      <c r="AG313" t="s">
        <v>63</v>
      </c>
      <c r="AH313" s="11" t="str">
        <f t="shared" si="6"/>
        <v>mailto: soilterrain@victoria1.gov.bc.ca</v>
      </c>
    </row>
    <row r="314" spans="1:34">
      <c r="A314" t="s">
        <v>883</v>
      </c>
      <c r="B314" t="s">
        <v>56</v>
      </c>
      <c r="C314" s="10" t="s">
        <v>876</v>
      </c>
      <c r="D314" t="s">
        <v>61</v>
      </c>
      <c r="E314" t="s">
        <v>759</v>
      </c>
      <c r="F314" t="s">
        <v>884</v>
      </c>
      <c r="G314">
        <v>5000</v>
      </c>
      <c r="H314">
        <v>1986</v>
      </c>
      <c r="I314" t="s">
        <v>58</v>
      </c>
      <c r="J314" t="s">
        <v>61</v>
      </c>
      <c r="K314" t="s">
        <v>61</v>
      </c>
      <c r="L314" t="s">
        <v>58</v>
      </c>
      <c r="M314" t="s">
        <v>58</v>
      </c>
      <c r="Q314" t="s">
        <v>132</v>
      </c>
      <c r="R314" s="11" t="str">
        <f>HYPERLINK("\\imagefiles.bcgov\imagery\scanned_maps\moe_terrain_maps\Scanned_T_maps_all\B04\B04-5165","\\imagefiles.bcgov\imagery\scanned_maps\moe_terrain_maps\Scanned_T_maps_all\B04\B04-5165")</f>
        <v>\\imagefiles.bcgov\imagery\scanned_maps\moe_terrain_maps\Scanned_T_maps_all\B04\B04-5165</v>
      </c>
      <c r="S314" t="s">
        <v>62</v>
      </c>
      <c r="T314" s="11" t="str">
        <f>HYPERLINK("http://www.env.gov.bc.ca/esd/distdata/ecosystems/TEI_Scanned_Maps/B04/B04-5165","http://www.env.gov.bc.ca/esd/distdata/ecosystems/TEI_Scanned_Maps/B04/B04-5165")</f>
        <v>http://www.env.gov.bc.ca/esd/distdata/ecosystems/TEI_Scanned_Maps/B04/B04-5165</v>
      </c>
      <c r="U314" t="s">
        <v>58</v>
      </c>
      <c r="V314" t="s">
        <v>58</v>
      </c>
      <c r="W314" t="s">
        <v>58</v>
      </c>
      <c r="X314" t="s">
        <v>58</v>
      </c>
      <c r="Y314" t="s">
        <v>58</v>
      </c>
      <c r="Z314" t="s">
        <v>58</v>
      </c>
      <c r="AA314" t="s">
        <v>58</v>
      </c>
      <c r="AC314" t="s">
        <v>58</v>
      </c>
      <c r="AE314" t="s">
        <v>58</v>
      </c>
      <c r="AG314" t="s">
        <v>63</v>
      </c>
      <c r="AH314" s="11" t="str">
        <f t="shared" si="6"/>
        <v>mailto: soilterrain@victoria1.gov.bc.ca</v>
      </c>
    </row>
    <row r="315" spans="1:34">
      <c r="A315" t="s">
        <v>885</v>
      </c>
      <c r="B315" t="s">
        <v>56</v>
      </c>
      <c r="C315" s="10" t="s">
        <v>881</v>
      </c>
      <c r="D315" t="s">
        <v>61</v>
      </c>
      <c r="E315" t="s">
        <v>759</v>
      </c>
      <c r="F315" t="s">
        <v>886</v>
      </c>
      <c r="G315">
        <v>5000</v>
      </c>
      <c r="H315">
        <v>1986</v>
      </c>
      <c r="I315" t="s">
        <v>58</v>
      </c>
      <c r="J315" t="s">
        <v>61</v>
      </c>
      <c r="K315" t="s">
        <v>61</v>
      </c>
      <c r="L315" t="s">
        <v>58</v>
      </c>
      <c r="M315" t="s">
        <v>58</v>
      </c>
      <c r="Q315" t="s">
        <v>132</v>
      </c>
      <c r="R315" s="11" t="str">
        <f>HYPERLINK("\\imagefiles.bcgov\imagery\scanned_maps\moe_terrain_maps\Scanned_T_maps_all\B04\B04-5166","\\imagefiles.bcgov\imagery\scanned_maps\moe_terrain_maps\Scanned_T_maps_all\B04\B04-5166")</f>
        <v>\\imagefiles.bcgov\imagery\scanned_maps\moe_terrain_maps\Scanned_T_maps_all\B04\B04-5166</v>
      </c>
      <c r="S315" t="s">
        <v>62</v>
      </c>
      <c r="T315" s="11" t="str">
        <f>HYPERLINK("http://www.env.gov.bc.ca/esd/distdata/ecosystems/TEI_Scanned_Maps/B04/B04-5166","http://www.env.gov.bc.ca/esd/distdata/ecosystems/TEI_Scanned_Maps/B04/B04-5166")</f>
        <v>http://www.env.gov.bc.ca/esd/distdata/ecosystems/TEI_Scanned_Maps/B04/B04-5166</v>
      </c>
      <c r="U315" t="s">
        <v>58</v>
      </c>
      <c r="V315" t="s">
        <v>58</v>
      </c>
      <c r="W315" t="s">
        <v>58</v>
      </c>
      <c r="X315" t="s">
        <v>58</v>
      </c>
      <c r="Y315" t="s">
        <v>58</v>
      </c>
      <c r="Z315" t="s">
        <v>58</v>
      </c>
      <c r="AA315" t="s">
        <v>58</v>
      </c>
      <c r="AC315" t="s">
        <v>58</v>
      </c>
      <c r="AE315" t="s">
        <v>58</v>
      </c>
      <c r="AG315" t="s">
        <v>63</v>
      </c>
      <c r="AH315" s="11" t="str">
        <f t="shared" si="6"/>
        <v>mailto: soilterrain@victoria1.gov.bc.ca</v>
      </c>
    </row>
    <row r="316" spans="1:34">
      <c r="A316" t="s">
        <v>887</v>
      </c>
      <c r="B316" t="s">
        <v>56</v>
      </c>
      <c r="C316" s="10" t="s">
        <v>881</v>
      </c>
      <c r="D316" t="s">
        <v>61</v>
      </c>
      <c r="E316" t="s">
        <v>759</v>
      </c>
      <c r="F316" t="s">
        <v>888</v>
      </c>
      <c r="G316">
        <v>5000</v>
      </c>
      <c r="H316">
        <v>1986</v>
      </c>
      <c r="I316" t="s">
        <v>58</v>
      </c>
      <c r="J316" t="s">
        <v>61</v>
      </c>
      <c r="K316" t="s">
        <v>61</v>
      </c>
      <c r="L316" t="s">
        <v>58</v>
      </c>
      <c r="M316" t="s">
        <v>58</v>
      </c>
      <c r="Q316" t="s">
        <v>132</v>
      </c>
      <c r="R316" s="11" t="str">
        <f>HYPERLINK("\\imagefiles.bcgov\imagery\scanned_maps\moe_terrain_maps\Scanned_T_maps_all\B04\B04-5167","\\imagefiles.bcgov\imagery\scanned_maps\moe_terrain_maps\Scanned_T_maps_all\B04\B04-5167")</f>
        <v>\\imagefiles.bcgov\imagery\scanned_maps\moe_terrain_maps\Scanned_T_maps_all\B04\B04-5167</v>
      </c>
      <c r="S316" t="s">
        <v>62</v>
      </c>
      <c r="T316" s="11" t="str">
        <f>HYPERLINK("http://www.env.gov.bc.ca/esd/distdata/ecosystems/TEI_Scanned_Maps/B04/B04-5167","http://www.env.gov.bc.ca/esd/distdata/ecosystems/TEI_Scanned_Maps/B04/B04-5167")</f>
        <v>http://www.env.gov.bc.ca/esd/distdata/ecosystems/TEI_Scanned_Maps/B04/B04-5167</v>
      </c>
      <c r="U316" t="s">
        <v>58</v>
      </c>
      <c r="V316" t="s">
        <v>58</v>
      </c>
      <c r="W316" t="s">
        <v>58</v>
      </c>
      <c r="X316" t="s">
        <v>58</v>
      </c>
      <c r="Y316" t="s">
        <v>58</v>
      </c>
      <c r="Z316" t="s">
        <v>58</v>
      </c>
      <c r="AA316" t="s">
        <v>58</v>
      </c>
      <c r="AC316" t="s">
        <v>58</v>
      </c>
      <c r="AE316" t="s">
        <v>58</v>
      </c>
      <c r="AG316" t="s">
        <v>63</v>
      </c>
      <c r="AH316" s="11" t="str">
        <f t="shared" si="6"/>
        <v>mailto: soilterrain@victoria1.gov.bc.ca</v>
      </c>
    </row>
    <row r="317" spans="1:34">
      <c r="A317" t="s">
        <v>889</v>
      </c>
      <c r="B317" t="s">
        <v>56</v>
      </c>
      <c r="C317" s="10" t="s">
        <v>811</v>
      </c>
      <c r="D317" t="s">
        <v>61</v>
      </c>
      <c r="E317" t="s">
        <v>759</v>
      </c>
      <c r="F317" t="s">
        <v>890</v>
      </c>
      <c r="G317">
        <v>5000</v>
      </c>
      <c r="H317">
        <v>1986</v>
      </c>
      <c r="I317" t="s">
        <v>58</v>
      </c>
      <c r="J317" t="s">
        <v>61</v>
      </c>
      <c r="K317" t="s">
        <v>61</v>
      </c>
      <c r="L317" t="s">
        <v>58</v>
      </c>
      <c r="M317" t="s">
        <v>58</v>
      </c>
      <c r="Q317" t="s">
        <v>132</v>
      </c>
      <c r="R317" s="11" t="str">
        <f>HYPERLINK("\\imagefiles.bcgov\imagery\scanned_maps\moe_terrain_maps\Scanned_T_maps_all\B04\B04-5168","\\imagefiles.bcgov\imagery\scanned_maps\moe_terrain_maps\Scanned_T_maps_all\B04\B04-5168")</f>
        <v>\\imagefiles.bcgov\imagery\scanned_maps\moe_terrain_maps\Scanned_T_maps_all\B04\B04-5168</v>
      </c>
      <c r="S317" t="s">
        <v>62</v>
      </c>
      <c r="T317" s="11" t="str">
        <f>HYPERLINK("http://www.env.gov.bc.ca/esd/distdata/ecosystems/TEI_Scanned_Maps/B04/B04-5168","http://www.env.gov.bc.ca/esd/distdata/ecosystems/TEI_Scanned_Maps/B04/B04-5168")</f>
        <v>http://www.env.gov.bc.ca/esd/distdata/ecosystems/TEI_Scanned_Maps/B04/B04-5168</v>
      </c>
      <c r="U317" t="s">
        <v>58</v>
      </c>
      <c r="V317" t="s">
        <v>58</v>
      </c>
      <c r="W317" t="s">
        <v>58</v>
      </c>
      <c r="X317" t="s">
        <v>58</v>
      </c>
      <c r="Y317" t="s">
        <v>58</v>
      </c>
      <c r="Z317" t="s">
        <v>58</v>
      </c>
      <c r="AA317" t="s">
        <v>58</v>
      </c>
      <c r="AC317" t="s">
        <v>58</v>
      </c>
      <c r="AE317" t="s">
        <v>58</v>
      </c>
      <c r="AG317" t="s">
        <v>63</v>
      </c>
      <c r="AH317" s="11" t="str">
        <f t="shared" si="6"/>
        <v>mailto: soilterrain@victoria1.gov.bc.ca</v>
      </c>
    </row>
    <row r="318" spans="1:34">
      <c r="A318" t="s">
        <v>891</v>
      </c>
      <c r="B318" t="s">
        <v>56</v>
      </c>
      <c r="C318" s="10" t="s">
        <v>811</v>
      </c>
      <c r="D318" t="s">
        <v>61</v>
      </c>
      <c r="E318" t="s">
        <v>759</v>
      </c>
      <c r="F318" t="s">
        <v>892</v>
      </c>
      <c r="G318">
        <v>5000</v>
      </c>
      <c r="H318">
        <v>1986</v>
      </c>
      <c r="I318" t="s">
        <v>58</v>
      </c>
      <c r="J318" t="s">
        <v>61</v>
      </c>
      <c r="K318" t="s">
        <v>61</v>
      </c>
      <c r="L318" t="s">
        <v>58</v>
      </c>
      <c r="M318" t="s">
        <v>58</v>
      </c>
      <c r="Q318" t="s">
        <v>132</v>
      </c>
      <c r="R318" s="11" t="str">
        <f>HYPERLINK("\\imagefiles.bcgov\imagery\scanned_maps\moe_terrain_maps\Scanned_T_maps_all\B04\B04-5169","\\imagefiles.bcgov\imagery\scanned_maps\moe_terrain_maps\Scanned_T_maps_all\B04\B04-5169")</f>
        <v>\\imagefiles.bcgov\imagery\scanned_maps\moe_terrain_maps\Scanned_T_maps_all\B04\B04-5169</v>
      </c>
      <c r="S318" t="s">
        <v>62</v>
      </c>
      <c r="T318" s="11" t="str">
        <f>HYPERLINK("http://www.env.gov.bc.ca/esd/distdata/ecosystems/TEI_Scanned_Maps/B04/B04-5169","http://www.env.gov.bc.ca/esd/distdata/ecosystems/TEI_Scanned_Maps/B04/B04-5169")</f>
        <v>http://www.env.gov.bc.ca/esd/distdata/ecosystems/TEI_Scanned_Maps/B04/B04-5169</v>
      </c>
      <c r="U318" t="s">
        <v>58</v>
      </c>
      <c r="V318" t="s">
        <v>58</v>
      </c>
      <c r="W318" t="s">
        <v>58</v>
      </c>
      <c r="X318" t="s">
        <v>58</v>
      </c>
      <c r="Y318" t="s">
        <v>58</v>
      </c>
      <c r="Z318" t="s">
        <v>58</v>
      </c>
      <c r="AA318" t="s">
        <v>58</v>
      </c>
      <c r="AC318" t="s">
        <v>58</v>
      </c>
      <c r="AE318" t="s">
        <v>58</v>
      </c>
      <c r="AG318" t="s">
        <v>63</v>
      </c>
      <c r="AH318" s="11" t="str">
        <f t="shared" si="6"/>
        <v>mailto: soilterrain@victoria1.gov.bc.ca</v>
      </c>
    </row>
    <row r="319" spans="1:34">
      <c r="A319" t="s">
        <v>893</v>
      </c>
      <c r="B319" t="s">
        <v>56</v>
      </c>
      <c r="C319" s="10" t="s">
        <v>894</v>
      </c>
      <c r="D319" t="s">
        <v>61</v>
      </c>
      <c r="E319" t="s">
        <v>759</v>
      </c>
      <c r="F319" t="s">
        <v>895</v>
      </c>
      <c r="G319">
        <v>5000</v>
      </c>
      <c r="H319">
        <v>1986</v>
      </c>
      <c r="I319" t="s">
        <v>58</v>
      </c>
      <c r="J319" t="s">
        <v>61</v>
      </c>
      <c r="K319" t="s">
        <v>61</v>
      </c>
      <c r="L319" t="s">
        <v>58</v>
      </c>
      <c r="M319" t="s">
        <v>58</v>
      </c>
      <c r="Q319" t="s">
        <v>132</v>
      </c>
      <c r="R319" s="11" t="str">
        <f>HYPERLINK("\\imagefiles.bcgov\imagery\scanned_maps\moe_terrain_maps\Scanned_T_maps_all\B04\B04-5170","\\imagefiles.bcgov\imagery\scanned_maps\moe_terrain_maps\Scanned_T_maps_all\B04\B04-5170")</f>
        <v>\\imagefiles.bcgov\imagery\scanned_maps\moe_terrain_maps\Scanned_T_maps_all\B04\B04-5170</v>
      </c>
      <c r="S319" t="s">
        <v>62</v>
      </c>
      <c r="T319" s="11" t="str">
        <f>HYPERLINK("http://www.env.gov.bc.ca/esd/distdata/ecosystems/TEI_Scanned_Maps/B04/B04-5170","http://www.env.gov.bc.ca/esd/distdata/ecosystems/TEI_Scanned_Maps/B04/B04-5170")</f>
        <v>http://www.env.gov.bc.ca/esd/distdata/ecosystems/TEI_Scanned_Maps/B04/B04-5170</v>
      </c>
      <c r="U319" t="s">
        <v>58</v>
      </c>
      <c r="V319" t="s">
        <v>58</v>
      </c>
      <c r="W319" t="s">
        <v>58</v>
      </c>
      <c r="X319" t="s">
        <v>58</v>
      </c>
      <c r="Y319" t="s">
        <v>58</v>
      </c>
      <c r="Z319" t="s">
        <v>58</v>
      </c>
      <c r="AA319" t="s">
        <v>58</v>
      </c>
      <c r="AC319" t="s">
        <v>58</v>
      </c>
      <c r="AE319" t="s">
        <v>58</v>
      </c>
      <c r="AG319" t="s">
        <v>63</v>
      </c>
      <c r="AH319" s="11" t="str">
        <f t="shared" si="6"/>
        <v>mailto: soilterrain@victoria1.gov.bc.ca</v>
      </c>
    </row>
    <row r="320" spans="1:34">
      <c r="A320" t="s">
        <v>896</v>
      </c>
      <c r="B320" t="s">
        <v>56</v>
      </c>
      <c r="C320" s="10" t="s">
        <v>894</v>
      </c>
      <c r="D320" t="s">
        <v>61</v>
      </c>
      <c r="E320" t="s">
        <v>759</v>
      </c>
      <c r="F320" t="s">
        <v>897</v>
      </c>
      <c r="G320">
        <v>5000</v>
      </c>
      <c r="H320">
        <v>1986</v>
      </c>
      <c r="I320" t="s">
        <v>58</v>
      </c>
      <c r="J320" t="s">
        <v>61</v>
      </c>
      <c r="K320" t="s">
        <v>61</v>
      </c>
      <c r="L320" t="s">
        <v>58</v>
      </c>
      <c r="M320" t="s">
        <v>58</v>
      </c>
      <c r="Q320" t="s">
        <v>132</v>
      </c>
      <c r="R320" s="11" t="str">
        <f>HYPERLINK("\\imagefiles.bcgov\imagery\scanned_maps\moe_terrain_maps\Scanned_T_maps_all\B04\B04-5171","\\imagefiles.bcgov\imagery\scanned_maps\moe_terrain_maps\Scanned_T_maps_all\B04\B04-5171")</f>
        <v>\\imagefiles.bcgov\imagery\scanned_maps\moe_terrain_maps\Scanned_T_maps_all\B04\B04-5171</v>
      </c>
      <c r="S320" t="s">
        <v>62</v>
      </c>
      <c r="T320" s="11" t="str">
        <f>HYPERLINK("http://www.env.gov.bc.ca/esd/distdata/ecosystems/TEI_Scanned_Maps/B04/B04-5171","http://www.env.gov.bc.ca/esd/distdata/ecosystems/TEI_Scanned_Maps/B04/B04-5171")</f>
        <v>http://www.env.gov.bc.ca/esd/distdata/ecosystems/TEI_Scanned_Maps/B04/B04-5171</v>
      </c>
      <c r="U320" t="s">
        <v>58</v>
      </c>
      <c r="V320" t="s">
        <v>58</v>
      </c>
      <c r="W320" t="s">
        <v>58</v>
      </c>
      <c r="X320" t="s">
        <v>58</v>
      </c>
      <c r="Y320" t="s">
        <v>58</v>
      </c>
      <c r="Z320" t="s">
        <v>58</v>
      </c>
      <c r="AA320" t="s">
        <v>58</v>
      </c>
      <c r="AC320" t="s">
        <v>58</v>
      </c>
      <c r="AE320" t="s">
        <v>58</v>
      </c>
      <c r="AG320" t="s">
        <v>63</v>
      </c>
      <c r="AH320" s="11" t="str">
        <f t="shared" si="6"/>
        <v>mailto: soilterrain@victoria1.gov.bc.ca</v>
      </c>
    </row>
    <row r="321" spans="1:34">
      <c r="A321" t="s">
        <v>898</v>
      </c>
      <c r="B321" t="s">
        <v>56</v>
      </c>
      <c r="C321" s="10" t="s">
        <v>894</v>
      </c>
      <c r="D321" t="s">
        <v>61</v>
      </c>
      <c r="E321" t="s">
        <v>759</v>
      </c>
      <c r="F321" t="s">
        <v>899</v>
      </c>
      <c r="G321">
        <v>5000</v>
      </c>
      <c r="H321">
        <v>1986</v>
      </c>
      <c r="I321" t="s">
        <v>58</v>
      </c>
      <c r="J321" t="s">
        <v>61</v>
      </c>
      <c r="K321" t="s">
        <v>61</v>
      </c>
      <c r="L321" t="s">
        <v>58</v>
      </c>
      <c r="M321" t="s">
        <v>58</v>
      </c>
      <c r="Q321" t="s">
        <v>132</v>
      </c>
      <c r="R321" s="11" t="str">
        <f>HYPERLINK("\\imagefiles.bcgov\imagery\scanned_maps\moe_terrain_maps\Scanned_T_maps_all\B04\B04-5172","\\imagefiles.bcgov\imagery\scanned_maps\moe_terrain_maps\Scanned_T_maps_all\B04\B04-5172")</f>
        <v>\\imagefiles.bcgov\imagery\scanned_maps\moe_terrain_maps\Scanned_T_maps_all\B04\B04-5172</v>
      </c>
      <c r="S321" t="s">
        <v>62</v>
      </c>
      <c r="T321" s="11" t="str">
        <f>HYPERLINK("http://www.env.gov.bc.ca/esd/distdata/ecosystems/TEI_Scanned_Maps/B04/B04-5172","http://www.env.gov.bc.ca/esd/distdata/ecosystems/TEI_Scanned_Maps/B04/B04-5172")</f>
        <v>http://www.env.gov.bc.ca/esd/distdata/ecosystems/TEI_Scanned_Maps/B04/B04-5172</v>
      </c>
      <c r="U321" t="s">
        <v>58</v>
      </c>
      <c r="V321" t="s">
        <v>58</v>
      </c>
      <c r="W321" t="s">
        <v>58</v>
      </c>
      <c r="X321" t="s">
        <v>58</v>
      </c>
      <c r="Y321" t="s">
        <v>58</v>
      </c>
      <c r="Z321" t="s">
        <v>58</v>
      </c>
      <c r="AA321" t="s">
        <v>58</v>
      </c>
      <c r="AC321" t="s">
        <v>58</v>
      </c>
      <c r="AE321" t="s">
        <v>58</v>
      </c>
      <c r="AG321" t="s">
        <v>63</v>
      </c>
      <c r="AH321" s="11" t="str">
        <f t="shared" si="6"/>
        <v>mailto: soilterrain@victoria1.gov.bc.ca</v>
      </c>
    </row>
    <row r="322" spans="1:34">
      <c r="A322" t="s">
        <v>900</v>
      </c>
      <c r="B322" t="s">
        <v>56</v>
      </c>
      <c r="C322" s="10" t="s">
        <v>894</v>
      </c>
      <c r="D322" t="s">
        <v>61</v>
      </c>
      <c r="E322" t="s">
        <v>759</v>
      </c>
      <c r="F322" t="s">
        <v>901</v>
      </c>
      <c r="G322">
        <v>5000</v>
      </c>
      <c r="H322">
        <v>1986</v>
      </c>
      <c r="I322" t="s">
        <v>58</v>
      </c>
      <c r="J322" t="s">
        <v>61</v>
      </c>
      <c r="K322" t="s">
        <v>61</v>
      </c>
      <c r="L322" t="s">
        <v>58</v>
      </c>
      <c r="M322" t="s">
        <v>58</v>
      </c>
      <c r="Q322" t="s">
        <v>132</v>
      </c>
      <c r="R322" s="11" t="str">
        <f>HYPERLINK("\\imagefiles.bcgov\imagery\scanned_maps\moe_terrain_maps\Scanned_T_maps_all\B04\B04-5173","\\imagefiles.bcgov\imagery\scanned_maps\moe_terrain_maps\Scanned_T_maps_all\B04\B04-5173")</f>
        <v>\\imagefiles.bcgov\imagery\scanned_maps\moe_terrain_maps\Scanned_T_maps_all\B04\B04-5173</v>
      </c>
      <c r="S322" t="s">
        <v>62</v>
      </c>
      <c r="T322" s="11" t="str">
        <f>HYPERLINK("http://www.env.gov.bc.ca/esd/distdata/ecosystems/TEI_Scanned_Maps/B04/B04-5173","http://www.env.gov.bc.ca/esd/distdata/ecosystems/TEI_Scanned_Maps/B04/B04-5173")</f>
        <v>http://www.env.gov.bc.ca/esd/distdata/ecosystems/TEI_Scanned_Maps/B04/B04-5173</v>
      </c>
      <c r="U322" t="s">
        <v>58</v>
      </c>
      <c r="V322" t="s">
        <v>58</v>
      </c>
      <c r="W322" t="s">
        <v>58</v>
      </c>
      <c r="X322" t="s">
        <v>58</v>
      </c>
      <c r="Y322" t="s">
        <v>58</v>
      </c>
      <c r="Z322" t="s">
        <v>58</v>
      </c>
      <c r="AA322" t="s">
        <v>58</v>
      </c>
      <c r="AC322" t="s">
        <v>58</v>
      </c>
      <c r="AE322" t="s">
        <v>58</v>
      </c>
      <c r="AG322" t="s">
        <v>63</v>
      </c>
      <c r="AH322" s="11" t="str">
        <f t="shared" ref="AH322:AH385" si="7">HYPERLINK("mailto: soilterrain@victoria1.gov.bc.ca","mailto: soilterrain@victoria1.gov.bc.ca")</f>
        <v>mailto: soilterrain@victoria1.gov.bc.ca</v>
      </c>
    </row>
    <row r="323" spans="1:34">
      <c r="A323" t="s">
        <v>902</v>
      </c>
      <c r="B323" t="s">
        <v>56</v>
      </c>
      <c r="C323" s="10" t="s">
        <v>903</v>
      </c>
      <c r="D323" t="s">
        <v>61</v>
      </c>
      <c r="E323" t="s">
        <v>759</v>
      </c>
      <c r="F323" t="s">
        <v>904</v>
      </c>
      <c r="G323">
        <v>5000</v>
      </c>
      <c r="H323">
        <v>1986</v>
      </c>
      <c r="I323" t="s">
        <v>58</v>
      </c>
      <c r="J323" t="s">
        <v>61</v>
      </c>
      <c r="K323" t="s">
        <v>61</v>
      </c>
      <c r="L323" t="s">
        <v>58</v>
      </c>
      <c r="M323" t="s">
        <v>58</v>
      </c>
      <c r="Q323" t="s">
        <v>132</v>
      </c>
      <c r="R323" s="11" t="str">
        <f>HYPERLINK("\\imagefiles.bcgov\imagery\scanned_maps\moe_terrain_maps\Scanned_T_maps_all\B04\B04-5174","\\imagefiles.bcgov\imagery\scanned_maps\moe_terrain_maps\Scanned_T_maps_all\B04\B04-5174")</f>
        <v>\\imagefiles.bcgov\imagery\scanned_maps\moe_terrain_maps\Scanned_T_maps_all\B04\B04-5174</v>
      </c>
      <c r="S323" t="s">
        <v>62</v>
      </c>
      <c r="T323" s="11" t="str">
        <f>HYPERLINK("http://www.env.gov.bc.ca/esd/distdata/ecosystems/TEI_Scanned_Maps/B04/B04-5174","http://www.env.gov.bc.ca/esd/distdata/ecosystems/TEI_Scanned_Maps/B04/B04-5174")</f>
        <v>http://www.env.gov.bc.ca/esd/distdata/ecosystems/TEI_Scanned_Maps/B04/B04-5174</v>
      </c>
      <c r="U323" t="s">
        <v>58</v>
      </c>
      <c r="V323" t="s">
        <v>58</v>
      </c>
      <c r="W323" t="s">
        <v>58</v>
      </c>
      <c r="X323" t="s">
        <v>58</v>
      </c>
      <c r="Y323" t="s">
        <v>58</v>
      </c>
      <c r="Z323" t="s">
        <v>58</v>
      </c>
      <c r="AA323" t="s">
        <v>58</v>
      </c>
      <c r="AC323" t="s">
        <v>58</v>
      </c>
      <c r="AE323" t="s">
        <v>58</v>
      </c>
      <c r="AG323" t="s">
        <v>63</v>
      </c>
      <c r="AH323" s="11" t="str">
        <f t="shared" si="7"/>
        <v>mailto: soilterrain@victoria1.gov.bc.ca</v>
      </c>
    </row>
    <row r="324" spans="1:34">
      <c r="A324" t="s">
        <v>905</v>
      </c>
      <c r="B324" t="s">
        <v>56</v>
      </c>
      <c r="C324" s="10" t="s">
        <v>903</v>
      </c>
      <c r="D324" t="s">
        <v>61</v>
      </c>
      <c r="E324" t="s">
        <v>759</v>
      </c>
      <c r="F324" t="s">
        <v>906</v>
      </c>
      <c r="G324">
        <v>5000</v>
      </c>
      <c r="H324">
        <v>1986</v>
      </c>
      <c r="I324" t="s">
        <v>58</v>
      </c>
      <c r="J324" t="s">
        <v>61</v>
      </c>
      <c r="K324" t="s">
        <v>61</v>
      </c>
      <c r="L324" t="s">
        <v>58</v>
      </c>
      <c r="M324" t="s">
        <v>58</v>
      </c>
      <c r="Q324" t="s">
        <v>132</v>
      </c>
      <c r="R324" s="11" t="str">
        <f>HYPERLINK("\\imagefiles.bcgov\imagery\scanned_maps\moe_terrain_maps\Scanned_T_maps_all\B04\B04-5175","\\imagefiles.bcgov\imagery\scanned_maps\moe_terrain_maps\Scanned_T_maps_all\B04\B04-5175")</f>
        <v>\\imagefiles.bcgov\imagery\scanned_maps\moe_terrain_maps\Scanned_T_maps_all\B04\B04-5175</v>
      </c>
      <c r="S324" t="s">
        <v>62</v>
      </c>
      <c r="T324" s="11" t="str">
        <f>HYPERLINK("http://www.env.gov.bc.ca/esd/distdata/ecosystems/TEI_Scanned_Maps/B04/B04-5175","http://www.env.gov.bc.ca/esd/distdata/ecosystems/TEI_Scanned_Maps/B04/B04-5175")</f>
        <v>http://www.env.gov.bc.ca/esd/distdata/ecosystems/TEI_Scanned_Maps/B04/B04-5175</v>
      </c>
      <c r="U324" t="s">
        <v>58</v>
      </c>
      <c r="V324" t="s">
        <v>58</v>
      </c>
      <c r="W324" t="s">
        <v>58</v>
      </c>
      <c r="X324" t="s">
        <v>58</v>
      </c>
      <c r="Y324" t="s">
        <v>58</v>
      </c>
      <c r="Z324" t="s">
        <v>58</v>
      </c>
      <c r="AA324" t="s">
        <v>58</v>
      </c>
      <c r="AC324" t="s">
        <v>58</v>
      </c>
      <c r="AE324" t="s">
        <v>58</v>
      </c>
      <c r="AG324" t="s">
        <v>63</v>
      </c>
      <c r="AH324" s="11" t="str">
        <f t="shared" si="7"/>
        <v>mailto: soilterrain@victoria1.gov.bc.ca</v>
      </c>
    </row>
    <row r="325" spans="1:34">
      <c r="A325" t="s">
        <v>907</v>
      </c>
      <c r="B325" t="s">
        <v>56</v>
      </c>
      <c r="C325" s="10" t="s">
        <v>903</v>
      </c>
      <c r="D325" t="s">
        <v>61</v>
      </c>
      <c r="E325" t="s">
        <v>759</v>
      </c>
      <c r="F325" t="s">
        <v>908</v>
      </c>
      <c r="G325">
        <v>5000</v>
      </c>
      <c r="H325">
        <v>1986</v>
      </c>
      <c r="I325" t="s">
        <v>58</v>
      </c>
      <c r="J325" t="s">
        <v>61</v>
      </c>
      <c r="K325" t="s">
        <v>61</v>
      </c>
      <c r="L325" t="s">
        <v>58</v>
      </c>
      <c r="M325" t="s">
        <v>58</v>
      </c>
      <c r="Q325" t="s">
        <v>132</v>
      </c>
      <c r="R325" s="11" t="str">
        <f>HYPERLINK("\\imagefiles.bcgov\imagery\scanned_maps\moe_terrain_maps\Scanned_T_maps_all\B04\B04-5176","\\imagefiles.bcgov\imagery\scanned_maps\moe_terrain_maps\Scanned_T_maps_all\B04\B04-5176")</f>
        <v>\\imagefiles.bcgov\imagery\scanned_maps\moe_terrain_maps\Scanned_T_maps_all\B04\B04-5176</v>
      </c>
      <c r="S325" t="s">
        <v>62</v>
      </c>
      <c r="T325" s="11" t="str">
        <f>HYPERLINK("http://www.env.gov.bc.ca/esd/distdata/ecosystems/TEI_Scanned_Maps/B04/B04-5176","http://www.env.gov.bc.ca/esd/distdata/ecosystems/TEI_Scanned_Maps/B04/B04-5176")</f>
        <v>http://www.env.gov.bc.ca/esd/distdata/ecosystems/TEI_Scanned_Maps/B04/B04-5176</v>
      </c>
      <c r="U325" t="s">
        <v>58</v>
      </c>
      <c r="V325" t="s">
        <v>58</v>
      </c>
      <c r="W325" t="s">
        <v>58</v>
      </c>
      <c r="X325" t="s">
        <v>58</v>
      </c>
      <c r="Y325" t="s">
        <v>58</v>
      </c>
      <c r="Z325" t="s">
        <v>58</v>
      </c>
      <c r="AA325" t="s">
        <v>58</v>
      </c>
      <c r="AC325" t="s">
        <v>58</v>
      </c>
      <c r="AE325" t="s">
        <v>58</v>
      </c>
      <c r="AG325" t="s">
        <v>63</v>
      </c>
      <c r="AH325" s="11" t="str">
        <f t="shared" si="7"/>
        <v>mailto: soilterrain@victoria1.gov.bc.ca</v>
      </c>
    </row>
    <row r="326" spans="1:34">
      <c r="A326" t="s">
        <v>909</v>
      </c>
      <c r="B326" t="s">
        <v>56</v>
      </c>
      <c r="C326" s="10" t="s">
        <v>903</v>
      </c>
      <c r="D326" t="s">
        <v>61</v>
      </c>
      <c r="E326" t="s">
        <v>759</v>
      </c>
      <c r="F326" t="s">
        <v>910</v>
      </c>
      <c r="G326">
        <v>5000</v>
      </c>
      <c r="H326">
        <v>1986</v>
      </c>
      <c r="I326" t="s">
        <v>58</v>
      </c>
      <c r="J326" t="s">
        <v>61</v>
      </c>
      <c r="K326" t="s">
        <v>61</v>
      </c>
      <c r="L326" t="s">
        <v>58</v>
      </c>
      <c r="M326" t="s">
        <v>58</v>
      </c>
      <c r="Q326" t="s">
        <v>132</v>
      </c>
      <c r="R326" s="11" t="str">
        <f>HYPERLINK("\\imagefiles.bcgov\imagery\scanned_maps\moe_terrain_maps\Scanned_T_maps_all\B04\B04-5177","\\imagefiles.bcgov\imagery\scanned_maps\moe_terrain_maps\Scanned_T_maps_all\B04\B04-5177")</f>
        <v>\\imagefiles.bcgov\imagery\scanned_maps\moe_terrain_maps\Scanned_T_maps_all\B04\B04-5177</v>
      </c>
      <c r="S326" t="s">
        <v>62</v>
      </c>
      <c r="T326" s="11" t="str">
        <f>HYPERLINK("http://www.env.gov.bc.ca/esd/distdata/ecosystems/TEI_Scanned_Maps/B04/B04-5177","http://www.env.gov.bc.ca/esd/distdata/ecosystems/TEI_Scanned_Maps/B04/B04-5177")</f>
        <v>http://www.env.gov.bc.ca/esd/distdata/ecosystems/TEI_Scanned_Maps/B04/B04-5177</v>
      </c>
      <c r="U326" t="s">
        <v>58</v>
      </c>
      <c r="V326" t="s">
        <v>58</v>
      </c>
      <c r="W326" t="s">
        <v>58</v>
      </c>
      <c r="X326" t="s">
        <v>58</v>
      </c>
      <c r="Y326" t="s">
        <v>58</v>
      </c>
      <c r="Z326" t="s">
        <v>58</v>
      </c>
      <c r="AA326" t="s">
        <v>58</v>
      </c>
      <c r="AC326" t="s">
        <v>58</v>
      </c>
      <c r="AE326" t="s">
        <v>58</v>
      </c>
      <c r="AG326" t="s">
        <v>63</v>
      </c>
      <c r="AH326" s="11" t="str">
        <f t="shared" si="7"/>
        <v>mailto: soilterrain@victoria1.gov.bc.ca</v>
      </c>
    </row>
    <row r="327" spans="1:34">
      <c r="A327" t="s">
        <v>911</v>
      </c>
      <c r="B327" t="s">
        <v>56</v>
      </c>
      <c r="C327" s="10" t="s">
        <v>867</v>
      </c>
      <c r="D327" t="s">
        <v>61</v>
      </c>
      <c r="E327" t="s">
        <v>759</v>
      </c>
      <c r="F327" t="s">
        <v>912</v>
      </c>
      <c r="G327">
        <v>5000</v>
      </c>
      <c r="H327">
        <v>1986</v>
      </c>
      <c r="I327" t="s">
        <v>58</v>
      </c>
      <c r="J327" t="s">
        <v>61</v>
      </c>
      <c r="K327" t="s">
        <v>61</v>
      </c>
      <c r="L327" t="s">
        <v>58</v>
      </c>
      <c r="M327" t="s">
        <v>58</v>
      </c>
      <c r="Q327" t="s">
        <v>132</v>
      </c>
      <c r="R327" s="11" t="str">
        <f>HYPERLINK("\\imagefiles.bcgov\imagery\scanned_maps\moe_terrain_maps\Scanned_T_maps_all\B04\B04-5178","\\imagefiles.bcgov\imagery\scanned_maps\moe_terrain_maps\Scanned_T_maps_all\B04\B04-5178")</f>
        <v>\\imagefiles.bcgov\imagery\scanned_maps\moe_terrain_maps\Scanned_T_maps_all\B04\B04-5178</v>
      </c>
      <c r="S327" t="s">
        <v>62</v>
      </c>
      <c r="T327" s="11" t="str">
        <f>HYPERLINK("http://www.env.gov.bc.ca/esd/distdata/ecosystems/TEI_Scanned_Maps/B04/B04-5178","http://www.env.gov.bc.ca/esd/distdata/ecosystems/TEI_Scanned_Maps/B04/B04-5178")</f>
        <v>http://www.env.gov.bc.ca/esd/distdata/ecosystems/TEI_Scanned_Maps/B04/B04-5178</v>
      </c>
      <c r="U327" t="s">
        <v>58</v>
      </c>
      <c r="V327" t="s">
        <v>58</v>
      </c>
      <c r="W327" t="s">
        <v>58</v>
      </c>
      <c r="X327" t="s">
        <v>58</v>
      </c>
      <c r="Y327" t="s">
        <v>58</v>
      </c>
      <c r="Z327" t="s">
        <v>58</v>
      </c>
      <c r="AA327" t="s">
        <v>58</v>
      </c>
      <c r="AC327" t="s">
        <v>58</v>
      </c>
      <c r="AE327" t="s">
        <v>58</v>
      </c>
      <c r="AG327" t="s">
        <v>63</v>
      </c>
      <c r="AH327" s="11" t="str">
        <f t="shared" si="7"/>
        <v>mailto: soilterrain@victoria1.gov.bc.ca</v>
      </c>
    </row>
    <row r="328" spans="1:34">
      <c r="A328" t="s">
        <v>913</v>
      </c>
      <c r="B328" t="s">
        <v>56</v>
      </c>
      <c r="C328" s="10" t="s">
        <v>914</v>
      </c>
      <c r="D328" t="s">
        <v>58</v>
      </c>
      <c r="E328" t="s">
        <v>59</v>
      </c>
      <c r="F328" t="s">
        <v>915</v>
      </c>
      <c r="G328">
        <v>10000</v>
      </c>
      <c r="H328">
        <v>1989</v>
      </c>
      <c r="I328" t="s">
        <v>58</v>
      </c>
      <c r="J328" t="s">
        <v>58</v>
      </c>
      <c r="K328" t="s">
        <v>61</v>
      </c>
      <c r="L328" t="s">
        <v>58</v>
      </c>
      <c r="M328" t="s">
        <v>58</v>
      </c>
      <c r="Q328" t="s">
        <v>58</v>
      </c>
      <c r="R328" s="11" t="str">
        <f>HYPERLINK("\\imagefiles.bcgov\imagery\scanned_maps\moe_terrain_maps\Scanned_T_maps_all\B04\B05-4894","\\imagefiles.bcgov\imagery\scanned_maps\moe_terrain_maps\Scanned_T_maps_all\B04\B05-4894")</f>
        <v>\\imagefiles.bcgov\imagery\scanned_maps\moe_terrain_maps\Scanned_T_maps_all\B04\B05-4894</v>
      </c>
      <c r="S328" t="s">
        <v>62</v>
      </c>
      <c r="T328" s="11" t="str">
        <f>HYPERLINK("http://www.env.gov.bc.ca/esd/distdata/ecosystems/TEI_Scanned_Maps/B04/B05-4894","http://www.env.gov.bc.ca/esd/distdata/ecosystems/TEI_Scanned_Maps/B04/B05-4894")</f>
        <v>http://www.env.gov.bc.ca/esd/distdata/ecosystems/TEI_Scanned_Maps/B04/B05-4894</v>
      </c>
      <c r="U328" t="s">
        <v>58</v>
      </c>
      <c r="V328" t="s">
        <v>58</v>
      </c>
      <c r="W328" t="s">
        <v>58</v>
      </c>
      <c r="X328" t="s">
        <v>58</v>
      </c>
      <c r="Y328" t="s">
        <v>58</v>
      </c>
      <c r="Z328" t="s">
        <v>58</v>
      </c>
      <c r="AA328" t="s">
        <v>58</v>
      </c>
      <c r="AC328" t="s">
        <v>58</v>
      </c>
      <c r="AE328" t="s">
        <v>58</v>
      </c>
      <c r="AG328" t="s">
        <v>63</v>
      </c>
      <c r="AH328" s="11" t="str">
        <f t="shared" si="7"/>
        <v>mailto: soilterrain@victoria1.gov.bc.ca</v>
      </c>
    </row>
    <row r="329" spans="1:34">
      <c r="A329" t="s">
        <v>916</v>
      </c>
      <c r="B329" t="s">
        <v>56</v>
      </c>
      <c r="C329" s="10" t="s">
        <v>917</v>
      </c>
      <c r="D329" t="s">
        <v>58</v>
      </c>
      <c r="E329" t="s">
        <v>59</v>
      </c>
      <c r="F329" t="s">
        <v>915</v>
      </c>
      <c r="G329">
        <v>10000</v>
      </c>
      <c r="H329">
        <v>1992</v>
      </c>
      <c r="I329" t="s">
        <v>58</v>
      </c>
      <c r="J329" t="s">
        <v>58</v>
      </c>
      <c r="K329" t="s">
        <v>61</v>
      </c>
      <c r="L329" t="s">
        <v>58</v>
      </c>
      <c r="M329" t="s">
        <v>58</v>
      </c>
      <c r="Q329" t="s">
        <v>58</v>
      </c>
      <c r="R329" s="11" t="str">
        <f>HYPERLINK("\\imagefiles.bcgov\imagery\scanned_maps\moe_terrain_maps\Scanned_T_maps_all\B04\B05-4895","\\imagefiles.bcgov\imagery\scanned_maps\moe_terrain_maps\Scanned_T_maps_all\B04\B05-4895")</f>
        <v>\\imagefiles.bcgov\imagery\scanned_maps\moe_terrain_maps\Scanned_T_maps_all\B04\B05-4895</v>
      </c>
      <c r="S329" t="s">
        <v>62</v>
      </c>
      <c r="T329" s="11" t="str">
        <f>HYPERLINK("http://www.env.gov.bc.ca/esd/distdata/ecosystems/TEI_Scanned_Maps/B04/B05-4895","http://www.env.gov.bc.ca/esd/distdata/ecosystems/TEI_Scanned_Maps/B04/B05-4895")</f>
        <v>http://www.env.gov.bc.ca/esd/distdata/ecosystems/TEI_Scanned_Maps/B04/B05-4895</v>
      </c>
      <c r="U329" t="s">
        <v>58</v>
      </c>
      <c r="V329" t="s">
        <v>58</v>
      </c>
      <c r="W329" t="s">
        <v>58</v>
      </c>
      <c r="X329" t="s">
        <v>58</v>
      </c>
      <c r="Y329" t="s">
        <v>58</v>
      </c>
      <c r="Z329" t="s">
        <v>58</v>
      </c>
      <c r="AA329" t="s">
        <v>58</v>
      </c>
      <c r="AC329" t="s">
        <v>58</v>
      </c>
      <c r="AE329" t="s">
        <v>58</v>
      </c>
      <c r="AG329" t="s">
        <v>63</v>
      </c>
      <c r="AH329" s="11" t="str">
        <f t="shared" si="7"/>
        <v>mailto: soilterrain@victoria1.gov.bc.ca</v>
      </c>
    </row>
    <row r="330" spans="1:34">
      <c r="A330" t="s">
        <v>918</v>
      </c>
      <c r="B330" t="s">
        <v>56</v>
      </c>
      <c r="C330" s="10" t="s">
        <v>919</v>
      </c>
      <c r="D330" t="s">
        <v>58</v>
      </c>
      <c r="E330" t="s">
        <v>59</v>
      </c>
      <c r="F330" t="s">
        <v>915</v>
      </c>
      <c r="G330">
        <v>10000</v>
      </c>
      <c r="H330">
        <v>1989</v>
      </c>
      <c r="I330" t="s">
        <v>58</v>
      </c>
      <c r="J330" t="s">
        <v>58</v>
      </c>
      <c r="K330" t="s">
        <v>61</v>
      </c>
      <c r="L330" t="s">
        <v>58</v>
      </c>
      <c r="M330" t="s">
        <v>58</v>
      </c>
      <c r="Q330" t="s">
        <v>58</v>
      </c>
      <c r="R330" s="11" t="str">
        <f>HYPERLINK("\\imagefiles.bcgov\imagery\scanned_maps\moe_terrain_maps\Scanned_T_maps_all\B04\B05-4896","\\imagefiles.bcgov\imagery\scanned_maps\moe_terrain_maps\Scanned_T_maps_all\B04\B05-4896")</f>
        <v>\\imagefiles.bcgov\imagery\scanned_maps\moe_terrain_maps\Scanned_T_maps_all\B04\B05-4896</v>
      </c>
      <c r="S330" t="s">
        <v>62</v>
      </c>
      <c r="T330" s="11" t="str">
        <f>HYPERLINK("http://www.env.gov.bc.ca/esd/distdata/ecosystems/TEI_Scanned_Maps/B04/B05-4896","http://www.env.gov.bc.ca/esd/distdata/ecosystems/TEI_Scanned_Maps/B04/B05-4896")</f>
        <v>http://www.env.gov.bc.ca/esd/distdata/ecosystems/TEI_Scanned_Maps/B04/B05-4896</v>
      </c>
      <c r="U330" t="s">
        <v>58</v>
      </c>
      <c r="V330" t="s">
        <v>58</v>
      </c>
      <c r="W330" t="s">
        <v>58</v>
      </c>
      <c r="X330" t="s">
        <v>58</v>
      </c>
      <c r="Y330" t="s">
        <v>58</v>
      </c>
      <c r="Z330" t="s">
        <v>58</v>
      </c>
      <c r="AA330" t="s">
        <v>58</v>
      </c>
      <c r="AC330" t="s">
        <v>58</v>
      </c>
      <c r="AE330" t="s">
        <v>58</v>
      </c>
      <c r="AG330" t="s">
        <v>63</v>
      </c>
      <c r="AH330" s="11" t="str">
        <f t="shared" si="7"/>
        <v>mailto: soilterrain@victoria1.gov.bc.ca</v>
      </c>
    </row>
    <row r="331" spans="1:34">
      <c r="A331" t="s">
        <v>920</v>
      </c>
      <c r="B331" t="s">
        <v>56</v>
      </c>
      <c r="C331" s="10" t="s">
        <v>921</v>
      </c>
      <c r="D331" t="s">
        <v>58</v>
      </c>
      <c r="E331" t="s">
        <v>59</v>
      </c>
      <c r="F331" t="s">
        <v>915</v>
      </c>
      <c r="G331">
        <v>10000</v>
      </c>
      <c r="H331">
        <v>1989</v>
      </c>
      <c r="I331" t="s">
        <v>58</v>
      </c>
      <c r="J331" t="s">
        <v>58</v>
      </c>
      <c r="K331" t="s">
        <v>61</v>
      </c>
      <c r="L331" t="s">
        <v>58</v>
      </c>
      <c r="M331" t="s">
        <v>58</v>
      </c>
      <c r="Q331" t="s">
        <v>58</v>
      </c>
      <c r="R331" s="11" t="str">
        <f>HYPERLINK("\\imagefiles.bcgov\imagery\scanned_maps\moe_terrain_maps\Scanned_T_maps_all\B04\B05-4897","\\imagefiles.bcgov\imagery\scanned_maps\moe_terrain_maps\Scanned_T_maps_all\B04\B05-4897")</f>
        <v>\\imagefiles.bcgov\imagery\scanned_maps\moe_terrain_maps\Scanned_T_maps_all\B04\B05-4897</v>
      </c>
      <c r="S331" t="s">
        <v>62</v>
      </c>
      <c r="T331" s="11" t="str">
        <f>HYPERLINK("http://www.env.gov.bc.ca/esd/distdata/ecosystems/TEI_Scanned_Maps/B04/B05-4897","http://www.env.gov.bc.ca/esd/distdata/ecosystems/TEI_Scanned_Maps/B04/B05-4897")</f>
        <v>http://www.env.gov.bc.ca/esd/distdata/ecosystems/TEI_Scanned_Maps/B04/B05-4897</v>
      </c>
      <c r="U331" t="s">
        <v>58</v>
      </c>
      <c r="V331" t="s">
        <v>58</v>
      </c>
      <c r="W331" t="s">
        <v>58</v>
      </c>
      <c r="X331" t="s">
        <v>58</v>
      </c>
      <c r="Y331" t="s">
        <v>58</v>
      </c>
      <c r="Z331" t="s">
        <v>58</v>
      </c>
      <c r="AA331" t="s">
        <v>58</v>
      </c>
      <c r="AC331" t="s">
        <v>58</v>
      </c>
      <c r="AE331" t="s">
        <v>58</v>
      </c>
      <c r="AG331" t="s">
        <v>63</v>
      </c>
      <c r="AH331" s="11" t="str">
        <f t="shared" si="7"/>
        <v>mailto: soilterrain@victoria1.gov.bc.ca</v>
      </c>
    </row>
    <row r="332" spans="1:34">
      <c r="A332" t="s">
        <v>922</v>
      </c>
      <c r="B332" t="s">
        <v>56</v>
      </c>
      <c r="C332" s="10" t="s">
        <v>923</v>
      </c>
      <c r="D332" t="s">
        <v>58</v>
      </c>
      <c r="E332" t="s">
        <v>58</v>
      </c>
      <c r="F332" t="s">
        <v>924</v>
      </c>
      <c r="G332">
        <v>50000</v>
      </c>
      <c r="H332" t="s">
        <v>925</v>
      </c>
      <c r="I332" t="s">
        <v>58</v>
      </c>
      <c r="J332" t="s">
        <v>58</v>
      </c>
      <c r="K332" t="s">
        <v>61</v>
      </c>
      <c r="L332" t="s">
        <v>58</v>
      </c>
      <c r="M332" t="s">
        <v>58</v>
      </c>
      <c r="Q332" t="s">
        <v>58</v>
      </c>
      <c r="R332" s="11" t="str">
        <f>HYPERLINK("\\imagefiles.bcgov\imagery\scanned_maps\moe_terrain_maps\Scanned_T_maps_all\B06\B06-5179","\\imagefiles.bcgov\imagery\scanned_maps\moe_terrain_maps\Scanned_T_maps_all\B06\B06-5179")</f>
        <v>\\imagefiles.bcgov\imagery\scanned_maps\moe_terrain_maps\Scanned_T_maps_all\B06\B06-5179</v>
      </c>
      <c r="S332" t="s">
        <v>62</v>
      </c>
      <c r="T332" s="11" t="str">
        <f>HYPERLINK("http://www.env.gov.bc.ca/esd/distdata/ecosystems/TEI_Scanned_Maps/B06/B06-5179","http://www.env.gov.bc.ca/esd/distdata/ecosystems/TEI_Scanned_Maps/B06/B06-5179")</f>
        <v>http://www.env.gov.bc.ca/esd/distdata/ecosystems/TEI_Scanned_Maps/B06/B06-5179</v>
      </c>
      <c r="U332" t="s">
        <v>58</v>
      </c>
      <c r="V332" t="s">
        <v>58</v>
      </c>
      <c r="W332" t="s">
        <v>58</v>
      </c>
      <c r="X332" t="s">
        <v>58</v>
      </c>
      <c r="Y332" t="s">
        <v>58</v>
      </c>
      <c r="Z332" t="s">
        <v>58</v>
      </c>
      <c r="AA332" t="s">
        <v>58</v>
      </c>
      <c r="AC332" t="s">
        <v>58</v>
      </c>
      <c r="AE332" t="s">
        <v>58</v>
      </c>
      <c r="AG332" t="s">
        <v>63</v>
      </c>
      <c r="AH332" s="11" t="str">
        <f t="shared" si="7"/>
        <v>mailto: soilterrain@victoria1.gov.bc.ca</v>
      </c>
    </row>
    <row r="333" spans="1:34">
      <c r="A333" t="s">
        <v>926</v>
      </c>
      <c r="B333" t="s">
        <v>56</v>
      </c>
      <c r="C333" s="10" t="s">
        <v>927</v>
      </c>
      <c r="D333" t="s">
        <v>58</v>
      </c>
      <c r="E333" t="s">
        <v>58</v>
      </c>
      <c r="F333" t="s">
        <v>928</v>
      </c>
      <c r="G333">
        <v>50000</v>
      </c>
      <c r="H333" t="s">
        <v>925</v>
      </c>
      <c r="I333" t="s">
        <v>58</v>
      </c>
      <c r="J333" t="s">
        <v>58</v>
      </c>
      <c r="K333" t="s">
        <v>61</v>
      </c>
      <c r="L333" t="s">
        <v>58</v>
      </c>
      <c r="M333" t="s">
        <v>58</v>
      </c>
      <c r="Q333" t="s">
        <v>58</v>
      </c>
      <c r="R333" s="11" t="str">
        <f>HYPERLINK("\\imagefiles.bcgov\imagery\scanned_maps\moe_terrain_maps\Scanned_T_maps_all\B06\B06-5180","\\imagefiles.bcgov\imagery\scanned_maps\moe_terrain_maps\Scanned_T_maps_all\B06\B06-5180")</f>
        <v>\\imagefiles.bcgov\imagery\scanned_maps\moe_terrain_maps\Scanned_T_maps_all\B06\B06-5180</v>
      </c>
      <c r="S333" t="s">
        <v>62</v>
      </c>
      <c r="T333" s="11" t="str">
        <f>HYPERLINK("http://www.env.gov.bc.ca/esd/distdata/ecosystems/TEI_Scanned_Maps/B06/B06-5180","http://www.env.gov.bc.ca/esd/distdata/ecosystems/TEI_Scanned_Maps/B06/B06-5180")</f>
        <v>http://www.env.gov.bc.ca/esd/distdata/ecosystems/TEI_Scanned_Maps/B06/B06-5180</v>
      </c>
      <c r="U333" t="s">
        <v>58</v>
      </c>
      <c r="V333" t="s">
        <v>58</v>
      </c>
      <c r="W333" t="s">
        <v>58</v>
      </c>
      <c r="X333" t="s">
        <v>58</v>
      </c>
      <c r="Y333" t="s">
        <v>58</v>
      </c>
      <c r="Z333" t="s">
        <v>58</v>
      </c>
      <c r="AA333" t="s">
        <v>58</v>
      </c>
      <c r="AC333" t="s">
        <v>58</v>
      </c>
      <c r="AE333" t="s">
        <v>58</v>
      </c>
      <c r="AG333" t="s">
        <v>63</v>
      </c>
      <c r="AH333" s="11" t="str">
        <f t="shared" si="7"/>
        <v>mailto: soilterrain@victoria1.gov.bc.ca</v>
      </c>
    </row>
    <row r="334" spans="1:34">
      <c r="A334" t="s">
        <v>929</v>
      </c>
      <c r="B334" t="s">
        <v>56</v>
      </c>
      <c r="C334" s="10" t="s">
        <v>930</v>
      </c>
      <c r="D334" t="s">
        <v>58</v>
      </c>
      <c r="E334" t="s">
        <v>58</v>
      </c>
      <c r="F334" t="s">
        <v>931</v>
      </c>
      <c r="G334">
        <v>50000</v>
      </c>
      <c r="H334" t="s">
        <v>925</v>
      </c>
      <c r="I334" t="s">
        <v>58</v>
      </c>
      <c r="J334" t="s">
        <v>58</v>
      </c>
      <c r="K334" t="s">
        <v>61</v>
      </c>
      <c r="L334" t="s">
        <v>58</v>
      </c>
      <c r="M334" t="s">
        <v>58</v>
      </c>
      <c r="Q334" t="s">
        <v>58</v>
      </c>
      <c r="R334" s="11" t="str">
        <f>HYPERLINK("\\imagefiles.bcgov\imagery\scanned_maps\moe_terrain_maps\Scanned_T_maps_all\B06\B06-5181","\\imagefiles.bcgov\imagery\scanned_maps\moe_terrain_maps\Scanned_T_maps_all\B06\B06-5181")</f>
        <v>\\imagefiles.bcgov\imagery\scanned_maps\moe_terrain_maps\Scanned_T_maps_all\B06\B06-5181</v>
      </c>
      <c r="S334" t="s">
        <v>62</v>
      </c>
      <c r="T334" s="11" t="str">
        <f>HYPERLINK("http://www.env.gov.bc.ca/esd/distdata/ecosystems/TEI_Scanned_Maps/B06/B06-5181","http://www.env.gov.bc.ca/esd/distdata/ecosystems/TEI_Scanned_Maps/B06/B06-5181")</f>
        <v>http://www.env.gov.bc.ca/esd/distdata/ecosystems/TEI_Scanned_Maps/B06/B06-5181</v>
      </c>
      <c r="U334" t="s">
        <v>58</v>
      </c>
      <c r="V334" t="s">
        <v>58</v>
      </c>
      <c r="W334" t="s">
        <v>58</v>
      </c>
      <c r="X334" t="s">
        <v>58</v>
      </c>
      <c r="Y334" t="s">
        <v>58</v>
      </c>
      <c r="Z334" t="s">
        <v>58</v>
      </c>
      <c r="AA334" t="s">
        <v>58</v>
      </c>
      <c r="AC334" t="s">
        <v>58</v>
      </c>
      <c r="AE334" t="s">
        <v>58</v>
      </c>
      <c r="AG334" t="s">
        <v>63</v>
      </c>
      <c r="AH334" s="11" t="str">
        <f t="shared" si="7"/>
        <v>mailto: soilterrain@victoria1.gov.bc.ca</v>
      </c>
    </row>
    <row r="335" spans="1:34">
      <c r="A335" t="s">
        <v>932</v>
      </c>
      <c r="B335" t="s">
        <v>56</v>
      </c>
      <c r="C335" s="10" t="s">
        <v>933</v>
      </c>
      <c r="D335" t="s">
        <v>58</v>
      </c>
      <c r="E335" t="s">
        <v>58</v>
      </c>
      <c r="F335" t="s">
        <v>934</v>
      </c>
      <c r="G335">
        <v>50000</v>
      </c>
      <c r="H335" t="s">
        <v>925</v>
      </c>
      <c r="I335" t="s">
        <v>58</v>
      </c>
      <c r="J335" t="s">
        <v>58</v>
      </c>
      <c r="K335" t="s">
        <v>61</v>
      </c>
      <c r="L335" t="s">
        <v>58</v>
      </c>
      <c r="M335" t="s">
        <v>58</v>
      </c>
      <c r="Q335" t="s">
        <v>58</v>
      </c>
      <c r="R335" s="11" t="str">
        <f>HYPERLINK("\\imagefiles.bcgov\imagery\scanned_maps\moe_terrain_maps\Scanned_T_maps_all\B06\B06-5182","\\imagefiles.bcgov\imagery\scanned_maps\moe_terrain_maps\Scanned_T_maps_all\B06\B06-5182")</f>
        <v>\\imagefiles.bcgov\imagery\scanned_maps\moe_terrain_maps\Scanned_T_maps_all\B06\B06-5182</v>
      </c>
      <c r="S335" t="s">
        <v>62</v>
      </c>
      <c r="T335" s="11" t="str">
        <f>HYPERLINK("http://www.env.gov.bc.ca/esd/distdata/ecosystems/TEI_Scanned_Maps/B06/B06-5182","http://www.env.gov.bc.ca/esd/distdata/ecosystems/TEI_Scanned_Maps/B06/B06-5182")</f>
        <v>http://www.env.gov.bc.ca/esd/distdata/ecosystems/TEI_Scanned_Maps/B06/B06-5182</v>
      </c>
      <c r="U335" t="s">
        <v>58</v>
      </c>
      <c r="V335" t="s">
        <v>58</v>
      </c>
      <c r="W335" t="s">
        <v>58</v>
      </c>
      <c r="X335" t="s">
        <v>58</v>
      </c>
      <c r="Y335" t="s">
        <v>58</v>
      </c>
      <c r="Z335" t="s">
        <v>58</v>
      </c>
      <c r="AA335" t="s">
        <v>58</v>
      </c>
      <c r="AC335" t="s">
        <v>58</v>
      </c>
      <c r="AE335" t="s">
        <v>58</v>
      </c>
      <c r="AG335" t="s">
        <v>63</v>
      </c>
      <c r="AH335" s="11" t="str">
        <f t="shared" si="7"/>
        <v>mailto: soilterrain@victoria1.gov.bc.ca</v>
      </c>
    </row>
    <row r="336" spans="1:34">
      <c r="A336" t="s">
        <v>935</v>
      </c>
      <c r="B336" t="s">
        <v>56</v>
      </c>
      <c r="C336" s="10" t="s">
        <v>936</v>
      </c>
      <c r="D336" t="s">
        <v>58</v>
      </c>
      <c r="E336" t="s">
        <v>58</v>
      </c>
      <c r="F336" t="s">
        <v>937</v>
      </c>
      <c r="G336">
        <v>50000</v>
      </c>
      <c r="H336" t="s">
        <v>925</v>
      </c>
      <c r="I336" t="s">
        <v>58</v>
      </c>
      <c r="J336" t="s">
        <v>58</v>
      </c>
      <c r="K336" t="s">
        <v>61</v>
      </c>
      <c r="L336" t="s">
        <v>58</v>
      </c>
      <c r="M336" t="s">
        <v>58</v>
      </c>
      <c r="Q336" t="s">
        <v>58</v>
      </c>
      <c r="R336" s="11" t="str">
        <f>HYPERLINK("\\imagefiles.bcgov\imagery\scanned_maps\moe_terrain_maps\Scanned_T_maps_all\B06\B06-5183","\\imagefiles.bcgov\imagery\scanned_maps\moe_terrain_maps\Scanned_T_maps_all\B06\B06-5183")</f>
        <v>\\imagefiles.bcgov\imagery\scanned_maps\moe_terrain_maps\Scanned_T_maps_all\B06\B06-5183</v>
      </c>
      <c r="S336" t="s">
        <v>62</v>
      </c>
      <c r="T336" s="11" t="str">
        <f>HYPERLINK("http://www.env.gov.bc.ca/esd/distdata/ecosystems/TEI_Scanned_Maps/B06/B06-5183","http://www.env.gov.bc.ca/esd/distdata/ecosystems/TEI_Scanned_Maps/B06/B06-5183")</f>
        <v>http://www.env.gov.bc.ca/esd/distdata/ecosystems/TEI_Scanned_Maps/B06/B06-5183</v>
      </c>
      <c r="U336" t="s">
        <v>58</v>
      </c>
      <c r="V336" t="s">
        <v>58</v>
      </c>
      <c r="W336" t="s">
        <v>58</v>
      </c>
      <c r="X336" t="s">
        <v>58</v>
      </c>
      <c r="Y336" t="s">
        <v>58</v>
      </c>
      <c r="Z336" t="s">
        <v>58</v>
      </c>
      <c r="AA336" t="s">
        <v>58</v>
      </c>
      <c r="AC336" t="s">
        <v>58</v>
      </c>
      <c r="AE336" t="s">
        <v>58</v>
      </c>
      <c r="AG336" t="s">
        <v>63</v>
      </c>
      <c r="AH336" s="11" t="str">
        <f t="shared" si="7"/>
        <v>mailto: soilterrain@victoria1.gov.bc.ca</v>
      </c>
    </row>
    <row r="337" spans="1:34">
      <c r="A337" t="s">
        <v>938</v>
      </c>
      <c r="B337" t="s">
        <v>56</v>
      </c>
      <c r="C337" s="10" t="s">
        <v>939</v>
      </c>
      <c r="D337" t="s">
        <v>58</v>
      </c>
      <c r="E337" t="s">
        <v>58</v>
      </c>
      <c r="F337" t="s">
        <v>940</v>
      </c>
      <c r="G337">
        <v>50000</v>
      </c>
      <c r="H337" t="s">
        <v>925</v>
      </c>
      <c r="I337" t="s">
        <v>58</v>
      </c>
      <c r="J337" t="s">
        <v>58</v>
      </c>
      <c r="K337" t="s">
        <v>61</v>
      </c>
      <c r="L337" t="s">
        <v>58</v>
      </c>
      <c r="M337" t="s">
        <v>58</v>
      </c>
      <c r="Q337" t="s">
        <v>58</v>
      </c>
      <c r="R337" s="11" t="str">
        <f>HYPERLINK("\\imagefiles.bcgov\imagery\scanned_maps\moe_terrain_maps\Scanned_T_maps_all\B06\B06-5184","\\imagefiles.bcgov\imagery\scanned_maps\moe_terrain_maps\Scanned_T_maps_all\B06\B06-5184")</f>
        <v>\\imagefiles.bcgov\imagery\scanned_maps\moe_terrain_maps\Scanned_T_maps_all\B06\B06-5184</v>
      </c>
      <c r="S337" t="s">
        <v>62</v>
      </c>
      <c r="T337" s="11" t="str">
        <f>HYPERLINK("http://www.env.gov.bc.ca/esd/distdata/ecosystems/TEI_Scanned_Maps/B06/B06-5184","http://www.env.gov.bc.ca/esd/distdata/ecosystems/TEI_Scanned_Maps/B06/B06-5184")</f>
        <v>http://www.env.gov.bc.ca/esd/distdata/ecosystems/TEI_Scanned_Maps/B06/B06-5184</v>
      </c>
      <c r="U337" t="s">
        <v>58</v>
      </c>
      <c r="V337" t="s">
        <v>58</v>
      </c>
      <c r="W337" t="s">
        <v>58</v>
      </c>
      <c r="X337" t="s">
        <v>58</v>
      </c>
      <c r="Y337" t="s">
        <v>58</v>
      </c>
      <c r="Z337" t="s">
        <v>58</v>
      </c>
      <c r="AA337" t="s">
        <v>58</v>
      </c>
      <c r="AC337" t="s">
        <v>58</v>
      </c>
      <c r="AE337" t="s">
        <v>58</v>
      </c>
      <c r="AG337" t="s">
        <v>63</v>
      </c>
      <c r="AH337" s="11" t="str">
        <f t="shared" si="7"/>
        <v>mailto: soilterrain@victoria1.gov.bc.ca</v>
      </c>
    </row>
    <row r="338" spans="1:34">
      <c r="A338" t="s">
        <v>941</v>
      </c>
      <c r="B338" t="s">
        <v>56</v>
      </c>
      <c r="C338" s="10" t="s">
        <v>942</v>
      </c>
      <c r="D338" t="s">
        <v>58</v>
      </c>
      <c r="E338" t="s">
        <v>58</v>
      </c>
      <c r="F338" t="s">
        <v>943</v>
      </c>
      <c r="G338">
        <v>50000</v>
      </c>
      <c r="H338" t="s">
        <v>187</v>
      </c>
      <c r="I338" t="s">
        <v>58</v>
      </c>
      <c r="J338" t="s">
        <v>58</v>
      </c>
      <c r="K338" t="s">
        <v>61</v>
      </c>
      <c r="L338" t="s">
        <v>58</v>
      </c>
      <c r="M338" t="s">
        <v>58</v>
      </c>
      <c r="Q338" t="s">
        <v>58</v>
      </c>
      <c r="R338" s="11" t="str">
        <f>HYPERLINK("\\imagefiles.bcgov\imagery\scanned_maps\moe_terrain_maps\Scanned_T_maps_all\B06\B06-5185","\\imagefiles.bcgov\imagery\scanned_maps\moe_terrain_maps\Scanned_T_maps_all\B06\B06-5185")</f>
        <v>\\imagefiles.bcgov\imagery\scanned_maps\moe_terrain_maps\Scanned_T_maps_all\B06\B06-5185</v>
      </c>
      <c r="S338" t="s">
        <v>62</v>
      </c>
      <c r="T338" s="11" t="str">
        <f>HYPERLINK("http://www.env.gov.bc.ca/esd/distdata/ecosystems/TEI_Scanned_Maps/B06/B06-5185","http://www.env.gov.bc.ca/esd/distdata/ecosystems/TEI_Scanned_Maps/B06/B06-5185")</f>
        <v>http://www.env.gov.bc.ca/esd/distdata/ecosystems/TEI_Scanned_Maps/B06/B06-5185</v>
      </c>
      <c r="U338" t="s">
        <v>58</v>
      </c>
      <c r="V338" t="s">
        <v>58</v>
      </c>
      <c r="W338" t="s">
        <v>58</v>
      </c>
      <c r="X338" t="s">
        <v>58</v>
      </c>
      <c r="Y338" t="s">
        <v>58</v>
      </c>
      <c r="Z338" t="s">
        <v>58</v>
      </c>
      <c r="AA338" t="s">
        <v>58</v>
      </c>
      <c r="AC338" t="s">
        <v>58</v>
      </c>
      <c r="AE338" t="s">
        <v>58</v>
      </c>
      <c r="AG338" t="s">
        <v>63</v>
      </c>
      <c r="AH338" s="11" t="str">
        <f t="shared" si="7"/>
        <v>mailto: soilterrain@victoria1.gov.bc.ca</v>
      </c>
    </row>
    <row r="339" spans="1:34">
      <c r="A339" t="s">
        <v>944</v>
      </c>
      <c r="B339" t="s">
        <v>56</v>
      </c>
      <c r="C339" s="10" t="s">
        <v>945</v>
      </c>
      <c r="D339" t="s">
        <v>58</v>
      </c>
      <c r="E339" t="s">
        <v>58</v>
      </c>
      <c r="F339" t="s">
        <v>946</v>
      </c>
      <c r="G339">
        <v>50000</v>
      </c>
      <c r="H339">
        <v>1980</v>
      </c>
      <c r="I339" t="s">
        <v>58</v>
      </c>
      <c r="J339" t="s">
        <v>58</v>
      </c>
      <c r="K339" t="s">
        <v>58</v>
      </c>
      <c r="L339" t="s">
        <v>61</v>
      </c>
      <c r="M339" t="s">
        <v>58</v>
      </c>
      <c r="Q339" t="s">
        <v>58</v>
      </c>
      <c r="R339" s="11" t="str">
        <f>HYPERLINK("\\imagefiles.bcgov\imagery\scanned_maps\moe_terrain_maps\Scanned_T_maps_all\B06\B06-5186","\\imagefiles.bcgov\imagery\scanned_maps\moe_terrain_maps\Scanned_T_maps_all\B06\B06-5186")</f>
        <v>\\imagefiles.bcgov\imagery\scanned_maps\moe_terrain_maps\Scanned_T_maps_all\B06\B06-5186</v>
      </c>
      <c r="S339" t="s">
        <v>62</v>
      </c>
      <c r="T339" s="11" t="str">
        <f>HYPERLINK("http://www.env.gov.bc.ca/esd/distdata/ecosystems/TEI_Scanned_Maps/B06/B06-5186","http://www.env.gov.bc.ca/esd/distdata/ecosystems/TEI_Scanned_Maps/B06/B06-5186")</f>
        <v>http://www.env.gov.bc.ca/esd/distdata/ecosystems/TEI_Scanned_Maps/B06/B06-5186</v>
      </c>
      <c r="U339" t="s">
        <v>58</v>
      </c>
      <c r="V339" t="s">
        <v>58</v>
      </c>
      <c r="W339" t="s">
        <v>58</v>
      </c>
      <c r="X339" t="s">
        <v>58</v>
      </c>
      <c r="Y339" t="s">
        <v>58</v>
      </c>
      <c r="Z339" t="s">
        <v>58</v>
      </c>
      <c r="AA339" t="s">
        <v>58</v>
      </c>
      <c r="AC339" t="s">
        <v>58</v>
      </c>
      <c r="AE339" t="s">
        <v>58</v>
      </c>
      <c r="AG339" t="s">
        <v>63</v>
      </c>
      <c r="AH339" s="11" t="str">
        <f t="shared" si="7"/>
        <v>mailto: soilterrain@victoria1.gov.bc.ca</v>
      </c>
    </row>
    <row r="340" spans="1:34">
      <c r="A340" t="s">
        <v>947</v>
      </c>
      <c r="B340" t="s">
        <v>56</v>
      </c>
      <c r="C340" s="10" t="s">
        <v>948</v>
      </c>
      <c r="D340" t="s">
        <v>58</v>
      </c>
      <c r="E340" t="s">
        <v>58</v>
      </c>
      <c r="F340" t="s">
        <v>949</v>
      </c>
      <c r="G340">
        <v>50000</v>
      </c>
      <c r="H340" t="s">
        <v>187</v>
      </c>
      <c r="I340" t="s">
        <v>58</v>
      </c>
      <c r="J340" t="s">
        <v>58</v>
      </c>
      <c r="K340" t="s">
        <v>61</v>
      </c>
      <c r="L340" t="s">
        <v>58</v>
      </c>
      <c r="M340" t="s">
        <v>58</v>
      </c>
      <c r="Q340" t="s">
        <v>58</v>
      </c>
      <c r="R340" s="11" t="str">
        <f>HYPERLINK("\\imagefiles.bcgov\imagery\scanned_maps\moe_terrain_maps\Scanned_T_maps_all\B06\B06-5187","\\imagefiles.bcgov\imagery\scanned_maps\moe_terrain_maps\Scanned_T_maps_all\B06\B06-5187")</f>
        <v>\\imagefiles.bcgov\imagery\scanned_maps\moe_terrain_maps\Scanned_T_maps_all\B06\B06-5187</v>
      </c>
      <c r="S340" t="s">
        <v>62</v>
      </c>
      <c r="T340" s="11" t="str">
        <f>HYPERLINK("http://www.env.gov.bc.ca/esd/distdata/ecosystems/TEI_Scanned_Maps/B06/B06-5187","http://www.env.gov.bc.ca/esd/distdata/ecosystems/TEI_Scanned_Maps/B06/B06-5187")</f>
        <v>http://www.env.gov.bc.ca/esd/distdata/ecosystems/TEI_Scanned_Maps/B06/B06-5187</v>
      </c>
      <c r="U340" t="s">
        <v>58</v>
      </c>
      <c r="V340" t="s">
        <v>58</v>
      </c>
      <c r="W340" t="s">
        <v>58</v>
      </c>
      <c r="X340" t="s">
        <v>58</v>
      </c>
      <c r="Y340" t="s">
        <v>58</v>
      </c>
      <c r="Z340" t="s">
        <v>58</v>
      </c>
      <c r="AA340" t="s">
        <v>58</v>
      </c>
      <c r="AC340" t="s">
        <v>58</v>
      </c>
      <c r="AE340" t="s">
        <v>58</v>
      </c>
      <c r="AG340" t="s">
        <v>63</v>
      </c>
      <c r="AH340" s="11" t="str">
        <f t="shared" si="7"/>
        <v>mailto: soilterrain@victoria1.gov.bc.ca</v>
      </c>
    </row>
    <row r="341" spans="1:34">
      <c r="A341" t="s">
        <v>950</v>
      </c>
      <c r="B341" t="s">
        <v>56</v>
      </c>
      <c r="C341" s="10" t="s">
        <v>951</v>
      </c>
      <c r="D341" t="s">
        <v>58</v>
      </c>
      <c r="E341" t="s">
        <v>58</v>
      </c>
      <c r="F341" t="s">
        <v>952</v>
      </c>
      <c r="G341">
        <v>50000</v>
      </c>
      <c r="H341">
        <v>1993</v>
      </c>
      <c r="I341" t="s">
        <v>58</v>
      </c>
      <c r="J341" t="s">
        <v>58</v>
      </c>
      <c r="K341" t="s">
        <v>61</v>
      </c>
      <c r="L341" t="s">
        <v>58</v>
      </c>
      <c r="M341" t="s">
        <v>58</v>
      </c>
      <c r="Q341" t="s">
        <v>58</v>
      </c>
      <c r="R341" s="11" t="str">
        <f>HYPERLINK("\\imagefiles.bcgov\imagery\scanned_maps\moe_terrain_maps\Scanned_T_maps_all\B06\B06-5188","\\imagefiles.bcgov\imagery\scanned_maps\moe_terrain_maps\Scanned_T_maps_all\B06\B06-5188")</f>
        <v>\\imagefiles.bcgov\imagery\scanned_maps\moe_terrain_maps\Scanned_T_maps_all\B06\B06-5188</v>
      </c>
      <c r="S341" t="s">
        <v>62</v>
      </c>
      <c r="T341" s="11" t="str">
        <f>HYPERLINK("http://www.env.gov.bc.ca/esd/distdata/ecosystems/TEI_Scanned_Maps/B06/B06-5188","http://www.env.gov.bc.ca/esd/distdata/ecosystems/TEI_Scanned_Maps/B06/B06-5188")</f>
        <v>http://www.env.gov.bc.ca/esd/distdata/ecosystems/TEI_Scanned_Maps/B06/B06-5188</v>
      </c>
      <c r="U341" t="s">
        <v>58</v>
      </c>
      <c r="V341" t="s">
        <v>58</v>
      </c>
      <c r="W341" t="s">
        <v>58</v>
      </c>
      <c r="X341" t="s">
        <v>58</v>
      </c>
      <c r="Y341" t="s">
        <v>58</v>
      </c>
      <c r="Z341" t="s">
        <v>58</v>
      </c>
      <c r="AA341" t="s">
        <v>58</v>
      </c>
      <c r="AC341" t="s">
        <v>58</v>
      </c>
      <c r="AE341" t="s">
        <v>58</v>
      </c>
      <c r="AG341" t="s">
        <v>63</v>
      </c>
      <c r="AH341" s="11" t="str">
        <f t="shared" si="7"/>
        <v>mailto: soilterrain@victoria1.gov.bc.ca</v>
      </c>
    </row>
    <row r="342" spans="1:34">
      <c r="A342" t="s">
        <v>953</v>
      </c>
      <c r="B342" t="s">
        <v>56</v>
      </c>
      <c r="C342" s="10" t="s">
        <v>954</v>
      </c>
      <c r="D342" t="s">
        <v>58</v>
      </c>
      <c r="E342" t="s">
        <v>58</v>
      </c>
      <c r="F342" t="s">
        <v>955</v>
      </c>
      <c r="G342">
        <v>50000</v>
      </c>
      <c r="H342">
        <v>1993</v>
      </c>
      <c r="I342" t="s">
        <v>58</v>
      </c>
      <c r="J342" t="s">
        <v>58</v>
      </c>
      <c r="K342" t="s">
        <v>61</v>
      </c>
      <c r="L342" t="s">
        <v>58</v>
      </c>
      <c r="M342" t="s">
        <v>58</v>
      </c>
      <c r="Q342" t="s">
        <v>58</v>
      </c>
      <c r="R342" s="11" t="str">
        <f>HYPERLINK("\\imagefiles.bcgov\imagery\scanned_maps\moe_terrain_maps\Scanned_T_maps_all\B06\B06-5189","\\imagefiles.bcgov\imagery\scanned_maps\moe_terrain_maps\Scanned_T_maps_all\B06\B06-5189")</f>
        <v>\\imagefiles.bcgov\imagery\scanned_maps\moe_terrain_maps\Scanned_T_maps_all\B06\B06-5189</v>
      </c>
      <c r="S342" t="s">
        <v>62</v>
      </c>
      <c r="T342" s="11" t="str">
        <f>HYPERLINK("http://www.env.gov.bc.ca/esd/distdata/ecosystems/TEI_Scanned_Maps/B06/B06-5189","http://www.env.gov.bc.ca/esd/distdata/ecosystems/TEI_Scanned_Maps/B06/B06-5189")</f>
        <v>http://www.env.gov.bc.ca/esd/distdata/ecosystems/TEI_Scanned_Maps/B06/B06-5189</v>
      </c>
      <c r="U342" t="s">
        <v>58</v>
      </c>
      <c r="V342" t="s">
        <v>58</v>
      </c>
      <c r="W342" t="s">
        <v>58</v>
      </c>
      <c r="X342" t="s">
        <v>58</v>
      </c>
      <c r="Y342" t="s">
        <v>58</v>
      </c>
      <c r="Z342" t="s">
        <v>58</v>
      </c>
      <c r="AA342" t="s">
        <v>58</v>
      </c>
      <c r="AC342" t="s">
        <v>58</v>
      </c>
      <c r="AE342" t="s">
        <v>58</v>
      </c>
      <c r="AG342" t="s">
        <v>63</v>
      </c>
      <c r="AH342" s="11" t="str">
        <f t="shared" si="7"/>
        <v>mailto: soilterrain@victoria1.gov.bc.ca</v>
      </c>
    </row>
    <row r="343" spans="1:34">
      <c r="A343" t="s">
        <v>956</v>
      </c>
      <c r="B343" t="s">
        <v>56</v>
      </c>
      <c r="C343" s="10" t="s">
        <v>957</v>
      </c>
      <c r="D343" t="s">
        <v>58</v>
      </c>
      <c r="E343" t="s">
        <v>58</v>
      </c>
      <c r="F343" t="s">
        <v>958</v>
      </c>
      <c r="G343">
        <v>50000</v>
      </c>
      <c r="H343">
        <v>1993</v>
      </c>
      <c r="I343" t="s">
        <v>58</v>
      </c>
      <c r="J343" t="s">
        <v>58</v>
      </c>
      <c r="K343" t="s">
        <v>61</v>
      </c>
      <c r="L343" t="s">
        <v>58</v>
      </c>
      <c r="M343" t="s">
        <v>58</v>
      </c>
      <c r="Q343" t="s">
        <v>58</v>
      </c>
      <c r="R343" s="11" t="str">
        <f>HYPERLINK("\\imagefiles.bcgov\imagery\scanned_maps\moe_terrain_maps\Scanned_T_maps_all\B06\B06-5190","\\imagefiles.bcgov\imagery\scanned_maps\moe_terrain_maps\Scanned_T_maps_all\B06\B06-5190")</f>
        <v>\\imagefiles.bcgov\imagery\scanned_maps\moe_terrain_maps\Scanned_T_maps_all\B06\B06-5190</v>
      </c>
      <c r="S343" t="s">
        <v>62</v>
      </c>
      <c r="T343" s="11" t="str">
        <f>HYPERLINK("http://www.env.gov.bc.ca/esd/distdata/ecosystems/TEI_Scanned_Maps/B06/B06-5190","http://www.env.gov.bc.ca/esd/distdata/ecosystems/TEI_Scanned_Maps/B06/B06-5190")</f>
        <v>http://www.env.gov.bc.ca/esd/distdata/ecosystems/TEI_Scanned_Maps/B06/B06-5190</v>
      </c>
      <c r="U343" t="s">
        <v>58</v>
      </c>
      <c r="V343" t="s">
        <v>58</v>
      </c>
      <c r="W343" t="s">
        <v>58</v>
      </c>
      <c r="X343" t="s">
        <v>58</v>
      </c>
      <c r="Y343" t="s">
        <v>58</v>
      </c>
      <c r="Z343" t="s">
        <v>58</v>
      </c>
      <c r="AA343" t="s">
        <v>58</v>
      </c>
      <c r="AC343" t="s">
        <v>58</v>
      </c>
      <c r="AE343" t="s">
        <v>58</v>
      </c>
      <c r="AG343" t="s">
        <v>63</v>
      </c>
      <c r="AH343" s="11" t="str">
        <f t="shared" si="7"/>
        <v>mailto: soilterrain@victoria1.gov.bc.ca</v>
      </c>
    </row>
    <row r="344" spans="1:34">
      <c r="A344" t="s">
        <v>959</v>
      </c>
      <c r="B344" t="s">
        <v>56</v>
      </c>
      <c r="C344" s="10" t="s">
        <v>960</v>
      </c>
      <c r="D344" t="s">
        <v>58</v>
      </c>
      <c r="E344" t="s">
        <v>58</v>
      </c>
      <c r="F344" t="s">
        <v>961</v>
      </c>
      <c r="G344">
        <v>50000</v>
      </c>
      <c r="H344">
        <v>1993</v>
      </c>
      <c r="I344" t="s">
        <v>58</v>
      </c>
      <c r="J344" t="s">
        <v>58</v>
      </c>
      <c r="K344" t="s">
        <v>61</v>
      </c>
      <c r="L344" t="s">
        <v>58</v>
      </c>
      <c r="M344" t="s">
        <v>58</v>
      </c>
      <c r="Q344" t="s">
        <v>58</v>
      </c>
      <c r="R344" s="11" t="str">
        <f>HYPERLINK("\\imagefiles.bcgov\imagery\scanned_maps\moe_terrain_maps\Scanned_T_maps_all\B06\B06-5191","\\imagefiles.bcgov\imagery\scanned_maps\moe_terrain_maps\Scanned_T_maps_all\B06\B06-5191")</f>
        <v>\\imagefiles.bcgov\imagery\scanned_maps\moe_terrain_maps\Scanned_T_maps_all\B06\B06-5191</v>
      </c>
      <c r="S344" t="s">
        <v>62</v>
      </c>
      <c r="T344" s="11" t="str">
        <f>HYPERLINK("http://www.env.gov.bc.ca/esd/distdata/ecosystems/TEI_Scanned_Maps/B06/B06-5191","http://www.env.gov.bc.ca/esd/distdata/ecosystems/TEI_Scanned_Maps/B06/B06-5191")</f>
        <v>http://www.env.gov.bc.ca/esd/distdata/ecosystems/TEI_Scanned_Maps/B06/B06-5191</v>
      </c>
      <c r="U344" t="s">
        <v>58</v>
      </c>
      <c r="V344" t="s">
        <v>58</v>
      </c>
      <c r="W344" t="s">
        <v>58</v>
      </c>
      <c r="X344" t="s">
        <v>58</v>
      </c>
      <c r="Y344" t="s">
        <v>58</v>
      </c>
      <c r="Z344" t="s">
        <v>58</v>
      </c>
      <c r="AA344" t="s">
        <v>58</v>
      </c>
      <c r="AC344" t="s">
        <v>58</v>
      </c>
      <c r="AE344" t="s">
        <v>58</v>
      </c>
      <c r="AG344" t="s">
        <v>63</v>
      </c>
      <c r="AH344" s="11" t="str">
        <f t="shared" si="7"/>
        <v>mailto: soilterrain@victoria1.gov.bc.ca</v>
      </c>
    </row>
    <row r="345" spans="1:34">
      <c r="A345" t="s">
        <v>962</v>
      </c>
      <c r="B345" t="s">
        <v>56</v>
      </c>
      <c r="C345" s="10" t="s">
        <v>963</v>
      </c>
      <c r="D345" t="s">
        <v>61</v>
      </c>
      <c r="E345" t="s">
        <v>58</v>
      </c>
      <c r="F345" t="s">
        <v>964</v>
      </c>
      <c r="G345">
        <v>50000</v>
      </c>
      <c r="H345" t="s">
        <v>187</v>
      </c>
      <c r="I345" t="s">
        <v>58</v>
      </c>
      <c r="J345" t="s">
        <v>58</v>
      </c>
      <c r="K345" t="s">
        <v>58</v>
      </c>
      <c r="L345" t="s">
        <v>58</v>
      </c>
      <c r="M345" t="s">
        <v>58</v>
      </c>
      <c r="P345" t="s">
        <v>61</v>
      </c>
      <c r="Q345" t="s">
        <v>58</v>
      </c>
      <c r="R345" s="11" t="str">
        <f>HYPERLINK("\\imagefiles.bcgov\imagery\scanned_maps\moe_terrain_maps\Scanned_T_maps_all\B06\B06-5192","\\imagefiles.bcgov\imagery\scanned_maps\moe_terrain_maps\Scanned_T_maps_all\B06\B06-5192")</f>
        <v>\\imagefiles.bcgov\imagery\scanned_maps\moe_terrain_maps\Scanned_T_maps_all\B06\B06-5192</v>
      </c>
      <c r="S345" t="s">
        <v>62</v>
      </c>
      <c r="T345" s="11" t="str">
        <f>HYPERLINK("http://www.env.gov.bc.ca/esd/distdata/ecosystems/TEI_Scanned_Maps/B06/B06-5192","http://www.env.gov.bc.ca/esd/distdata/ecosystems/TEI_Scanned_Maps/B06/B06-5192")</f>
        <v>http://www.env.gov.bc.ca/esd/distdata/ecosystems/TEI_Scanned_Maps/B06/B06-5192</v>
      </c>
      <c r="U345" t="s">
        <v>58</v>
      </c>
      <c r="V345" t="s">
        <v>58</v>
      </c>
      <c r="W345" t="s">
        <v>58</v>
      </c>
      <c r="X345" t="s">
        <v>58</v>
      </c>
      <c r="Y345" t="s">
        <v>58</v>
      </c>
      <c r="Z345" t="s">
        <v>58</v>
      </c>
      <c r="AA345" t="s">
        <v>58</v>
      </c>
      <c r="AC345" t="s">
        <v>58</v>
      </c>
      <c r="AE345" t="s">
        <v>58</v>
      </c>
      <c r="AG345" t="s">
        <v>63</v>
      </c>
      <c r="AH345" s="11" t="str">
        <f t="shared" si="7"/>
        <v>mailto: soilterrain@victoria1.gov.bc.ca</v>
      </c>
    </row>
    <row r="346" spans="1:34">
      <c r="A346" t="s">
        <v>965</v>
      </c>
      <c r="B346" t="s">
        <v>56</v>
      </c>
      <c r="C346" s="10" t="s">
        <v>966</v>
      </c>
      <c r="D346" t="s">
        <v>61</v>
      </c>
      <c r="E346" t="s">
        <v>58</v>
      </c>
      <c r="F346" t="s">
        <v>967</v>
      </c>
      <c r="G346">
        <v>50000</v>
      </c>
      <c r="H346" t="s">
        <v>187</v>
      </c>
      <c r="I346" t="s">
        <v>58</v>
      </c>
      <c r="J346" t="s">
        <v>58</v>
      </c>
      <c r="K346" t="s">
        <v>58</v>
      </c>
      <c r="L346" t="s">
        <v>58</v>
      </c>
      <c r="M346" t="s">
        <v>58</v>
      </c>
      <c r="P346" t="s">
        <v>61</v>
      </c>
      <c r="Q346" t="s">
        <v>58</v>
      </c>
      <c r="R346" s="11" t="str">
        <f>HYPERLINK("\\imagefiles.bcgov\imagery\scanned_maps\moe_terrain_maps\Scanned_T_maps_all\B06\B06-5193","\\imagefiles.bcgov\imagery\scanned_maps\moe_terrain_maps\Scanned_T_maps_all\B06\B06-5193")</f>
        <v>\\imagefiles.bcgov\imagery\scanned_maps\moe_terrain_maps\Scanned_T_maps_all\B06\B06-5193</v>
      </c>
      <c r="S346" t="s">
        <v>62</v>
      </c>
      <c r="T346" s="11" t="str">
        <f>HYPERLINK("http://www.env.gov.bc.ca/esd/distdata/ecosystems/TEI_Scanned_Maps/B06/B06-5193","http://www.env.gov.bc.ca/esd/distdata/ecosystems/TEI_Scanned_Maps/B06/B06-5193")</f>
        <v>http://www.env.gov.bc.ca/esd/distdata/ecosystems/TEI_Scanned_Maps/B06/B06-5193</v>
      </c>
      <c r="U346" t="s">
        <v>58</v>
      </c>
      <c r="V346" t="s">
        <v>58</v>
      </c>
      <c r="W346" t="s">
        <v>58</v>
      </c>
      <c r="X346" t="s">
        <v>58</v>
      </c>
      <c r="Y346" t="s">
        <v>58</v>
      </c>
      <c r="Z346" t="s">
        <v>58</v>
      </c>
      <c r="AA346" t="s">
        <v>58</v>
      </c>
      <c r="AC346" t="s">
        <v>58</v>
      </c>
      <c r="AE346" t="s">
        <v>58</v>
      </c>
      <c r="AG346" t="s">
        <v>63</v>
      </c>
      <c r="AH346" s="11" t="str">
        <f t="shared" si="7"/>
        <v>mailto: soilterrain@victoria1.gov.bc.ca</v>
      </c>
    </row>
    <row r="347" spans="1:34">
      <c r="A347" t="s">
        <v>968</v>
      </c>
      <c r="B347" t="s">
        <v>56</v>
      </c>
      <c r="C347" s="10" t="s">
        <v>963</v>
      </c>
      <c r="D347" t="s">
        <v>61</v>
      </c>
      <c r="E347" t="s">
        <v>58</v>
      </c>
      <c r="F347" t="s">
        <v>969</v>
      </c>
      <c r="G347">
        <v>50000</v>
      </c>
      <c r="H347" t="s">
        <v>187</v>
      </c>
      <c r="I347" t="s">
        <v>58</v>
      </c>
      <c r="J347" t="s">
        <v>58</v>
      </c>
      <c r="K347" t="s">
        <v>61</v>
      </c>
      <c r="L347" t="s">
        <v>58</v>
      </c>
      <c r="M347" t="s">
        <v>58</v>
      </c>
      <c r="Q347" t="s">
        <v>58</v>
      </c>
      <c r="R347" s="11" t="str">
        <f>HYPERLINK("\\imagefiles.bcgov\imagery\scanned_maps\moe_terrain_maps\Scanned_T_maps_all\B06\B06-5194","\\imagefiles.bcgov\imagery\scanned_maps\moe_terrain_maps\Scanned_T_maps_all\B06\B06-5194")</f>
        <v>\\imagefiles.bcgov\imagery\scanned_maps\moe_terrain_maps\Scanned_T_maps_all\B06\B06-5194</v>
      </c>
      <c r="S347" t="s">
        <v>62</v>
      </c>
      <c r="T347" s="11" t="str">
        <f>HYPERLINK("http://www.env.gov.bc.ca/esd/distdata/ecosystems/TEI_Scanned_Maps/B06/B06-5194","http://www.env.gov.bc.ca/esd/distdata/ecosystems/TEI_Scanned_Maps/B06/B06-5194")</f>
        <v>http://www.env.gov.bc.ca/esd/distdata/ecosystems/TEI_Scanned_Maps/B06/B06-5194</v>
      </c>
      <c r="U347" t="s">
        <v>58</v>
      </c>
      <c r="V347" t="s">
        <v>58</v>
      </c>
      <c r="W347" t="s">
        <v>58</v>
      </c>
      <c r="X347" t="s">
        <v>58</v>
      </c>
      <c r="Y347" t="s">
        <v>58</v>
      </c>
      <c r="Z347" t="s">
        <v>58</v>
      </c>
      <c r="AA347" t="s">
        <v>58</v>
      </c>
      <c r="AC347" t="s">
        <v>58</v>
      </c>
      <c r="AE347" t="s">
        <v>58</v>
      </c>
      <c r="AG347" t="s">
        <v>63</v>
      </c>
      <c r="AH347" s="11" t="str">
        <f t="shared" si="7"/>
        <v>mailto: soilterrain@victoria1.gov.bc.ca</v>
      </c>
    </row>
    <row r="348" spans="1:34">
      <c r="A348" t="s">
        <v>970</v>
      </c>
      <c r="B348" t="s">
        <v>56</v>
      </c>
      <c r="C348" s="10" t="s">
        <v>966</v>
      </c>
      <c r="D348" t="s">
        <v>61</v>
      </c>
      <c r="E348" t="s">
        <v>58</v>
      </c>
      <c r="F348" t="s">
        <v>971</v>
      </c>
      <c r="G348">
        <v>50000</v>
      </c>
      <c r="H348" t="s">
        <v>187</v>
      </c>
      <c r="I348" t="s">
        <v>58</v>
      </c>
      <c r="J348" t="s">
        <v>58</v>
      </c>
      <c r="K348" t="s">
        <v>61</v>
      </c>
      <c r="L348" t="s">
        <v>58</v>
      </c>
      <c r="M348" t="s">
        <v>58</v>
      </c>
      <c r="Q348" t="s">
        <v>58</v>
      </c>
      <c r="R348" s="11" t="str">
        <f>HYPERLINK("\\imagefiles.bcgov\imagery\scanned_maps\moe_terrain_maps\Scanned_T_maps_all\B06\B06-5195","\\imagefiles.bcgov\imagery\scanned_maps\moe_terrain_maps\Scanned_T_maps_all\B06\B06-5195")</f>
        <v>\\imagefiles.bcgov\imagery\scanned_maps\moe_terrain_maps\Scanned_T_maps_all\B06\B06-5195</v>
      </c>
      <c r="S348" t="s">
        <v>62</v>
      </c>
      <c r="T348" s="11" t="str">
        <f>HYPERLINK("http://www.env.gov.bc.ca/esd/distdata/ecosystems/TEI_Scanned_Maps/B06/B06-5195","http://www.env.gov.bc.ca/esd/distdata/ecosystems/TEI_Scanned_Maps/B06/B06-5195")</f>
        <v>http://www.env.gov.bc.ca/esd/distdata/ecosystems/TEI_Scanned_Maps/B06/B06-5195</v>
      </c>
      <c r="U348" t="s">
        <v>58</v>
      </c>
      <c r="V348" t="s">
        <v>58</v>
      </c>
      <c r="W348" t="s">
        <v>58</v>
      </c>
      <c r="X348" t="s">
        <v>58</v>
      </c>
      <c r="Y348" t="s">
        <v>58</v>
      </c>
      <c r="Z348" t="s">
        <v>58</v>
      </c>
      <c r="AA348" t="s">
        <v>58</v>
      </c>
      <c r="AC348" t="s">
        <v>58</v>
      </c>
      <c r="AE348" t="s">
        <v>58</v>
      </c>
      <c r="AG348" t="s">
        <v>63</v>
      </c>
      <c r="AH348" s="11" t="str">
        <f t="shared" si="7"/>
        <v>mailto: soilterrain@victoria1.gov.bc.ca</v>
      </c>
    </row>
    <row r="349" spans="1:34">
      <c r="A349" t="s">
        <v>972</v>
      </c>
      <c r="B349" t="s">
        <v>56</v>
      </c>
      <c r="C349" s="10" t="s">
        <v>963</v>
      </c>
      <c r="D349" t="s">
        <v>61</v>
      </c>
      <c r="E349" t="s">
        <v>58</v>
      </c>
      <c r="F349" t="s">
        <v>973</v>
      </c>
      <c r="G349">
        <v>50000</v>
      </c>
      <c r="H349" t="s">
        <v>187</v>
      </c>
      <c r="I349" t="s">
        <v>58</v>
      </c>
      <c r="J349" t="s">
        <v>58</v>
      </c>
      <c r="K349" t="s">
        <v>58</v>
      </c>
      <c r="L349" t="s">
        <v>58</v>
      </c>
      <c r="M349" t="s">
        <v>58</v>
      </c>
      <c r="P349" t="s">
        <v>61</v>
      </c>
      <c r="Q349" t="s">
        <v>58</v>
      </c>
      <c r="R349" s="11" t="str">
        <f>HYPERLINK("\\imagefiles.bcgov\imagery\scanned_maps\moe_terrain_maps\Scanned_T_maps_all\B06\B06-5196","\\imagefiles.bcgov\imagery\scanned_maps\moe_terrain_maps\Scanned_T_maps_all\B06\B06-5196")</f>
        <v>\\imagefiles.bcgov\imagery\scanned_maps\moe_terrain_maps\Scanned_T_maps_all\B06\B06-5196</v>
      </c>
      <c r="S349" t="s">
        <v>62</v>
      </c>
      <c r="T349" s="11" t="str">
        <f>HYPERLINK("http://www.env.gov.bc.ca/esd/distdata/ecosystems/TEI_Scanned_Maps/B06/B06-5196","http://www.env.gov.bc.ca/esd/distdata/ecosystems/TEI_Scanned_Maps/B06/B06-5196")</f>
        <v>http://www.env.gov.bc.ca/esd/distdata/ecosystems/TEI_Scanned_Maps/B06/B06-5196</v>
      </c>
      <c r="U349" t="s">
        <v>58</v>
      </c>
      <c r="V349" t="s">
        <v>58</v>
      </c>
      <c r="W349" t="s">
        <v>58</v>
      </c>
      <c r="X349" t="s">
        <v>58</v>
      </c>
      <c r="Y349" t="s">
        <v>58</v>
      </c>
      <c r="Z349" t="s">
        <v>58</v>
      </c>
      <c r="AA349" t="s">
        <v>58</v>
      </c>
      <c r="AC349" t="s">
        <v>58</v>
      </c>
      <c r="AE349" t="s">
        <v>58</v>
      </c>
      <c r="AG349" t="s">
        <v>63</v>
      </c>
      <c r="AH349" s="11" t="str">
        <f t="shared" si="7"/>
        <v>mailto: soilterrain@victoria1.gov.bc.ca</v>
      </c>
    </row>
    <row r="350" spans="1:34">
      <c r="A350" t="s">
        <v>974</v>
      </c>
      <c r="B350" t="s">
        <v>56</v>
      </c>
      <c r="C350" s="10" t="s">
        <v>966</v>
      </c>
      <c r="D350" t="s">
        <v>61</v>
      </c>
      <c r="E350" t="s">
        <v>58</v>
      </c>
      <c r="F350" t="s">
        <v>975</v>
      </c>
      <c r="G350">
        <v>50000</v>
      </c>
      <c r="H350" t="s">
        <v>187</v>
      </c>
      <c r="I350" t="s">
        <v>58</v>
      </c>
      <c r="J350" t="s">
        <v>58</v>
      </c>
      <c r="K350" t="s">
        <v>58</v>
      </c>
      <c r="L350" t="s">
        <v>58</v>
      </c>
      <c r="M350" t="s">
        <v>58</v>
      </c>
      <c r="P350" t="s">
        <v>61</v>
      </c>
      <c r="Q350" t="s">
        <v>58</v>
      </c>
      <c r="R350" s="11" t="str">
        <f>HYPERLINK("\\imagefiles.bcgov\imagery\scanned_maps\moe_terrain_maps\Scanned_T_maps_all\B06\B06-5197","\\imagefiles.bcgov\imagery\scanned_maps\moe_terrain_maps\Scanned_T_maps_all\B06\B06-5197")</f>
        <v>\\imagefiles.bcgov\imagery\scanned_maps\moe_terrain_maps\Scanned_T_maps_all\B06\B06-5197</v>
      </c>
      <c r="S350" t="s">
        <v>62</v>
      </c>
      <c r="T350" s="11" t="str">
        <f>HYPERLINK("http://www.env.gov.bc.ca/esd/distdata/ecosystems/TEI_Scanned_Maps/B06/B06-5197","http://www.env.gov.bc.ca/esd/distdata/ecosystems/TEI_Scanned_Maps/B06/B06-5197")</f>
        <v>http://www.env.gov.bc.ca/esd/distdata/ecosystems/TEI_Scanned_Maps/B06/B06-5197</v>
      </c>
      <c r="U350" t="s">
        <v>58</v>
      </c>
      <c r="V350" t="s">
        <v>58</v>
      </c>
      <c r="W350" t="s">
        <v>58</v>
      </c>
      <c r="X350" t="s">
        <v>58</v>
      </c>
      <c r="Y350" t="s">
        <v>58</v>
      </c>
      <c r="Z350" t="s">
        <v>58</v>
      </c>
      <c r="AA350" t="s">
        <v>58</v>
      </c>
      <c r="AC350" t="s">
        <v>58</v>
      </c>
      <c r="AE350" t="s">
        <v>58</v>
      </c>
      <c r="AG350" t="s">
        <v>63</v>
      </c>
      <c r="AH350" s="11" t="str">
        <f t="shared" si="7"/>
        <v>mailto: soilterrain@victoria1.gov.bc.ca</v>
      </c>
    </row>
    <row r="351" spans="1:34">
      <c r="A351" t="s">
        <v>976</v>
      </c>
      <c r="B351" t="s">
        <v>56</v>
      </c>
      <c r="C351" s="10" t="s">
        <v>977</v>
      </c>
      <c r="D351" t="s">
        <v>58</v>
      </c>
      <c r="E351" t="s">
        <v>497</v>
      </c>
      <c r="F351" t="s">
        <v>978</v>
      </c>
      <c r="G351">
        <v>125000</v>
      </c>
      <c r="H351">
        <v>1976</v>
      </c>
      <c r="I351" t="s">
        <v>58</v>
      </c>
      <c r="J351" t="s">
        <v>58</v>
      </c>
      <c r="K351" t="s">
        <v>58</v>
      </c>
      <c r="L351" t="s">
        <v>58</v>
      </c>
      <c r="M351" t="s">
        <v>58</v>
      </c>
      <c r="N351" t="s">
        <v>61</v>
      </c>
      <c r="Q351" t="s">
        <v>58</v>
      </c>
      <c r="R351" s="11" t="str">
        <f>HYPERLINK("\\imagefiles.bcgov\imagery\scanned_maps\moe_terrain_maps\Scanned_T_maps_all\C02\C02-2530","\\imagefiles.bcgov\imagery\scanned_maps\moe_terrain_maps\Scanned_T_maps_all\C02\C02-2530")</f>
        <v>\\imagefiles.bcgov\imagery\scanned_maps\moe_terrain_maps\Scanned_T_maps_all\C02\C02-2530</v>
      </c>
      <c r="S351" t="s">
        <v>62</v>
      </c>
      <c r="T351" s="11" t="str">
        <f>HYPERLINK("http://www.env.gov.bc.ca/esd/distdata/ecosystems/TEI_Scanned_Maps/C02/C02-2530","http://www.env.gov.bc.ca/esd/distdata/ecosystems/TEI_Scanned_Maps/C02/C02-2530")</f>
        <v>http://www.env.gov.bc.ca/esd/distdata/ecosystems/TEI_Scanned_Maps/C02/C02-2530</v>
      </c>
      <c r="U351" t="s">
        <v>979</v>
      </c>
      <c r="V351" s="11" t="str">
        <f>HYPERLINK("http://www.prsss.ca/","http://www.prsss.ca/")</f>
        <v>http://www.prsss.ca/</v>
      </c>
      <c r="W351" t="s">
        <v>58</v>
      </c>
      <c r="X351" t="s">
        <v>58</v>
      </c>
      <c r="Y351" t="s">
        <v>58</v>
      </c>
      <c r="Z351" t="s">
        <v>58</v>
      </c>
      <c r="AA351" t="s">
        <v>58</v>
      </c>
      <c r="AC351" t="s">
        <v>58</v>
      </c>
      <c r="AE351" t="s">
        <v>58</v>
      </c>
      <c r="AG351" t="s">
        <v>63</v>
      </c>
      <c r="AH351" s="11" t="str">
        <f t="shared" si="7"/>
        <v>mailto: soilterrain@victoria1.gov.bc.ca</v>
      </c>
    </row>
    <row r="352" spans="1:34">
      <c r="A352" t="s">
        <v>980</v>
      </c>
      <c r="B352" t="s">
        <v>56</v>
      </c>
      <c r="C352" s="10" t="s">
        <v>981</v>
      </c>
      <c r="D352" t="s">
        <v>58</v>
      </c>
      <c r="E352" t="s">
        <v>497</v>
      </c>
      <c r="F352" t="s">
        <v>978</v>
      </c>
      <c r="G352">
        <v>125000</v>
      </c>
      <c r="H352">
        <v>1976</v>
      </c>
      <c r="I352" t="s">
        <v>58</v>
      </c>
      <c r="J352" t="s">
        <v>58</v>
      </c>
      <c r="K352" t="s">
        <v>58</v>
      </c>
      <c r="L352" t="s">
        <v>58</v>
      </c>
      <c r="M352" t="s">
        <v>58</v>
      </c>
      <c r="N352" t="s">
        <v>61</v>
      </c>
      <c r="Q352" t="s">
        <v>58</v>
      </c>
      <c r="R352" s="11" t="str">
        <f>HYPERLINK("\\imagefiles.bcgov\imagery\scanned_maps\moe_terrain_maps\Scanned_T_maps_all\C02\C02-2570","\\imagefiles.bcgov\imagery\scanned_maps\moe_terrain_maps\Scanned_T_maps_all\C02\C02-2570")</f>
        <v>\\imagefiles.bcgov\imagery\scanned_maps\moe_terrain_maps\Scanned_T_maps_all\C02\C02-2570</v>
      </c>
      <c r="S352" t="s">
        <v>62</v>
      </c>
      <c r="T352" s="11" t="str">
        <f>HYPERLINK("http://www.env.gov.bc.ca/esd/distdata/ecosystems/TEI_Scanned_Maps/C02/C02-2570","http://www.env.gov.bc.ca/esd/distdata/ecosystems/TEI_Scanned_Maps/C02/C02-2570")</f>
        <v>http://www.env.gov.bc.ca/esd/distdata/ecosystems/TEI_Scanned_Maps/C02/C02-2570</v>
      </c>
      <c r="U352" t="s">
        <v>979</v>
      </c>
      <c r="V352" s="11" t="str">
        <f>HYPERLINK("http://www.prsss.ca/","http://www.prsss.ca/")</f>
        <v>http://www.prsss.ca/</v>
      </c>
      <c r="W352" t="s">
        <v>58</v>
      </c>
      <c r="X352" t="s">
        <v>58</v>
      </c>
      <c r="Y352" t="s">
        <v>58</v>
      </c>
      <c r="Z352" t="s">
        <v>58</v>
      </c>
      <c r="AA352" t="s">
        <v>58</v>
      </c>
      <c r="AC352" t="s">
        <v>58</v>
      </c>
      <c r="AE352" t="s">
        <v>58</v>
      </c>
      <c r="AG352" t="s">
        <v>63</v>
      </c>
      <c r="AH352" s="11" t="str">
        <f t="shared" si="7"/>
        <v>mailto: soilterrain@victoria1.gov.bc.ca</v>
      </c>
    </row>
    <row r="353" spans="1:34">
      <c r="A353" t="s">
        <v>982</v>
      </c>
      <c r="B353" t="s">
        <v>56</v>
      </c>
      <c r="C353" s="10" t="s">
        <v>983</v>
      </c>
      <c r="D353" t="s">
        <v>58</v>
      </c>
      <c r="E353" t="s">
        <v>497</v>
      </c>
      <c r="F353" t="s">
        <v>978</v>
      </c>
      <c r="G353">
        <v>125000</v>
      </c>
      <c r="H353">
        <v>1976</v>
      </c>
      <c r="I353" t="s">
        <v>58</v>
      </c>
      <c r="J353" t="s">
        <v>58</v>
      </c>
      <c r="K353" t="s">
        <v>58</v>
      </c>
      <c r="L353" t="s">
        <v>58</v>
      </c>
      <c r="M353" t="s">
        <v>58</v>
      </c>
      <c r="N353" t="s">
        <v>61</v>
      </c>
      <c r="Q353" t="s">
        <v>58</v>
      </c>
      <c r="R353" s="11" t="str">
        <f>HYPERLINK("\\imagefiles.bcgov\imagery\scanned_maps\moe_terrain_maps\Scanned_T_maps_all\C02\C02-2613","\\imagefiles.bcgov\imagery\scanned_maps\moe_terrain_maps\Scanned_T_maps_all\C02\C02-2613")</f>
        <v>\\imagefiles.bcgov\imagery\scanned_maps\moe_terrain_maps\Scanned_T_maps_all\C02\C02-2613</v>
      </c>
      <c r="S353" t="s">
        <v>62</v>
      </c>
      <c r="T353" s="11" t="str">
        <f>HYPERLINK("http://www.env.gov.bc.ca/esd/distdata/ecosystems/TEI_Scanned_Maps/C02/C02-2613","http://www.env.gov.bc.ca/esd/distdata/ecosystems/TEI_Scanned_Maps/C02/C02-2613")</f>
        <v>http://www.env.gov.bc.ca/esd/distdata/ecosystems/TEI_Scanned_Maps/C02/C02-2613</v>
      </c>
      <c r="U353" t="s">
        <v>979</v>
      </c>
      <c r="V353" s="11" t="str">
        <f>HYPERLINK("http://www.prsss.ca/","http://www.prsss.ca/")</f>
        <v>http://www.prsss.ca/</v>
      </c>
      <c r="W353" t="s">
        <v>58</v>
      </c>
      <c r="X353" t="s">
        <v>58</v>
      </c>
      <c r="Y353" t="s">
        <v>58</v>
      </c>
      <c r="Z353" t="s">
        <v>58</v>
      </c>
      <c r="AA353" t="s">
        <v>58</v>
      </c>
      <c r="AC353" t="s">
        <v>58</v>
      </c>
      <c r="AE353" t="s">
        <v>58</v>
      </c>
      <c r="AG353" t="s">
        <v>63</v>
      </c>
      <c r="AH353" s="11" t="str">
        <f t="shared" si="7"/>
        <v>mailto: soilterrain@victoria1.gov.bc.ca</v>
      </c>
    </row>
    <row r="354" spans="1:34">
      <c r="A354" t="s">
        <v>984</v>
      </c>
      <c r="B354" t="s">
        <v>56</v>
      </c>
      <c r="C354" s="10" t="s">
        <v>985</v>
      </c>
      <c r="D354" t="s">
        <v>58</v>
      </c>
      <c r="E354" t="s">
        <v>497</v>
      </c>
      <c r="F354" t="s">
        <v>502</v>
      </c>
      <c r="G354">
        <v>125000</v>
      </c>
      <c r="H354">
        <v>1976</v>
      </c>
      <c r="I354" t="s">
        <v>58</v>
      </c>
      <c r="J354" t="s">
        <v>58</v>
      </c>
      <c r="K354" t="s">
        <v>58</v>
      </c>
      <c r="L354" t="s">
        <v>58</v>
      </c>
      <c r="M354" t="s">
        <v>58</v>
      </c>
      <c r="N354" t="s">
        <v>61</v>
      </c>
      <c r="Q354" t="s">
        <v>58</v>
      </c>
      <c r="R354" s="11" t="str">
        <f>HYPERLINK("\\imagefiles.bcgov\imagery\scanned_maps\moe_terrain_maps\Scanned_T_maps_all\C02\C02-2672","\\imagefiles.bcgov\imagery\scanned_maps\moe_terrain_maps\Scanned_T_maps_all\C02\C02-2672")</f>
        <v>\\imagefiles.bcgov\imagery\scanned_maps\moe_terrain_maps\Scanned_T_maps_all\C02\C02-2672</v>
      </c>
      <c r="S354" t="s">
        <v>62</v>
      </c>
      <c r="T354" s="11" t="str">
        <f>HYPERLINK("http://www.env.gov.bc.ca/esd/distdata/ecosystems/TEI_Scanned_Maps/C02/C02-2672","http://www.env.gov.bc.ca/esd/distdata/ecosystems/TEI_Scanned_Maps/C02/C02-2672")</f>
        <v>http://www.env.gov.bc.ca/esd/distdata/ecosystems/TEI_Scanned_Maps/C02/C02-2672</v>
      </c>
      <c r="U354" t="s">
        <v>979</v>
      </c>
      <c r="V354" s="11" t="str">
        <f>HYPERLINK("http://www.prsss.ca/","http://www.prsss.ca/")</f>
        <v>http://www.prsss.ca/</v>
      </c>
      <c r="W354" t="s">
        <v>58</v>
      </c>
      <c r="X354" t="s">
        <v>58</v>
      </c>
      <c r="Y354" t="s">
        <v>58</v>
      </c>
      <c r="Z354" t="s">
        <v>58</v>
      </c>
      <c r="AA354" t="s">
        <v>58</v>
      </c>
      <c r="AC354" t="s">
        <v>58</v>
      </c>
      <c r="AE354" t="s">
        <v>58</v>
      </c>
      <c r="AG354" t="s">
        <v>63</v>
      </c>
      <c r="AH354" s="11" t="str">
        <f t="shared" si="7"/>
        <v>mailto: soilterrain@victoria1.gov.bc.ca</v>
      </c>
    </row>
    <row r="355" spans="1:34">
      <c r="A355" t="s">
        <v>986</v>
      </c>
      <c r="B355" t="s">
        <v>56</v>
      </c>
      <c r="C355" s="10" t="s">
        <v>987</v>
      </c>
      <c r="D355" t="s">
        <v>58</v>
      </c>
      <c r="E355" t="s">
        <v>497</v>
      </c>
      <c r="F355" t="s">
        <v>978</v>
      </c>
      <c r="G355">
        <v>125000</v>
      </c>
      <c r="H355">
        <v>1976</v>
      </c>
      <c r="I355" t="s">
        <v>58</v>
      </c>
      <c r="J355" t="s">
        <v>58</v>
      </c>
      <c r="K355" t="s">
        <v>58</v>
      </c>
      <c r="L355" t="s">
        <v>58</v>
      </c>
      <c r="M355" t="s">
        <v>58</v>
      </c>
      <c r="N355" t="s">
        <v>61</v>
      </c>
      <c r="Q355" t="s">
        <v>58</v>
      </c>
      <c r="R355" s="11" t="str">
        <f>HYPERLINK("\\imagefiles.bcgov\imagery\scanned_maps\moe_terrain_maps\Scanned_T_maps_all\C02\C02-2676","\\imagefiles.bcgov\imagery\scanned_maps\moe_terrain_maps\Scanned_T_maps_all\C02\C02-2676")</f>
        <v>\\imagefiles.bcgov\imagery\scanned_maps\moe_terrain_maps\Scanned_T_maps_all\C02\C02-2676</v>
      </c>
      <c r="S355" t="s">
        <v>62</v>
      </c>
      <c r="T355" s="11" t="str">
        <f>HYPERLINK("http://www.env.gov.bc.ca/esd/distdata/ecosystems/TEI_Scanned_Maps/C02/C02-2676","http://www.env.gov.bc.ca/esd/distdata/ecosystems/TEI_Scanned_Maps/C02/C02-2676")</f>
        <v>http://www.env.gov.bc.ca/esd/distdata/ecosystems/TEI_Scanned_Maps/C02/C02-2676</v>
      </c>
      <c r="U355" t="s">
        <v>58</v>
      </c>
      <c r="V355" t="s">
        <v>58</v>
      </c>
      <c r="W355" t="s">
        <v>58</v>
      </c>
      <c r="X355" t="s">
        <v>58</v>
      </c>
      <c r="Y355" t="s">
        <v>58</v>
      </c>
      <c r="Z355" t="s">
        <v>58</v>
      </c>
      <c r="AA355" t="s">
        <v>58</v>
      </c>
      <c r="AC355" t="s">
        <v>58</v>
      </c>
      <c r="AE355" t="s">
        <v>58</v>
      </c>
      <c r="AG355" t="s">
        <v>63</v>
      </c>
      <c r="AH355" s="11" t="str">
        <f t="shared" si="7"/>
        <v>mailto: soilterrain@victoria1.gov.bc.ca</v>
      </c>
    </row>
    <row r="356" spans="1:34">
      <c r="A356" t="s">
        <v>988</v>
      </c>
      <c r="B356" t="s">
        <v>56</v>
      </c>
      <c r="C356" s="10" t="s">
        <v>989</v>
      </c>
      <c r="D356" t="s">
        <v>58</v>
      </c>
      <c r="E356" t="s">
        <v>497</v>
      </c>
      <c r="F356" t="s">
        <v>978</v>
      </c>
      <c r="G356">
        <v>125000</v>
      </c>
      <c r="H356">
        <v>1976</v>
      </c>
      <c r="I356" t="s">
        <v>58</v>
      </c>
      <c r="J356" t="s">
        <v>58</v>
      </c>
      <c r="K356" t="s">
        <v>58</v>
      </c>
      <c r="L356" t="s">
        <v>58</v>
      </c>
      <c r="M356" t="s">
        <v>58</v>
      </c>
      <c r="N356" t="s">
        <v>61</v>
      </c>
      <c r="Q356" t="s">
        <v>58</v>
      </c>
      <c r="R356" s="11" t="str">
        <f>HYPERLINK("\\imagefiles.bcgov\imagery\scanned_maps\moe_terrain_maps\Scanned_T_maps_all\C02\C02-2681","\\imagefiles.bcgov\imagery\scanned_maps\moe_terrain_maps\Scanned_T_maps_all\C02\C02-2681")</f>
        <v>\\imagefiles.bcgov\imagery\scanned_maps\moe_terrain_maps\Scanned_T_maps_all\C02\C02-2681</v>
      </c>
      <c r="S356" t="s">
        <v>62</v>
      </c>
      <c r="T356" s="11" t="str">
        <f>HYPERLINK("http://www.env.gov.bc.ca/esd/distdata/ecosystems/TEI_Scanned_Maps/C02/C02-2681","http://www.env.gov.bc.ca/esd/distdata/ecosystems/TEI_Scanned_Maps/C02/C02-2681")</f>
        <v>http://www.env.gov.bc.ca/esd/distdata/ecosystems/TEI_Scanned_Maps/C02/C02-2681</v>
      </c>
      <c r="U356" t="s">
        <v>979</v>
      </c>
      <c r="V356" s="11" t="str">
        <f t="shared" ref="V356:V366" si="8">HYPERLINK("http://www.prsss.ca/","http://www.prsss.ca/")</f>
        <v>http://www.prsss.ca/</v>
      </c>
      <c r="W356" t="s">
        <v>58</v>
      </c>
      <c r="X356" t="s">
        <v>58</v>
      </c>
      <c r="Y356" t="s">
        <v>58</v>
      </c>
      <c r="Z356" t="s">
        <v>58</v>
      </c>
      <c r="AA356" t="s">
        <v>58</v>
      </c>
      <c r="AC356" t="s">
        <v>58</v>
      </c>
      <c r="AE356" t="s">
        <v>58</v>
      </c>
      <c r="AG356" t="s">
        <v>63</v>
      </c>
      <c r="AH356" s="11" t="str">
        <f t="shared" si="7"/>
        <v>mailto: soilterrain@victoria1.gov.bc.ca</v>
      </c>
    </row>
    <row r="357" spans="1:34">
      <c r="A357" t="s">
        <v>990</v>
      </c>
      <c r="B357" t="s">
        <v>56</v>
      </c>
      <c r="C357" s="10" t="s">
        <v>991</v>
      </c>
      <c r="D357" t="s">
        <v>58</v>
      </c>
      <c r="E357" t="s">
        <v>497</v>
      </c>
      <c r="F357" t="s">
        <v>978</v>
      </c>
      <c r="G357">
        <v>125000</v>
      </c>
      <c r="H357">
        <v>1976</v>
      </c>
      <c r="I357" t="s">
        <v>58</v>
      </c>
      <c r="J357" t="s">
        <v>58</v>
      </c>
      <c r="K357" t="s">
        <v>58</v>
      </c>
      <c r="L357" t="s">
        <v>58</v>
      </c>
      <c r="M357" t="s">
        <v>58</v>
      </c>
      <c r="N357" t="s">
        <v>61</v>
      </c>
      <c r="Q357" t="s">
        <v>58</v>
      </c>
      <c r="R357" s="11" t="str">
        <f>HYPERLINK("\\imagefiles.bcgov\imagery\scanned_maps\moe_terrain_maps\Scanned_T_maps_all\C02\C02-2686","\\imagefiles.bcgov\imagery\scanned_maps\moe_terrain_maps\Scanned_T_maps_all\C02\C02-2686")</f>
        <v>\\imagefiles.bcgov\imagery\scanned_maps\moe_terrain_maps\Scanned_T_maps_all\C02\C02-2686</v>
      </c>
      <c r="S357" t="s">
        <v>62</v>
      </c>
      <c r="T357" s="11" t="str">
        <f>HYPERLINK("http://www.env.gov.bc.ca/esd/distdata/ecosystems/TEI_Scanned_Maps/C02/C02-2686","http://www.env.gov.bc.ca/esd/distdata/ecosystems/TEI_Scanned_Maps/C02/C02-2686")</f>
        <v>http://www.env.gov.bc.ca/esd/distdata/ecosystems/TEI_Scanned_Maps/C02/C02-2686</v>
      </c>
      <c r="U357" t="s">
        <v>979</v>
      </c>
      <c r="V357" s="11" t="str">
        <f t="shared" si="8"/>
        <v>http://www.prsss.ca/</v>
      </c>
      <c r="W357" t="s">
        <v>58</v>
      </c>
      <c r="X357" t="s">
        <v>58</v>
      </c>
      <c r="Y357" t="s">
        <v>58</v>
      </c>
      <c r="Z357" t="s">
        <v>58</v>
      </c>
      <c r="AA357" t="s">
        <v>58</v>
      </c>
      <c r="AC357" t="s">
        <v>58</v>
      </c>
      <c r="AE357" t="s">
        <v>58</v>
      </c>
      <c r="AG357" t="s">
        <v>63</v>
      </c>
      <c r="AH357" s="11" t="str">
        <f t="shared" si="7"/>
        <v>mailto: soilterrain@victoria1.gov.bc.ca</v>
      </c>
    </row>
    <row r="358" spans="1:34">
      <c r="A358" t="s">
        <v>992</v>
      </c>
      <c r="B358" t="s">
        <v>56</v>
      </c>
      <c r="C358" s="10" t="s">
        <v>993</v>
      </c>
      <c r="D358" t="s">
        <v>58</v>
      </c>
      <c r="E358" t="s">
        <v>497</v>
      </c>
      <c r="F358" t="s">
        <v>978</v>
      </c>
      <c r="G358">
        <v>125000</v>
      </c>
      <c r="H358">
        <v>1976</v>
      </c>
      <c r="I358" t="s">
        <v>58</v>
      </c>
      <c r="J358" t="s">
        <v>58</v>
      </c>
      <c r="K358" t="s">
        <v>58</v>
      </c>
      <c r="L358" t="s">
        <v>58</v>
      </c>
      <c r="M358" t="s">
        <v>58</v>
      </c>
      <c r="N358" t="s">
        <v>61</v>
      </c>
      <c r="Q358" t="s">
        <v>58</v>
      </c>
      <c r="R358" s="11" t="str">
        <f>HYPERLINK("\\imagefiles.bcgov\imagery\scanned_maps\moe_terrain_maps\Scanned_T_maps_all\C02\C02-2719","\\imagefiles.bcgov\imagery\scanned_maps\moe_terrain_maps\Scanned_T_maps_all\C02\C02-2719")</f>
        <v>\\imagefiles.bcgov\imagery\scanned_maps\moe_terrain_maps\Scanned_T_maps_all\C02\C02-2719</v>
      </c>
      <c r="S358" t="s">
        <v>62</v>
      </c>
      <c r="T358" s="11" t="str">
        <f>HYPERLINK("http://www.env.gov.bc.ca/esd/distdata/ecosystems/TEI_Scanned_Maps/C02/C02-2719","http://www.env.gov.bc.ca/esd/distdata/ecosystems/TEI_Scanned_Maps/C02/C02-2719")</f>
        <v>http://www.env.gov.bc.ca/esd/distdata/ecosystems/TEI_Scanned_Maps/C02/C02-2719</v>
      </c>
      <c r="U358" t="s">
        <v>979</v>
      </c>
      <c r="V358" s="11" t="str">
        <f t="shared" si="8"/>
        <v>http://www.prsss.ca/</v>
      </c>
      <c r="W358" t="s">
        <v>58</v>
      </c>
      <c r="X358" t="s">
        <v>58</v>
      </c>
      <c r="Y358" t="s">
        <v>58</v>
      </c>
      <c r="Z358" t="s">
        <v>58</v>
      </c>
      <c r="AA358" t="s">
        <v>58</v>
      </c>
      <c r="AC358" t="s">
        <v>58</v>
      </c>
      <c r="AE358" t="s">
        <v>58</v>
      </c>
      <c r="AG358" t="s">
        <v>63</v>
      </c>
      <c r="AH358" s="11" t="str">
        <f t="shared" si="7"/>
        <v>mailto: soilterrain@victoria1.gov.bc.ca</v>
      </c>
    </row>
    <row r="359" spans="1:34">
      <c r="A359" t="s">
        <v>994</v>
      </c>
      <c r="B359" t="s">
        <v>56</v>
      </c>
      <c r="C359" s="10" t="s">
        <v>995</v>
      </c>
      <c r="D359" t="s">
        <v>58</v>
      </c>
      <c r="E359" t="s">
        <v>497</v>
      </c>
      <c r="F359" t="s">
        <v>978</v>
      </c>
      <c r="G359">
        <v>125000</v>
      </c>
      <c r="H359">
        <v>1976</v>
      </c>
      <c r="I359" t="s">
        <v>58</v>
      </c>
      <c r="J359" t="s">
        <v>58</v>
      </c>
      <c r="K359" t="s">
        <v>58</v>
      </c>
      <c r="L359" t="s">
        <v>58</v>
      </c>
      <c r="M359" t="s">
        <v>58</v>
      </c>
      <c r="N359" t="s">
        <v>61</v>
      </c>
      <c r="Q359" t="s">
        <v>58</v>
      </c>
      <c r="R359" s="11" t="str">
        <f>HYPERLINK("\\imagefiles.bcgov\imagery\scanned_maps\moe_terrain_maps\Scanned_T_maps_all\C02\C02-2723","\\imagefiles.bcgov\imagery\scanned_maps\moe_terrain_maps\Scanned_T_maps_all\C02\C02-2723")</f>
        <v>\\imagefiles.bcgov\imagery\scanned_maps\moe_terrain_maps\Scanned_T_maps_all\C02\C02-2723</v>
      </c>
      <c r="S359" t="s">
        <v>62</v>
      </c>
      <c r="T359" s="11" t="str">
        <f>HYPERLINK("http://www.env.gov.bc.ca/esd/distdata/ecosystems/TEI_Scanned_Maps/C02/C02-2723","http://www.env.gov.bc.ca/esd/distdata/ecosystems/TEI_Scanned_Maps/C02/C02-2723")</f>
        <v>http://www.env.gov.bc.ca/esd/distdata/ecosystems/TEI_Scanned_Maps/C02/C02-2723</v>
      </c>
      <c r="U359" t="s">
        <v>979</v>
      </c>
      <c r="V359" s="11" t="str">
        <f t="shared" si="8"/>
        <v>http://www.prsss.ca/</v>
      </c>
      <c r="W359" t="s">
        <v>58</v>
      </c>
      <c r="X359" t="s">
        <v>58</v>
      </c>
      <c r="Y359" t="s">
        <v>58</v>
      </c>
      <c r="Z359" t="s">
        <v>58</v>
      </c>
      <c r="AA359" t="s">
        <v>58</v>
      </c>
      <c r="AC359" t="s">
        <v>58</v>
      </c>
      <c r="AE359" t="s">
        <v>58</v>
      </c>
      <c r="AG359" t="s">
        <v>63</v>
      </c>
      <c r="AH359" s="11" t="str">
        <f t="shared" si="7"/>
        <v>mailto: soilterrain@victoria1.gov.bc.ca</v>
      </c>
    </row>
    <row r="360" spans="1:34">
      <c r="A360" t="s">
        <v>996</v>
      </c>
      <c r="B360" t="s">
        <v>56</v>
      </c>
      <c r="C360" s="10" t="s">
        <v>997</v>
      </c>
      <c r="D360" t="s">
        <v>58</v>
      </c>
      <c r="E360" t="s">
        <v>497</v>
      </c>
      <c r="F360" t="s">
        <v>978</v>
      </c>
      <c r="G360">
        <v>125000</v>
      </c>
      <c r="H360">
        <v>1976</v>
      </c>
      <c r="I360" t="s">
        <v>58</v>
      </c>
      <c r="J360" t="s">
        <v>58</v>
      </c>
      <c r="K360" t="s">
        <v>58</v>
      </c>
      <c r="L360" t="s">
        <v>58</v>
      </c>
      <c r="M360" t="s">
        <v>58</v>
      </c>
      <c r="N360" t="s">
        <v>61</v>
      </c>
      <c r="Q360" t="s">
        <v>58</v>
      </c>
      <c r="R360" s="11" t="str">
        <f>HYPERLINK("\\imagefiles.bcgov\imagery\scanned_maps\moe_terrain_maps\Scanned_T_maps_all\C02\C02-2727","\\imagefiles.bcgov\imagery\scanned_maps\moe_terrain_maps\Scanned_T_maps_all\C02\C02-2727")</f>
        <v>\\imagefiles.bcgov\imagery\scanned_maps\moe_terrain_maps\Scanned_T_maps_all\C02\C02-2727</v>
      </c>
      <c r="S360" t="s">
        <v>62</v>
      </c>
      <c r="T360" s="11" t="str">
        <f>HYPERLINK("http://www.env.gov.bc.ca/esd/distdata/ecosystems/TEI_Scanned_Maps/C02/C02-2727","http://www.env.gov.bc.ca/esd/distdata/ecosystems/TEI_Scanned_Maps/C02/C02-2727")</f>
        <v>http://www.env.gov.bc.ca/esd/distdata/ecosystems/TEI_Scanned_Maps/C02/C02-2727</v>
      </c>
      <c r="U360" t="s">
        <v>979</v>
      </c>
      <c r="V360" s="11" t="str">
        <f t="shared" si="8"/>
        <v>http://www.prsss.ca/</v>
      </c>
      <c r="W360" t="s">
        <v>58</v>
      </c>
      <c r="X360" t="s">
        <v>58</v>
      </c>
      <c r="Y360" t="s">
        <v>58</v>
      </c>
      <c r="Z360" t="s">
        <v>58</v>
      </c>
      <c r="AA360" t="s">
        <v>58</v>
      </c>
      <c r="AC360" t="s">
        <v>58</v>
      </c>
      <c r="AE360" t="s">
        <v>58</v>
      </c>
      <c r="AG360" t="s">
        <v>63</v>
      </c>
      <c r="AH360" s="11" t="str">
        <f t="shared" si="7"/>
        <v>mailto: soilterrain@victoria1.gov.bc.ca</v>
      </c>
    </row>
    <row r="361" spans="1:34">
      <c r="A361" t="s">
        <v>998</v>
      </c>
      <c r="B361" t="s">
        <v>56</v>
      </c>
      <c r="C361" s="10" t="s">
        <v>999</v>
      </c>
      <c r="D361" t="s">
        <v>58</v>
      </c>
      <c r="E361" t="s">
        <v>497</v>
      </c>
      <c r="F361" t="s">
        <v>978</v>
      </c>
      <c r="G361">
        <v>125000</v>
      </c>
      <c r="H361">
        <v>1976</v>
      </c>
      <c r="I361" t="s">
        <v>58</v>
      </c>
      <c r="J361" t="s">
        <v>58</v>
      </c>
      <c r="K361" t="s">
        <v>58</v>
      </c>
      <c r="L361" t="s">
        <v>58</v>
      </c>
      <c r="M361" t="s">
        <v>58</v>
      </c>
      <c r="N361" t="s">
        <v>61</v>
      </c>
      <c r="Q361" t="s">
        <v>58</v>
      </c>
      <c r="R361" s="11" t="str">
        <f>HYPERLINK("\\imagefiles.bcgov\imagery\scanned_maps\moe_terrain_maps\Scanned_T_maps_all\C02\C02-2731","\\imagefiles.bcgov\imagery\scanned_maps\moe_terrain_maps\Scanned_T_maps_all\C02\C02-2731")</f>
        <v>\\imagefiles.bcgov\imagery\scanned_maps\moe_terrain_maps\Scanned_T_maps_all\C02\C02-2731</v>
      </c>
      <c r="S361" t="s">
        <v>62</v>
      </c>
      <c r="T361" s="11" t="str">
        <f>HYPERLINK("http://www.env.gov.bc.ca/esd/distdata/ecosystems/TEI_Scanned_Maps/C02/C02-2731","http://www.env.gov.bc.ca/esd/distdata/ecosystems/TEI_Scanned_Maps/C02/C02-2731")</f>
        <v>http://www.env.gov.bc.ca/esd/distdata/ecosystems/TEI_Scanned_Maps/C02/C02-2731</v>
      </c>
      <c r="U361" t="s">
        <v>979</v>
      </c>
      <c r="V361" s="11" t="str">
        <f t="shared" si="8"/>
        <v>http://www.prsss.ca/</v>
      </c>
      <c r="W361" t="s">
        <v>58</v>
      </c>
      <c r="X361" t="s">
        <v>58</v>
      </c>
      <c r="Y361" t="s">
        <v>58</v>
      </c>
      <c r="Z361" t="s">
        <v>58</v>
      </c>
      <c r="AA361" t="s">
        <v>58</v>
      </c>
      <c r="AC361" t="s">
        <v>58</v>
      </c>
      <c r="AE361" t="s">
        <v>58</v>
      </c>
      <c r="AG361" t="s">
        <v>63</v>
      </c>
      <c r="AH361" s="11" t="str">
        <f t="shared" si="7"/>
        <v>mailto: soilterrain@victoria1.gov.bc.ca</v>
      </c>
    </row>
    <row r="362" spans="1:34">
      <c r="A362" t="s">
        <v>1000</v>
      </c>
      <c r="B362" t="s">
        <v>56</v>
      </c>
      <c r="C362" s="10" t="s">
        <v>1001</v>
      </c>
      <c r="D362" t="s">
        <v>58</v>
      </c>
      <c r="E362" t="s">
        <v>497</v>
      </c>
      <c r="F362" t="s">
        <v>978</v>
      </c>
      <c r="G362">
        <v>125000</v>
      </c>
      <c r="H362">
        <v>1976</v>
      </c>
      <c r="I362" t="s">
        <v>58</v>
      </c>
      <c r="J362" t="s">
        <v>58</v>
      </c>
      <c r="K362" t="s">
        <v>58</v>
      </c>
      <c r="L362" t="s">
        <v>58</v>
      </c>
      <c r="M362" t="s">
        <v>58</v>
      </c>
      <c r="N362" t="s">
        <v>61</v>
      </c>
      <c r="Q362" t="s">
        <v>58</v>
      </c>
      <c r="R362" s="11" t="str">
        <f>HYPERLINK("\\imagefiles.bcgov\imagery\scanned_maps\moe_terrain_maps\Scanned_T_maps_all\C02\C02-2753","\\imagefiles.bcgov\imagery\scanned_maps\moe_terrain_maps\Scanned_T_maps_all\C02\C02-2753")</f>
        <v>\\imagefiles.bcgov\imagery\scanned_maps\moe_terrain_maps\Scanned_T_maps_all\C02\C02-2753</v>
      </c>
      <c r="S362" t="s">
        <v>62</v>
      </c>
      <c r="T362" s="11" t="str">
        <f>HYPERLINK("http://www.env.gov.bc.ca/esd/distdata/ecosystems/TEI_Scanned_Maps/C02/C02-2753","http://www.env.gov.bc.ca/esd/distdata/ecosystems/TEI_Scanned_Maps/C02/C02-2753")</f>
        <v>http://www.env.gov.bc.ca/esd/distdata/ecosystems/TEI_Scanned_Maps/C02/C02-2753</v>
      </c>
      <c r="U362" t="s">
        <v>979</v>
      </c>
      <c r="V362" s="11" t="str">
        <f t="shared" si="8"/>
        <v>http://www.prsss.ca/</v>
      </c>
      <c r="W362" t="s">
        <v>58</v>
      </c>
      <c r="X362" t="s">
        <v>58</v>
      </c>
      <c r="Y362" t="s">
        <v>58</v>
      </c>
      <c r="Z362" t="s">
        <v>58</v>
      </c>
      <c r="AA362" t="s">
        <v>58</v>
      </c>
      <c r="AC362" t="s">
        <v>58</v>
      </c>
      <c r="AE362" t="s">
        <v>58</v>
      </c>
      <c r="AG362" t="s">
        <v>63</v>
      </c>
      <c r="AH362" s="11" t="str">
        <f t="shared" si="7"/>
        <v>mailto: soilterrain@victoria1.gov.bc.ca</v>
      </c>
    </row>
    <row r="363" spans="1:34">
      <c r="A363" t="s">
        <v>1002</v>
      </c>
      <c r="B363" t="s">
        <v>56</v>
      </c>
      <c r="C363" s="10" t="s">
        <v>1003</v>
      </c>
      <c r="D363" t="s">
        <v>58</v>
      </c>
      <c r="E363" t="s">
        <v>497</v>
      </c>
      <c r="F363" t="s">
        <v>978</v>
      </c>
      <c r="G363">
        <v>125000</v>
      </c>
      <c r="H363">
        <v>1976</v>
      </c>
      <c r="I363" t="s">
        <v>58</v>
      </c>
      <c r="J363" t="s">
        <v>58</v>
      </c>
      <c r="K363" t="s">
        <v>58</v>
      </c>
      <c r="L363" t="s">
        <v>58</v>
      </c>
      <c r="M363" t="s">
        <v>58</v>
      </c>
      <c r="N363" t="s">
        <v>61</v>
      </c>
      <c r="Q363" t="s">
        <v>58</v>
      </c>
      <c r="R363" s="11" t="str">
        <f>HYPERLINK("\\imagefiles.bcgov\imagery\scanned_maps\moe_terrain_maps\Scanned_T_maps_all\C02\C02-2758","\\imagefiles.bcgov\imagery\scanned_maps\moe_terrain_maps\Scanned_T_maps_all\C02\C02-2758")</f>
        <v>\\imagefiles.bcgov\imagery\scanned_maps\moe_terrain_maps\Scanned_T_maps_all\C02\C02-2758</v>
      </c>
      <c r="S363" t="s">
        <v>62</v>
      </c>
      <c r="T363" s="11" t="str">
        <f>HYPERLINK("http://www.env.gov.bc.ca/esd/distdata/ecosystems/TEI_Scanned_Maps/C02/C02-2758","http://www.env.gov.bc.ca/esd/distdata/ecosystems/TEI_Scanned_Maps/C02/C02-2758")</f>
        <v>http://www.env.gov.bc.ca/esd/distdata/ecosystems/TEI_Scanned_Maps/C02/C02-2758</v>
      </c>
      <c r="U363" t="s">
        <v>979</v>
      </c>
      <c r="V363" s="11" t="str">
        <f t="shared" si="8"/>
        <v>http://www.prsss.ca/</v>
      </c>
      <c r="W363" t="s">
        <v>58</v>
      </c>
      <c r="X363" t="s">
        <v>58</v>
      </c>
      <c r="Y363" t="s">
        <v>58</v>
      </c>
      <c r="Z363" t="s">
        <v>58</v>
      </c>
      <c r="AA363" t="s">
        <v>58</v>
      </c>
      <c r="AC363" t="s">
        <v>58</v>
      </c>
      <c r="AE363" t="s">
        <v>58</v>
      </c>
      <c r="AG363" t="s">
        <v>63</v>
      </c>
      <c r="AH363" s="11" t="str">
        <f t="shared" si="7"/>
        <v>mailto: soilterrain@victoria1.gov.bc.ca</v>
      </c>
    </row>
    <row r="364" spans="1:34">
      <c r="A364" t="s">
        <v>1004</v>
      </c>
      <c r="B364" t="s">
        <v>56</v>
      </c>
      <c r="C364" s="10" t="s">
        <v>1005</v>
      </c>
      <c r="D364" t="s">
        <v>58</v>
      </c>
      <c r="E364" t="s">
        <v>497</v>
      </c>
      <c r="F364" t="s">
        <v>978</v>
      </c>
      <c r="G364">
        <v>125000</v>
      </c>
      <c r="H364">
        <v>1976</v>
      </c>
      <c r="I364" t="s">
        <v>58</v>
      </c>
      <c r="J364" t="s">
        <v>58</v>
      </c>
      <c r="K364" t="s">
        <v>58</v>
      </c>
      <c r="L364" t="s">
        <v>58</v>
      </c>
      <c r="M364" t="s">
        <v>58</v>
      </c>
      <c r="N364" t="s">
        <v>61</v>
      </c>
      <c r="Q364" t="s">
        <v>58</v>
      </c>
      <c r="R364" s="11" t="str">
        <f>HYPERLINK("\\imagefiles.bcgov\imagery\scanned_maps\moe_terrain_maps\Scanned_T_maps_all\C02\C02-2787","\\imagefiles.bcgov\imagery\scanned_maps\moe_terrain_maps\Scanned_T_maps_all\C02\C02-2787")</f>
        <v>\\imagefiles.bcgov\imagery\scanned_maps\moe_terrain_maps\Scanned_T_maps_all\C02\C02-2787</v>
      </c>
      <c r="S364" t="s">
        <v>62</v>
      </c>
      <c r="T364" s="11" t="str">
        <f>HYPERLINK("http://www.env.gov.bc.ca/esd/distdata/ecosystems/TEI_Scanned_Maps/C02/C02-2787","http://www.env.gov.bc.ca/esd/distdata/ecosystems/TEI_Scanned_Maps/C02/C02-2787")</f>
        <v>http://www.env.gov.bc.ca/esd/distdata/ecosystems/TEI_Scanned_Maps/C02/C02-2787</v>
      </c>
      <c r="U364" t="s">
        <v>979</v>
      </c>
      <c r="V364" s="11" t="str">
        <f t="shared" si="8"/>
        <v>http://www.prsss.ca/</v>
      </c>
      <c r="W364" t="s">
        <v>58</v>
      </c>
      <c r="X364" t="s">
        <v>58</v>
      </c>
      <c r="Y364" t="s">
        <v>58</v>
      </c>
      <c r="Z364" t="s">
        <v>58</v>
      </c>
      <c r="AA364" t="s">
        <v>58</v>
      </c>
      <c r="AC364" t="s">
        <v>58</v>
      </c>
      <c r="AE364" t="s">
        <v>58</v>
      </c>
      <c r="AG364" t="s">
        <v>63</v>
      </c>
      <c r="AH364" s="11" t="str">
        <f t="shared" si="7"/>
        <v>mailto: soilterrain@victoria1.gov.bc.ca</v>
      </c>
    </row>
    <row r="365" spans="1:34">
      <c r="A365" t="s">
        <v>1006</v>
      </c>
      <c r="B365" t="s">
        <v>56</v>
      </c>
      <c r="C365" s="10" t="s">
        <v>1007</v>
      </c>
      <c r="D365" t="s">
        <v>58</v>
      </c>
      <c r="E365" t="s">
        <v>497</v>
      </c>
      <c r="F365" t="s">
        <v>978</v>
      </c>
      <c r="G365">
        <v>125000</v>
      </c>
      <c r="H365">
        <v>1976</v>
      </c>
      <c r="I365" t="s">
        <v>58</v>
      </c>
      <c r="J365" t="s">
        <v>58</v>
      </c>
      <c r="K365" t="s">
        <v>58</v>
      </c>
      <c r="L365" t="s">
        <v>58</v>
      </c>
      <c r="M365" t="s">
        <v>58</v>
      </c>
      <c r="N365" t="s">
        <v>61</v>
      </c>
      <c r="Q365" t="s">
        <v>58</v>
      </c>
      <c r="R365" s="11" t="str">
        <f>HYPERLINK("\\imagefiles.bcgov\imagery\scanned_maps\moe_terrain_maps\Scanned_T_maps_all\C02\C02-2790","\\imagefiles.bcgov\imagery\scanned_maps\moe_terrain_maps\Scanned_T_maps_all\C02\C02-2790")</f>
        <v>\\imagefiles.bcgov\imagery\scanned_maps\moe_terrain_maps\Scanned_T_maps_all\C02\C02-2790</v>
      </c>
      <c r="S365" t="s">
        <v>62</v>
      </c>
      <c r="T365" s="11" t="str">
        <f>HYPERLINK("http://www.env.gov.bc.ca/esd/distdata/ecosystems/TEI_Scanned_Maps/C02/C02-2790","http://www.env.gov.bc.ca/esd/distdata/ecosystems/TEI_Scanned_Maps/C02/C02-2790")</f>
        <v>http://www.env.gov.bc.ca/esd/distdata/ecosystems/TEI_Scanned_Maps/C02/C02-2790</v>
      </c>
      <c r="U365" t="s">
        <v>979</v>
      </c>
      <c r="V365" s="11" t="str">
        <f t="shared" si="8"/>
        <v>http://www.prsss.ca/</v>
      </c>
      <c r="W365" t="s">
        <v>58</v>
      </c>
      <c r="X365" t="s">
        <v>58</v>
      </c>
      <c r="Y365" t="s">
        <v>58</v>
      </c>
      <c r="Z365" t="s">
        <v>58</v>
      </c>
      <c r="AA365" t="s">
        <v>58</v>
      </c>
      <c r="AC365" t="s">
        <v>58</v>
      </c>
      <c r="AE365" t="s">
        <v>58</v>
      </c>
      <c r="AG365" t="s">
        <v>63</v>
      </c>
      <c r="AH365" s="11" t="str">
        <f t="shared" si="7"/>
        <v>mailto: soilterrain@victoria1.gov.bc.ca</v>
      </c>
    </row>
    <row r="366" spans="1:34">
      <c r="A366" t="s">
        <v>1008</v>
      </c>
      <c r="B366" t="s">
        <v>56</v>
      </c>
      <c r="C366" s="10" t="s">
        <v>1009</v>
      </c>
      <c r="D366" t="s">
        <v>58</v>
      </c>
      <c r="E366" t="s">
        <v>497</v>
      </c>
      <c r="F366" t="s">
        <v>978</v>
      </c>
      <c r="G366">
        <v>126720</v>
      </c>
      <c r="H366">
        <v>1976</v>
      </c>
      <c r="I366" t="s">
        <v>58</v>
      </c>
      <c r="J366" t="s">
        <v>58</v>
      </c>
      <c r="K366" t="s">
        <v>58</v>
      </c>
      <c r="L366" t="s">
        <v>58</v>
      </c>
      <c r="M366" t="s">
        <v>58</v>
      </c>
      <c r="N366" t="s">
        <v>61</v>
      </c>
      <c r="Q366" t="s">
        <v>58</v>
      </c>
      <c r="R366" s="11" t="str">
        <f>HYPERLINK("\\imagefiles.bcgov\imagery\scanned_maps\moe_terrain_maps\Scanned_T_maps_all\C02\C02-2806","\\imagefiles.bcgov\imagery\scanned_maps\moe_terrain_maps\Scanned_T_maps_all\C02\C02-2806")</f>
        <v>\\imagefiles.bcgov\imagery\scanned_maps\moe_terrain_maps\Scanned_T_maps_all\C02\C02-2806</v>
      </c>
      <c r="S366" t="s">
        <v>62</v>
      </c>
      <c r="T366" s="11" t="str">
        <f>HYPERLINK("http://www.env.gov.bc.ca/esd/distdata/ecosystems/TEI_Scanned_Maps/C02/C02-2806","http://www.env.gov.bc.ca/esd/distdata/ecosystems/TEI_Scanned_Maps/C02/C02-2806")</f>
        <v>http://www.env.gov.bc.ca/esd/distdata/ecosystems/TEI_Scanned_Maps/C02/C02-2806</v>
      </c>
      <c r="U366" t="s">
        <v>979</v>
      </c>
      <c r="V366" s="11" t="str">
        <f t="shared" si="8"/>
        <v>http://www.prsss.ca/</v>
      </c>
      <c r="W366" t="s">
        <v>58</v>
      </c>
      <c r="X366" t="s">
        <v>58</v>
      </c>
      <c r="Y366" t="s">
        <v>58</v>
      </c>
      <c r="Z366" t="s">
        <v>58</v>
      </c>
      <c r="AA366" t="s">
        <v>58</v>
      </c>
      <c r="AC366" t="s">
        <v>58</v>
      </c>
      <c r="AE366" t="s">
        <v>58</v>
      </c>
      <c r="AG366" t="s">
        <v>63</v>
      </c>
      <c r="AH366" s="11" t="str">
        <f t="shared" si="7"/>
        <v>mailto: soilterrain@victoria1.gov.bc.ca</v>
      </c>
    </row>
    <row r="367" spans="1:34">
      <c r="A367" t="s">
        <v>1010</v>
      </c>
      <c r="B367" t="s">
        <v>56</v>
      </c>
      <c r="C367" s="10" t="s">
        <v>1011</v>
      </c>
      <c r="D367" t="s">
        <v>58</v>
      </c>
      <c r="E367" t="s">
        <v>497</v>
      </c>
      <c r="F367" t="s">
        <v>508</v>
      </c>
      <c r="G367">
        <v>50000</v>
      </c>
      <c r="H367">
        <v>1976</v>
      </c>
      <c r="I367" t="s">
        <v>58</v>
      </c>
      <c r="J367" t="s">
        <v>58</v>
      </c>
      <c r="K367" t="s">
        <v>58</v>
      </c>
      <c r="L367" t="s">
        <v>58</v>
      </c>
      <c r="M367" t="s">
        <v>58</v>
      </c>
      <c r="N367" t="s">
        <v>61</v>
      </c>
      <c r="Q367" t="s">
        <v>58</v>
      </c>
      <c r="R367" s="11" t="str">
        <f>HYPERLINK("\\imagefiles.bcgov\imagery\scanned_maps\moe_terrain_maps\Scanned_T_maps_all\C02\C02-315","\\imagefiles.bcgov\imagery\scanned_maps\moe_terrain_maps\Scanned_T_maps_all\C02\C02-315")</f>
        <v>\\imagefiles.bcgov\imagery\scanned_maps\moe_terrain_maps\Scanned_T_maps_all\C02\C02-315</v>
      </c>
      <c r="S367" t="s">
        <v>62</v>
      </c>
      <c r="T367" s="11" t="str">
        <f>HYPERLINK("http://www.env.gov.bc.ca/esd/distdata/ecosystems/TEI_Scanned_Maps/C02/C02-315","http://www.env.gov.bc.ca/esd/distdata/ecosystems/TEI_Scanned_Maps/C02/C02-315")</f>
        <v>http://www.env.gov.bc.ca/esd/distdata/ecosystems/TEI_Scanned_Maps/C02/C02-315</v>
      </c>
      <c r="U367" t="s">
        <v>58</v>
      </c>
      <c r="V367" t="s">
        <v>58</v>
      </c>
      <c r="W367" t="s">
        <v>58</v>
      </c>
      <c r="X367" t="s">
        <v>58</v>
      </c>
      <c r="Y367" t="s">
        <v>58</v>
      </c>
      <c r="Z367" t="s">
        <v>58</v>
      </c>
      <c r="AA367" t="s">
        <v>58</v>
      </c>
      <c r="AC367" t="s">
        <v>58</v>
      </c>
      <c r="AE367" t="s">
        <v>58</v>
      </c>
      <c r="AG367" t="s">
        <v>63</v>
      </c>
      <c r="AH367" s="11" t="str">
        <f t="shared" si="7"/>
        <v>mailto: soilterrain@victoria1.gov.bc.ca</v>
      </c>
    </row>
    <row r="368" spans="1:34">
      <c r="A368" t="s">
        <v>1012</v>
      </c>
      <c r="B368" t="s">
        <v>56</v>
      </c>
      <c r="C368" s="10" t="s">
        <v>1013</v>
      </c>
      <c r="D368" t="s">
        <v>58</v>
      </c>
      <c r="E368" t="s">
        <v>497</v>
      </c>
      <c r="F368" t="s">
        <v>508</v>
      </c>
      <c r="G368">
        <v>50000</v>
      </c>
      <c r="H368">
        <v>1976</v>
      </c>
      <c r="I368" t="s">
        <v>58</v>
      </c>
      <c r="J368" t="s">
        <v>58</v>
      </c>
      <c r="K368" t="s">
        <v>58</v>
      </c>
      <c r="L368" t="s">
        <v>58</v>
      </c>
      <c r="M368" t="s">
        <v>58</v>
      </c>
      <c r="N368" t="s">
        <v>61</v>
      </c>
      <c r="Q368" t="s">
        <v>58</v>
      </c>
      <c r="R368" s="11" t="str">
        <f>HYPERLINK("\\imagefiles.bcgov\imagery\scanned_maps\moe_terrain_maps\Scanned_T_maps_all\C02\C02-318","\\imagefiles.bcgov\imagery\scanned_maps\moe_terrain_maps\Scanned_T_maps_all\C02\C02-318")</f>
        <v>\\imagefiles.bcgov\imagery\scanned_maps\moe_terrain_maps\Scanned_T_maps_all\C02\C02-318</v>
      </c>
      <c r="S368" t="s">
        <v>62</v>
      </c>
      <c r="T368" s="11" t="str">
        <f>HYPERLINK("http://www.env.gov.bc.ca/esd/distdata/ecosystems/TEI_Scanned_Maps/C02/C02-318","http://www.env.gov.bc.ca/esd/distdata/ecosystems/TEI_Scanned_Maps/C02/C02-318")</f>
        <v>http://www.env.gov.bc.ca/esd/distdata/ecosystems/TEI_Scanned_Maps/C02/C02-318</v>
      </c>
      <c r="U368" t="s">
        <v>58</v>
      </c>
      <c r="V368" t="s">
        <v>58</v>
      </c>
      <c r="W368" t="s">
        <v>58</v>
      </c>
      <c r="X368" t="s">
        <v>58</v>
      </c>
      <c r="Y368" t="s">
        <v>58</v>
      </c>
      <c r="Z368" t="s">
        <v>58</v>
      </c>
      <c r="AA368" t="s">
        <v>58</v>
      </c>
      <c r="AC368" t="s">
        <v>58</v>
      </c>
      <c r="AE368" t="s">
        <v>58</v>
      </c>
      <c r="AG368" t="s">
        <v>63</v>
      </c>
      <c r="AH368" s="11" t="str">
        <f t="shared" si="7"/>
        <v>mailto: soilterrain@victoria1.gov.bc.ca</v>
      </c>
    </row>
    <row r="369" spans="1:34">
      <c r="A369" t="s">
        <v>1014</v>
      </c>
      <c r="B369" t="s">
        <v>56</v>
      </c>
      <c r="C369" s="10" t="s">
        <v>1015</v>
      </c>
      <c r="D369" t="s">
        <v>58</v>
      </c>
      <c r="E369" t="s">
        <v>497</v>
      </c>
      <c r="F369" t="s">
        <v>508</v>
      </c>
      <c r="G369">
        <v>50000</v>
      </c>
      <c r="H369">
        <v>1976</v>
      </c>
      <c r="I369" t="s">
        <v>58</v>
      </c>
      <c r="J369" t="s">
        <v>58</v>
      </c>
      <c r="K369" t="s">
        <v>58</v>
      </c>
      <c r="L369" t="s">
        <v>58</v>
      </c>
      <c r="M369" t="s">
        <v>58</v>
      </c>
      <c r="N369" t="s">
        <v>61</v>
      </c>
      <c r="Q369" t="s">
        <v>58</v>
      </c>
      <c r="R369" s="11" t="str">
        <f>HYPERLINK("\\imagefiles.bcgov\imagery\scanned_maps\moe_terrain_maps\Scanned_T_maps_all\C02\C02-321","\\imagefiles.bcgov\imagery\scanned_maps\moe_terrain_maps\Scanned_T_maps_all\C02\C02-321")</f>
        <v>\\imagefiles.bcgov\imagery\scanned_maps\moe_terrain_maps\Scanned_T_maps_all\C02\C02-321</v>
      </c>
      <c r="S369" t="s">
        <v>62</v>
      </c>
      <c r="T369" s="11" t="str">
        <f>HYPERLINK("http://www.env.gov.bc.ca/esd/distdata/ecosystems/TEI_Scanned_Maps/C02/C02-321","http://www.env.gov.bc.ca/esd/distdata/ecosystems/TEI_Scanned_Maps/C02/C02-321")</f>
        <v>http://www.env.gov.bc.ca/esd/distdata/ecosystems/TEI_Scanned_Maps/C02/C02-321</v>
      </c>
      <c r="U369" t="s">
        <v>58</v>
      </c>
      <c r="V369" t="s">
        <v>58</v>
      </c>
      <c r="W369" t="s">
        <v>58</v>
      </c>
      <c r="X369" t="s">
        <v>58</v>
      </c>
      <c r="Y369" t="s">
        <v>58</v>
      </c>
      <c r="Z369" t="s">
        <v>58</v>
      </c>
      <c r="AA369" t="s">
        <v>58</v>
      </c>
      <c r="AC369" t="s">
        <v>58</v>
      </c>
      <c r="AE369" t="s">
        <v>58</v>
      </c>
      <c r="AG369" t="s">
        <v>63</v>
      </c>
      <c r="AH369" s="11" t="str">
        <f t="shared" si="7"/>
        <v>mailto: soilterrain@victoria1.gov.bc.ca</v>
      </c>
    </row>
    <row r="370" spans="1:34">
      <c r="A370" t="s">
        <v>1016</v>
      </c>
      <c r="B370" t="s">
        <v>56</v>
      </c>
      <c r="C370" s="10" t="s">
        <v>1017</v>
      </c>
      <c r="D370" t="s">
        <v>58</v>
      </c>
      <c r="E370" t="s">
        <v>497</v>
      </c>
      <c r="F370" t="s">
        <v>508</v>
      </c>
      <c r="G370">
        <v>50000</v>
      </c>
      <c r="H370">
        <v>1976</v>
      </c>
      <c r="I370" t="s">
        <v>58</v>
      </c>
      <c r="J370" t="s">
        <v>58</v>
      </c>
      <c r="K370" t="s">
        <v>58</v>
      </c>
      <c r="L370" t="s">
        <v>58</v>
      </c>
      <c r="M370" t="s">
        <v>58</v>
      </c>
      <c r="N370" t="s">
        <v>61</v>
      </c>
      <c r="Q370" t="s">
        <v>58</v>
      </c>
      <c r="R370" s="11" t="str">
        <f>HYPERLINK("\\imagefiles.bcgov\imagery\scanned_maps\moe_terrain_maps\Scanned_T_maps_all\C02\C02-324","\\imagefiles.bcgov\imagery\scanned_maps\moe_terrain_maps\Scanned_T_maps_all\C02\C02-324")</f>
        <v>\\imagefiles.bcgov\imagery\scanned_maps\moe_terrain_maps\Scanned_T_maps_all\C02\C02-324</v>
      </c>
      <c r="S370" t="s">
        <v>62</v>
      </c>
      <c r="T370" s="11" t="str">
        <f>HYPERLINK("http://www.env.gov.bc.ca/esd/distdata/ecosystems/TEI_Scanned_Maps/C02/C02-324","http://www.env.gov.bc.ca/esd/distdata/ecosystems/TEI_Scanned_Maps/C02/C02-324")</f>
        <v>http://www.env.gov.bc.ca/esd/distdata/ecosystems/TEI_Scanned_Maps/C02/C02-324</v>
      </c>
      <c r="U370" t="s">
        <v>58</v>
      </c>
      <c r="V370" t="s">
        <v>58</v>
      </c>
      <c r="W370" t="s">
        <v>58</v>
      </c>
      <c r="X370" t="s">
        <v>58</v>
      </c>
      <c r="Y370" t="s">
        <v>58</v>
      </c>
      <c r="Z370" t="s">
        <v>58</v>
      </c>
      <c r="AA370" t="s">
        <v>58</v>
      </c>
      <c r="AC370" t="s">
        <v>58</v>
      </c>
      <c r="AE370" t="s">
        <v>58</v>
      </c>
      <c r="AG370" t="s">
        <v>63</v>
      </c>
      <c r="AH370" s="11" t="str">
        <f t="shared" si="7"/>
        <v>mailto: soilterrain@victoria1.gov.bc.ca</v>
      </c>
    </row>
    <row r="371" spans="1:34">
      <c r="A371" t="s">
        <v>1018</v>
      </c>
      <c r="B371" t="s">
        <v>56</v>
      </c>
      <c r="C371" s="10" t="s">
        <v>1019</v>
      </c>
      <c r="D371" t="s">
        <v>58</v>
      </c>
      <c r="E371" t="s">
        <v>497</v>
      </c>
      <c r="F371" t="s">
        <v>508</v>
      </c>
      <c r="G371">
        <v>50000</v>
      </c>
      <c r="H371">
        <v>1976</v>
      </c>
      <c r="I371" t="s">
        <v>58</v>
      </c>
      <c r="J371" t="s">
        <v>58</v>
      </c>
      <c r="K371" t="s">
        <v>58</v>
      </c>
      <c r="L371" t="s">
        <v>58</v>
      </c>
      <c r="M371" t="s">
        <v>58</v>
      </c>
      <c r="N371" t="s">
        <v>61</v>
      </c>
      <c r="Q371" t="s">
        <v>58</v>
      </c>
      <c r="R371" s="11" t="str">
        <f>HYPERLINK("\\imagefiles.bcgov\imagery\scanned_maps\moe_terrain_maps\Scanned_T_maps_all\C02\C02-327","\\imagefiles.bcgov\imagery\scanned_maps\moe_terrain_maps\Scanned_T_maps_all\C02\C02-327")</f>
        <v>\\imagefiles.bcgov\imagery\scanned_maps\moe_terrain_maps\Scanned_T_maps_all\C02\C02-327</v>
      </c>
      <c r="S371" t="s">
        <v>62</v>
      </c>
      <c r="T371" s="11" t="str">
        <f>HYPERLINK("http://www.env.gov.bc.ca/esd/distdata/ecosystems/TEI_Scanned_Maps/C02/C02-327","http://www.env.gov.bc.ca/esd/distdata/ecosystems/TEI_Scanned_Maps/C02/C02-327")</f>
        <v>http://www.env.gov.bc.ca/esd/distdata/ecosystems/TEI_Scanned_Maps/C02/C02-327</v>
      </c>
      <c r="U371" t="s">
        <v>58</v>
      </c>
      <c r="V371" t="s">
        <v>58</v>
      </c>
      <c r="W371" t="s">
        <v>58</v>
      </c>
      <c r="X371" t="s">
        <v>58</v>
      </c>
      <c r="Y371" t="s">
        <v>58</v>
      </c>
      <c r="Z371" t="s">
        <v>58</v>
      </c>
      <c r="AA371" t="s">
        <v>58</v>
      </c>
      <c r="AC371" t="s">
        <v>58</v>
      </c>
      <c r="AE371" t="s">
        <v>58</v>
      </c>
      <c r="AG371" t="s">
        <v>63</v>
      </c>
      <c r="AH371" s="11" t="str">
        <f t="shared" si="7"/>
        <v>mailto: soilterrain@victoria1.gov.bc.ca</v>
      </c>
    </row>
    <row r="372" spans="1:34">
      <c r="A372" t="s">
        <v>1020</v>
      </c>
      <c r="B372" t="s">
        <v>56</v>
      </c>
      <c r="C372" s="10" t="s">
        <v>1021</v>
      </c>
      <c r="D372" t="s">
        <v>58</v>
      </c>
      <c r="E372" t="s">
        <v>497</v>
      </c>
      <c r="F372" t="s">
        <v>508</v>
      </c>
      <c r="G372">
        <v>50000</v>
      </c>
      <c r="H372">
        <v>1976</v>
      </c>
      <c r="I372" t="s">
        <v>58</v>
      </c>
      <c r="J372" t="s">
        <v>58</v>
      </c>
      <c r="K372" t="s">
        <v>58</v>
      </c>
      <c r="L372" t="s">
        <v>58</v>
      </c>
      <c r="M372" t="s">
        <v>58</v>
      </c>
      <c r="N372" t="s">
        <v>61</v>
      </c>
      <c r="Q372" t="s">
        <v>58</v>
      </c>
      <c r="R372" s="11" t="str">
        <f>HYPERLINK("\\imagefiles.bcgov\imagery\scanned_maps\moe_terrain_maps\Scanned_T_maps_all\C02\C02-330","\\imagefiles.bcgov\imagery\scanned_maps\moe_terrain_maps\Scanned_T_maps_all\C02\C02-330")</f>
        <v>\\imagefiles.bcgov\imagery\scanned_maps\moe_terrain_maps\Scanned_T_maps_all\C02\C02-330</v>
      </c>
      <c r="S372" t="s">
        <v>62</v>
      </c>
      <c r="T372" s="11" t="str">
        <f>HYPERLINK("http://www.env.gov.bc.ca/esd/distdata/ecosystems/TEI_Scanned_Maps/C02/C02-330","http://www.env.gov.bc.ca/esd/distdata/ecosystems/TEI_Scanned_Maps/C02/C02-330")</f>
        <v>http://www.env.gov.bc.ca/esd/distdata/ecosystems/TEI_Scanned_Maps/C02/C02-330</v>
      </c>
      <c r="U372" t="s">
        <v>58</v>
      </c>
      <c r="V372" t="s">
        <v>58</v>
      </c>
      <c r="W372" t="s">
        <v>58</v>
      </c>
      <c r="X372" t="s">
        <v>58</v>
      </c>
      <c r="Y372" t="s">
        <v>58</v>
      </c>
      <c r="Z372" t="s">
        <v>58</v>
      </c>
      <c r="AA372" t="s">
        <v>58</v>
      </c>
      <c r="AC372" t="s">
        <v>58</v>
      </c>
      <c r="AE372" t="s">
        <v>58</v>
      </c>
      <c r="AG372" t="s">
        <v>63</v>
      </c>
      <c r="AH372" s="11" t="str">
        <f t="shared" si="7"/>
        <v>mailto: soilterrain@victoria1.gov.bc.ca</v>
      </c>
    </row>
    <row r="373" spans="1:34">
      <c r="A373" t="s">
        <v>1022</v>
      </c>
      <c r="B373" t="s">
        <v>56</v>
      </c>
      <c r="C373" s="10" t="s">
        <v>1023</v>
      </c>
      <c r="D373" t="s">
        <v>58</v>
      </c>
      <c r="E373" t="s">
        <v>497</v>
      </c>
      <c r="F373" t="s">
        <v>508</v>
      </c>
      <c r="G373">
        <v>50000</v>
      </c>
      <c r="H373">
        <v>1976</v>
      </c>
      <c r="I373" t="s">
        <v>58</v>
      </c>
      <c r="J373" t="s">
        <v>58</v>
      </c>
      <c r="K373" t="s">
        <v>58</v>
      </c>
      <c r="L373" t="s">
        <v>58</v>
      </c>
      <c r="M373" t="s">
        <v>58</v>
      </c>
      <c r="N373" t="s">
        <v>61</v>
      </c>
      <c r="Q373" t="s">
        <v>58</v>
      </c>
      <c r="R373" s="11" t="str">
        <f>HYPERLINK("\\imagefiles.bcgov\imagery\scanned_maps\moe_terrain_maps\Scanned_T_maps_all\C02\C02-333","\\imagefiles.bcgov\imagery\scanned_maps\moe_terrain_maps\Scanned_T_maps_all\C02\C02-333")</f>
        <v>\\imagefiles.bcgov\imagery\scanned_maps\moe_terrain_maps\Scanned_T_maps_all\C02\C02-333</v>
      </c>
      <c r="S373" t="s">
        <v>62</v>
      </c>
      <c r="T373" s="11" t="str">
        <f>HYPERLINK("http://www.env.gov.bc.ca/esd/distdata/ecosystems/TEI_Scanned_Maps/C02/C02-333","http://www.env.gov.bc.ca/esd/distdata/ecosystems/TEI_Scanned_Maps/C02/C02-333")</f>
        <v>http://www.env.gov.bc.ca/esd/distdata/ecosystems/TEI_Scanned_Maps/C02/C02-333</v>
      </c>
      <c r="U373" t="s">
        <v>58</v>
      </c>
      <c r="V373" t="s">
        <v>58</v>
      </c>
      <c r="W373" t="s">
        <v>58</v>
      </c>
      <c r="X373" t="s">
        <v>58</v>
      </c>
      <c r="Y373" t="s">
        <v>58</v>
      </c>
      <c r="Z373" t="s">
        <v>58</v>
      </c>
      <c r="AA373" t="s">
        <v>58</v>
      </c>
      <c r="AC373" t="s">
        <v>58</v>
      </c>
      <c r="AE373" t="s">
        <v>58</v>
      </c>
      <c r="AG373" t="s">
        <v>63</v>
      </c>
      <c r="AH373" s="11" t="str">
        <f t="shared" si="7"/>
        <v>mailto: soilterrain@victoria1.gov.bc.ca</v>
      </c>
    </row>
    <row r="374" spans="1:34">
      <c r="A374" t="s">
        <v>1024</v>
      </c>
      <c r="B374" t="s">
        <v>56</v>
      </c>
      <c r="C374" s="10" t="s">
        <v>1025</v>
      </c>
      <c r="D374" t="s">
        <v>58</v>
      </c>
      <c r="E374" t="s">
        <v>497</v>
      </c>
      <c r="F374" t="s">
        <v>508</v>
      </c>
      <c r="G374">
        <v>50000</v>
      </c>
      <c r="H374">
        <v>1976</v>
      </c>
      <c r="I374" t="s">
        <v>58</v>
      </c>
      <c r="J374" t="s">
        <v>58</v>
      </c>
      <c r="K374" t="s">
        <v>58</v>
      </c>
      <c r="L374" t="s">
        <v>58</v>
      </c>
      <c r="M374" t="s">
        <v>58</v>
      </c>
      <c r="N374" t="s">
        <v>61</v>
      </c>
      <c r="Q374" t="s">
        <v>58</v>
      </c>
      <c r="R374" s="11" t="str">
        <f>HYPERLINK("\\imagefiles.bcgov\imagery\scanned_maps\moe_terrain_maps\Scanned_T_maps_all\C02\C02-336","\\imagefiles.bcgov\imagery\scanned_maps\moe_terrain_maps\Scanned_T_maps_all\C02\C02-336")</f>
        <v>\\imagefiles.bcgov\imagery\scanned_maps\moe_terrain_maps\Scanned_T_maps_all\C02\C02-336</v>
      </c>
      <c r="S374" t="s">
        <v>62</v>
      </c>
      <c r="T374" s="11" t="str">
        <f>HYPERLINK("http://www.env.gov.bc.ca/esd/distdata/ecosystems/TEI_Scanned_Maps/C02/C02-336","http://www.env.gov.bc.ca/esd/distdata/ecosystems/TEI_Scanned_Maps/C02/C02-336")</f>
        <v>http://www.env.gov.bc.ca/esd/distdata/ecosystems/TEI_Scanned_Maps/C02/C02-336</v>
      </c>
      <c r="U374" t="s">
        <v>58</v>
      </c>
      <c r="V374" t="s">
        <v>58</v>
      </c>
      <c r="W374" t="s">
        <v>58</v>
      </c>
      <c r="X374" t="s">
        <v>58</v>
      </c>
      <c r="Y374" t="s">
        <v>58</v>
      </c>
      <c r="Z374" t="s">
        <v>58</v>
      </c>
      <c r="AA374" t="s">
        <v>58</v>
      </c>
      <c r="AC374" t="s">
        <v>58</v>
      </c>
      <c r="AE374" t="s">
        <v>58</v>
      </c>
      <c r="AG374" t="s">
        <v>63</v>
      </c>
      <c r="AH374" s="11" t="str">
        <f t="shared" si="7"/>
        <v>mailto: soilterrain@victoria1.gov.bc.ca</v>
      </c>
    </row>
    <row r="375" spans="1:34">
      <c r="A375" t="s">
        <v>1026</v>
      </c>
      <c r="B375" t="s">
        <v>56</v>
      </c>
      <c r="C375" s="10" t="s">
        <v>1027</v>
      </c>
      <c r="D375" t="s">
        <v>58</v>
      </c>
      <c r="E375" t="s">
        <v>497</v>
      </c>
      <c r="F375" t="s">
        <v>508</v>
      </c>
      <c r="G375">
        <v>50000</v>
      </c>
      <c r="H375">
        <v>1976</v>
      </c>
      <c r="I375" t="s">
        <v>58</v>
      </c>
      <c r="J375" t="s">
        <v>58</v>
      </c>
      <c r="K375" t="s">
        <v>58</v>
      </c>
      <c r="L375" t="s">
        <v>58</v>
      </c>
      <c r="M375" t="s">
        <v>58</v>
      </c>
      <c r="N375" t="s">
        <v>61</v>
      </c>
      <c r="Q375" t="s">
        <v>58</v>
      </c>
      <c r="R375" s="11" t="str">
        <f>HYPERLINK("\\imagefiles.bcgov\imagery\scanned_maps\moe_terrain_maps\Scanned_T_maps_all\C02\C02-339","\\imagefiles.bcgov\imagery\scanned_maps\moe_terrain_maps\Scanned_T_maps_all\C02\C02-339")</f>
        <v>\\imagefiles.bcgov\imagery\scanned_maps\moe_terrain_maps\Scanned_T_maps_all\C02\C02-339</v>
      </c>
      <c r="S375" t="s">
        <v>62</v>
      </c>
      <c r="T375" s="11" t="str">
        <f>HYPERLINK("http://www.env.gov.bc.ca/esd/distdata/ecosystems/TEI_Scanned_Maps/C02/C02-339","http://www.env.gov.bc.ca/esd/distdata/ecosystems/TEI_Scanned_Maps/C02/C02-339")</f>
        <v>http://www.env.gov.bc.ca/esd/distdata/ecosystems/TEI_Scanned_Maps/C02/C02-339</v>
      </c>
      <c r="U375" t="s">
        <v>58</v>
      </c>
      <c r="V375" t="s">
        <v>58</v>
      </c>
      <c r="W375" t="s">
        <v>58</v>
      </c>
      <c r="X375" t="s">
        <v>58</v>
      </c>
      <c r="Y375" t="s">
        <v>58</v>
      </c>
      <c r="Z375" t="s">
        <v>58</v>
      </c>
      <c r="AA375" t="s">
        <v>58</v>
      </c>
      <c r="AC375" t="s">
        <v>58</v>
      </c>
      <c r="AE375" t="s">
        <v>58</v>
      </c>
      <c r="AG375" t="s">
        <v>63</v>
      </c>
      <c r="AH375" s="11" t="str">
        <f t="shared" si="7"/>
        <v>mailto: soilterrain@victoria1.gov.bc.ca</v>
      </c>
    </row>
    <row r="376" spans="1:34">
      <c r="A376" t="s">
        <v>1028</v>
      </c>
      <c r="B376" t="s">
        <v>56</v>
      </c>
      <c r="C376" s="10" t="s">
        <v>1029</v>
      </c>
      <c r="D376" t="s">
        <v>58</v>
      </c>
      <c r="E376" t="s">
        <v>497</v>
      </c>
      <c r="F376" t="s">
        <v>508</v>
      </c>
      <c r="G376">
        <v>50000</v>
      </c>
      <c r="H376">
        <v>1976</v>
      </c>
      <c r="I376" t="s">
        <v>58</v>
      </c>
      <c r="J376" t="s">
        <v>58</v>
      </c>
      <c r="K376" t="s">
        <v>58</v>
      </c>
      <c r="L376" t="s">
        <v>58</v>
      </c>
      <c r="M376" t="s">
        <v>58</v>
      </c>
      <c r="N376" t="s">
        <v>61</v>
      </c>
      <c r="Q376" t="s">
        <v>58</v>
      </c>
      <c r="R376" s="11" t="str">
        <f>HYPERLINK("\\imagefiles.bcgov\imagery\scanned_maps\moe_terrain_maps\Scanned_T_maps_all\C02\C02-341","\\imagefiles.bcgov\imagery\scanned_maps\moe_terrain_maps\Scanned_T_maps_all\C02\C02-341")</f>
        <v>\\imagefiles.bcgov\imagery\scanned_maps\moe_terrain_maps\Scanned_T_maps_all\C02\C02-341</v>
      </c>
      <c r="S376" t="s">
        <v>62</v>
      </c>
      <c r="T376" s="11" t="str">
        <f>HYPERLINK("http://www.env.gov.bc.ca/esd/distdata/ecosystems/TEI_Scanned_Maps/C02/C02-341","http://www.env.gov.bc.ca/esd/distdata/ecosystems/TEI_Scanned_Maps/C02/C02-341")</f>
        <v>http://www.env.gov.bc.ca/esd/distdata/ecosystems/TEI_Scanned_Maps/C02/C02-341</v>
      </c>
      <c r="U376" t="s">
        <v>58</v>
      </c>
      <c r="V376" t="s">
        <v>58</v>
      </c>
      <c r="W376" t="s">
        <v>58</v>
      </c>
      <c r="X376" t="s">
        <v>58</v>
      </c>
      <c r="Y376" t="s">
        <v>58</v>
      </c>
      <c r="Z376" t="s">
        <v>58</v>
      </c>
      <c r="AA376" t="s">
        <v>58</v>
      </c>
      <c r="AC376" t="s">
        <v>58</v>
      </c>
      <c r="AE376" t="s">
        <v>58</v>
      </c>
      <c r="AG376" t="s">
        <v>63</v>
      </c>
      <c r="AH376" s="11" t="str">
        <f t="shared" si="7"/>
        <v>mailto: soilterrain@victoria1.gov.bc.ca</v>
      </c>
    </row>
    <row r="377" spans="1:34">
      <c r="A377" t="s">
        <v>1030</v>
      </c>
      <c r="B377" t="s">
        <v>56</v>
      </c>
      <c r="C377" s="10" t="s">
        <v>1031</v>
      </c>
      <c r="D377" t="s">
        <v>58</v>
      </c>
      <c r="E377" t="s">
        <v>497</v>
      </c>
      <c r="F377" t="s">
        <v>508</v>
      </c>
      <c r="G377">
        <v>50000</v>
      </c>
      <c r="H377">
        <v>1976</v>
      </c>
      <c r="I377" t="s">
        <v>58</v>
      </c>
      <c r="J377" t="s">
        <v>58</v>
      </c>
      <c r="K377" t="s">
        <v>58</v>
      </c>
      <c r="L377" t="s">
        <v>58</v>
      </c>
      <c r="M377" t="s">
        <v>58</v>
      </c>
      <c r="N377" t="s">
        <v>61</v>
      </c>
      <c r="Q377" t="s">
        <v>58</v>
      </c>
      <c r="R377" s="11" t="str">
        <f>HYPERLINK("\\imagefiles.bcgov\imagery\scanned_maps\moe_terrain_maps\Scanned_T_maps_all\C02\C02-343","\\imagefiles.bcgov\imagery\scanned_maps\moe_terrain_maps\Scanned_T_maps_all\C02\C02-343")</f>
        <v>\\imagefiles.bcgov\imagery\scanned_maps\moe_terrain_maps\Scanned_T_maps_all\C02\C02-343</v>
      </c>
      <c r="S377" t="s">
        <v>62</v>
      </c>
      <c r="T377" s="11" t="str">
        <f>HYPERLINK("http://www.env.gov.bc.ca/esd/distdata/ecosystems/TEI_Scanned_Maps/C02/C02-343","http://www.env.gov.bc.ca/esd/distdata/ecosystems/TEI_Scanned_Maps/C02/C02-343")</f>
        <v>http://www.env.gov.bc.ca/esd/distdata/ecosystems/TEI_Scanned_Maps/C02/C02-343</v>
      </c>
      <c r="U377" t="s">
        <v>58</v>
      </c>
      <c r="V377" t="s">
        <v>58</v>
      </c>
      <c r="W377" t="s">
        <v>58</v>
      </c>
      <c r="X377" t="s">
        <v>58</v>
      </c>
      <c r="Y377" t="s">
        <v>58</v>
      </c>
      <c r="Z377" t="s">
        <v>58</v>
      </c>
      <c r="AA377" t="s">
        <v>58</v>
      </c>
      <c r="AC377" t="s">
        <v>58</v>
      </c>
      <c r="AE377" t="s">
        <v>58</v>
      </c>
      <c r="AG377" t="s">
        <v>63</v>
      </c>
      <c r="AH377" s="11" t="str">
        <f t="shared" si="7"/>
        <v>mailto: soilterrain@victoria1.gov.bc.ca</v>
      </c>
    </row>
    <row r="378" spans="1:34">
      <c r="A378" t="s">
        <v>1032</v>
      </c>
      <c r="B378" t="s">
        <v>56</v>
      </c>
      <c r="C378" s="10" t="s">
        <v>1033</v>
      </c>
      <c r="D378" t="s">
        <v>58</v>
      </c>
      <c r="E378" t="s">
        <v>497</v>
      </c>
      <c r="F378" t="s">
        <v>508</v>
      </c>
      <c r="G378">
        <v>50000</v>
      </c>
      <c r="H378">
        <v>1976</v>
      </c>
      <c r="I378" t="s">
        <v>58</v>
      </c>
      <c r="J378" t="s">
        <v>58</v>
      </c>
      <c r="K378" t="s">
        <v>58</v>
      </c>
      <c r="L378" t="s">
        <v>58</v>
      </c>
      <c r="M378" t="s">
        <v>58</v>
      </c>
      <c r="N378" t="s">
        <v>61</v>
      </c>
      <c r="Q378" t="s">
        <v>58</v>
      </c>
      <c r="R378" s="11" t="str">
        <f>HYPERLINK("\\imagefiles.bcgov\imagery\scanned_maps\moe_terrain_maps\Scanned_T_maps_all\C02\C02-346","\\imagefiles.bcgov\imagery\scanned_maps\moe_terrain_maps\Scanned_T_maps_all\C02\C02-346")</f>
        <v>\\imagefiles.bcgov\imagery\scanned_maps\moe_terrain_maps\Scanned_T_maps_all\C02\C02-346</v>
      </c>
      <c r="S378" t="s">
        <v>62</v>
      </c>
      <c r="T378" s="11" t="str">
        <f>HYPERLINK("http://www.env.gov.bc.ca/esd/distdata/ecosystems/TEI_Scanned_Maps/C02/C02-346","http://www.env.gov.bc.ca/esd/distdata/ecosystems/TEI_Scanned_Maps/C02/C02-346")</f>
        <v>http://www.env.gov.bc.ca/esd/distdata/ecosystems/TEI_Scanned_Maps/C02/C02-346</v>
      </c>
      <c r="U378" t="s">
        <v>58</v>
      </c>
      <c r="V378" t="s">
        <v>58</v>
      </c>
      <c r="W378" t="s">
        <v>58</v>
      </c>
      <c r="X378" t="s">
        <v>58</v>
      </c>
      <c r="Y378" t="s">
        <v>58</v>
      </c>
      <c r="Z378" t="s">
        <v>58</v>
      </c>
      <c r="AA378" t="s">
        <v>58</v>
      </c>
      <c r="AC378" t="s">
        <v>58</v>
      </c>
      <c r="AE378" t="s">
        <v>58</v>
      </c>
      <c r="AG378" t="s">
        <v>63</v>
      </c>
      <c r="AH378" s="11" t="str">
        <f t="shared" si="7"/>
        <v>mailto: soilterrain@victoria1.gov.bc.ca</v>
      </c>
    </row>
    <row r="379" spans="1:34">
      <c r="A379" t="s">
        <v>1034</v>
      </c>
      <c r="B379" t="s">
        <v>56</v>
      </c>
      <c r="C379" s="10" t="s">
        <v>1035</v>
      </c>
      <c r="D379" t="s">
        <v>58</v>
      </c>
      <c r="E379" t="s">
        <v>497</v>
      </c>
      <c r="F379" t="s">
        <v>508</v>
      </c>
      <c r="G379">
        <v>50000</v>
      </c>
      <c r="H379">
        <v>1976</v>
      </c>
      <c r="I379" t="s">
        <v>58</v>
      </c>
      <c r="J379" t="s">
        <v>58</v>
      </c>
      <c r="K379" t="s">
        <v>58</v>
      </c>
      <c r="L379" t="s">
        <v>58</v>
      </c>
      <c r="M379" t="s">
        <v>58</v>
      </c>
      <c r="N379" t="s">
        <v>61</v>
      </c>
      <c r="Q379" t="s">
        <v>58</v>
      </c>
      <c r="R379" s="11" t="str">
        <f>HYPERLINK("\\imagefiles.bcgov\imagery\scanned_maps\moe_terrain_maps\Scanned_T_maps_all\C02\C02-349","\\imagefiles.bcgov\imagery\scanned_maps\moe_terrain_maps\Scanned_T_maps_all\C02\C02-349")</f>
        <v>\\imagefiles.bcgov\imagery\scanned_maps\moe_terrain_maps\Scanned_T_maps_all\C02\C02-349</v>
      </c>
      <c r="S379" t="s">
        <v>62</v>
      </c>
      <c r="T379" s="11" t="str">
        <f>HYPERLINK("http://www.env.gov.bc.ca/esd/distdata/ecosystems/TEI_Scanned_Maps/C02/C02-349","http://www.env.gov.bc.ca/esd/distdata/ecosystems/TEI_Scanned_Maps/C02/C02-349")</f>
        <v>http://www.env.gov.bc.ca/esd/distdata/ecosystems/TEI_Scanned_Maps/C02/C02-349</v>
      </c>
      <c r="U379" t="s">
        <v>58</v>
      </c>
      <c r="V379" t="s">
        <v>58</v>
      </c>
      <c r="W379" t="s">
        <v>58</v>
      </c>
      <c r="X379" t="s">
        <v>58</v>
      </c>
      <c r="Y379" t="s">
        <v>58</v>
      </c>
      <c r="Z379" t="s">
        <v>58</v>
      </c>
      <c r="AA379" t="s">
        <v>58</v>
      </c>
      <c r="AC379" t="s">
        <v>58</v>
      </c>
      <c r="AE379" t="s">
        <v>58</v>
      </c>
      <c r="AG379" t="s">
        <v>63</v>
      </c>
      <c r="AH379" s="11" t="str">
        <f t="shared" si="7"/>
        <v>mailto: soilterrain@victoria1.gov.bc.ca</v>
      </c>
    </row>
    <row r="380" spans="1:34">
      <c r="A380" t="s">
        <v>1036</v>
      </c>
      <c r="B380" t="s">
        <v>56</v>
      </c>
      <c r="C380" s="10" t="s">
        <v>1037</v>
      </c>
      <c r="D380" t="s">
        <v>58</v>
      </c>
      <c r="E380" t="s">
        <v>497</v>
      </c>
      <c r="F380" t="s">
        <v>508</v>
      </c>
      <c r="G380">
        <v>50000</v>
      </c>
      <c r="H380">
        <v>1981</v>
      </c>
      <c r="I380" t="s">
        <v>58</v>
      </c>
      <c r="J380" t="s">
        <v>58</v>
      </c>
      <c r="K380" t="s">
        <v>58</v>
      </c>
      <c r="L380" t="s">
        <v>58</v>
      </c>
      <c r="M380" t="s">
        <v>58</v>
      </c>
      <c r="N380" t="s">
        <v>61</v>
      </c>
      <c r="Q380" t="s">
        <v>58</v>
      </c>
      <c r="R380" s="11" t="str">
        <f>HYPERLINK("\\imagefiles.bcgov\imagery\scanned_maps\moe_terrain_maps\Scanned_T_maps_all\C02\C02-352","\\imagefiles.bcgov\imagery\scanned_maps\moe_terrain_maps\Scanned_T_maps_all\C02\C02-352")</f>
        <v>\\imagefiles.bcgov\imagery\scanned_maps\moe_terrain_maps\Scanned_T_maps_all\C02\C02-352</v>
      </c>
      <c r="S380" t="s">
        <v>62</v>
      </c>
      <c r="T380" s="11" t="str">
        <f>HYPERLINK("http://www.env.gov.bc.ca/esd/distdata/ecosystems/TEI_Scanned_Maps/C02/C02-352","http://www.env.gov.bc.ca/esd/distdata/ecosystems/TEI_Scanned_Maps/C02/C02-352")</f>
        <v>http://www.env.gov.bc.ca/esd/distdata/ecosystems/TEI_Scanned_Maps/C02/C02-352</v>
      </c>
      <c r="U380" t="s">
        <v>58</v>
      </c>
      <c r="V380" t="s">
        <v>58</v>
      </c>
      <c r="W380" t="s">
        <v>58</v>
      </c>
      <c r="X380" t="s">
        <v>58</v>
      </c>
      <c r="Y380" t="s">
        <v>58</v>
      </c>
      <c r="Z380" t="s">
        <v>58</v>
      </c>
      <c r="AA380" t="s">
        <v>58</v>
      </c>
      <c r="AC380" t="s">
        <v>58</v>
      </c>
      <c r="AE380" t="s">
        <v>58</v>
      </c>
      <c r="AG380" t="s">
        <v>63</v>
      </c>
      <c r="AH380" s="11" t="str">
        <f t="shared" si="7"/>
        <v>mailto: soilterrain@victoria1.gov.bc.ca</v>
      </c>
    </row>
    <row r="381" spans="1:34">
      <c r="A381" t="s">
        <v>1038</v>
      </c>
      <c r="B381" t="s">
        <v>56</v>
      </c>
      <c r="C381" s="10" t="s">
        <v>1039</v>
      </c>
      <c r="D381" t="s">
        <v>58</v>
      </c>
      <c r="E381" t="s">
        <v>497</v>
      </c>
      <c r="F381" t="s">
        <v>508</v>
      </c>
      <c r="G381">
        <v>50000</v>
      </c>
      <c r="H381">
        <v>1981</v>
      </c>
      <c r="I381" t="s">
        <v>58</v>
      </c>
      <c r="J381" t="s">
        <v>58</v>
      </c>
      <c r="K381" t="s">
        <v>58</v>
      </c>
      <c r="L381" t="s">
        <v>58</v>
      </c>
      <c r="M381" t="s">
        <v>58</v>
      </c>
      <c r="N381" t="s">
        <v>61</v>
      </c>
      <c r="Q381" t="s">
        <v>58</v>
      </c>
      <c r="R381" s="11" t="str">
        <f>HYPERLINK("\\imagefiles.bcgov\imagery\scanned_maps\moe_terrain_maps\Scanned_T_maps_all\C02\C02-355","\\imagefiles.bcgov\imagery\scanned_maps\moe_terrain_maps\Scanned_T_maps_all\C02\C02-355")</f>
        <v>\\imagefiles.bcgov\imagery\scanned_maps\moe_terrain_maps\Scanned_T_maps_all\C02\C02-355</v>
      </c>
      <c r="S381" t="s">
        <v>62</v>
      </c>
      <c r="T381" s="11" t="str">
        <f>HYPERLINK("http://www.env.gov.bc.ca/esd/distdata/ecosystems/TEI_Scanned_Maps/C02/C02-355","http://www.env.gov.bc.ca/esd/distdata/ecosystems/TEI_Scanned_Maps/C02/C02-355")</f>
        <v>http://www.env.gov.bc.ca/esd/distdata/ecosystems/TEI_Scanned_Maps/C02/C02-355</v>
      </c>
      <c r="U381" t="s">
        <v>58</v>
      </c>
      <c r="V381" t="s">
        <v>58</v>
      </c>
      <c r="W381" t="s">
        <v>58</v>
      </c>
      <c r="X381" t="s">
        <v>58</v>
      </c>
      <c r="Y381" t="s">
        <v>58</v>
      </c>
      <c r="Z381" t="s">
        <v>58</v>
      </c>
      <c r="AA381" t="s">
        <v>58</v>
      </c>
      <c r="AC381" t="s">
        <v>58</v>
      </c>
      <c r="AE381" t="s">
        <v>58</v>
      </c>
      <c r="AG381" t="s">
        <v>63</v>
      </c>
      <c r="AH381" s="11" t="str">
        <f t="shared" si="7"/>
        <v>mailto: soilterrain@victoria1.gov.bc.ca</v>
      </c>
    </row>
    <row r="382" spans="1:34">
      <c r="A382" t="s">
        <v>1040</v>
      </c>
      <c r="B382" t="s">
        <v>56</v>
      </c>
      <c r="C382" s="10" t="s">
        <v>1041</v>
      </c>
      <c r="D382" t="s">
        <v>58</v>
      </c>
      <c r="E382" t="s">
        <v>497</v>
      </c>
      <c r="F382" t="s">
        <v>508</v>
      </c>
      <c r="G382">
        <v>50000</v>
      </c>
      <c r="H382">
        <v>1981</v>
      </c>
      <c r="I382" t="s">
        <v>58</v>
      </c>
      <c r="J382" t="s">
        <v>58</v>
      </c>
      <c r="K382" t="s">
        <v>58</v>
      </c>
      <c r="L382" t="s">
        <v>58</v>
      </c>
      <c r="M382" t="s">
        <v>58</v>
      </c>
      <c r="N382" t="s">
        <v>61</v>
      </c>
      <c r="Q382" t="s">
        <v>58</v>
      </c>
      <c r="R382" s="11" t="str">
        <f>HYPERLINK("\\imagefiles.bcgov\imagery\scanned_maps\moe_terrain_maps\Scanned_T_maps_all\C02\C02-357","\\imagefiles.bcgov\imagery\scanned_maps\moe_terrain_maps\Scanned_T_maps_all\C02\C02-357")</f>
        <v>\\imagefiles.bcgov\imagery\scanned_maps\moe_terrain_maps\Scanned_T_maps_all\C02\C02-357</v>
      </c>
      <c r="S382" t="s">
        <v>62</v>
      </c>
      <c r="T382" s="11" t="str">
        <f>HYPERLINK("http://www.env.gov.bc.ca/esd/distdata/ecosystems/TEI_Scanned_Maps/C02/C02-357","http://www.env.gov.bc.ca/esd/distdata/ecosystems/TEI_Scanned_Maps/C02/C02-357")</f>
        <v>http://www.env.gov.bc.ca/esd/distdata/ecosystems/TEI_Scanned_Maps/C02/C02-357</v>
      </c>
      <c r="U382" t="s">
        <v>58</v>
      </c>
      <c r="V382" t="s">
        <v>58</v>
      </c>
      <c r="W382" t="s">
        <v>58</v>
      </c>
      <c r="X382" t="s">
        <v>58</v>
      </c>
      <c r="Y382" t="s">
        <v>58</v>
      </c>
      <c r="Z382" t="s">
        <v>58</v>
      </c>
      <c r="AA382" t="s">
        <v>58</v>
      </c>
      <c r="AC382" t="s">
        <v>58</v>
      </c>
      <c r="AE382" t="s">
        <v>58</v>
      </c>
      <c r="AG382" t="s">
        <v>63</v>
      </c>
      <c r="AH382" s="11" t="str">
        <f t="shared" si="7"/>
        <v>mailto: soilterrain@victoria1.gov.bc.ca</v>
      </c>
    </row>
    <row r="383" spans="1:34">
      <c r="A383" t="s">
        <v>1042</v>
      </c>
      <c r="B383" t="s">
        <v>56</v>
      </c>
      <c r="C383" s="10" t="s">
        <v>1043</v>
      </c>
      <c r="D383" t="s">
        <v>58</v>
      </c>
      <c r="E383" t="s">
        <v>497</v>
      </c>
      <c r="F383" t="s">
        <v>1044</v>
      </c>
      <c r="G383">
        <v>50000</v>
      </c>
      <c r="H383">
        <v>1981</v>
      </c>
      <c r="I383" t="s">
        <v>58</v>
      </c>
      <c r="J383" t="s">
        <v>58</v>
      </c>
      <c r="K383" t="s">
        <v>58</v>
      </c>
      <c r="L383" t="s">
        <v>58</v>
      </c>
      <c r="M383" t="s">
        <v>58</v>
      </c>
      <c r="N383" t="s">
        <v>61</v>
      </c>
      <c r="Q383" t="s">
        <v>58</v>
      </c>
      <c r="R383" s="11" t="str">
        <f>HYPERLINK("\\imagefiles.bcgov\imagery\scanned_maps\moe_terrain_maps\Scanned_T_maps_all\C02\C02-397","\\imagefiles.bcgov\imagery\scanned_maps\moe_terrain_maps\Scanned_T_maps_all\C02\C02-397")</f>
        <v>\\imagefiles.bcgov\imagery\scanned_maps\moe_terrain_maps\Scanned_T_maps_all\C02\C02-397</v>
      </c>
      <c r="S383" t="s">
        <v>62</v>
      </c>
      <c r="T383" s="11" t="str">
        <f>HYPERLINK("http://www.env.gov.bc.ca/esd/distdata/ecosystems/TEI_Scanned_Maps/C02/C02-397","http://www.env.gov.bc.ca/esd/distdata/ecosystems/TEI_Scanned_Maps/C02/C02-397")</f>
        <v>http://www.env.gov.bc.ca/esd/distdata/ecosystems/TEI_Scanned_Maps/C02/C02-397</v>
      </c>
      <c r="U383" t="s">
        <v>58</v>
      </c>
      <c r="V383" t="s">
        <v>58</v>
      </c>
      <c r="W383" t="s">
        <v>58</v>
      </c>
      <c r="X383" t="s">
        <v>58</v>
      </c>
      <c r="Y383" t="s">
        <v>58</v>
      </c>
      <c r="Z383" t="s">
        <v>58</v>
      </c>
      <c r="AA383" t="s">
        <v>58</v>
      </c>
      <c r="AC383" t="s">
        <v>58</v>
      </c>
      <c r="AE383" t="s">
        <v>58</v>
      </c>
      <c r="AG383" t="s">
        <v>63</v>
      </c>
      <c r="AH383" s="11" t="str">
        <f t="shared" si="7"/>
        <v>mailto: soilterrain@victoria1.gov.bc.ca</v>
      </c>
    </row>
    <row r="384" spans="1:34">
      <c r="A384" t="s">
        <v>1045</v>
      </c>
      <c r="B384" t="s">
        <v>56</v>
      </c>
      <c r="C384" s="10" t="s">
        <v>1046</v>
      </c>
      <c r="D384" t="s">
        <v>58</v>
      </c>
      <c r="E384" t="s">
        <v>497</v>
      </c>
      <c r="F384" t="s">
        <v>508</v>
      </c>
      <c r="G384">
        <v>50000</v>
      </c>
      <c r="H384">
        <v>1981</v>
      </c>
      <c r="I384" t="s">
        <v>58</v>
      </c>
      <c r="J384" t="s">
        <v>58</v>
      </c>
      <c r="K384" t="s">
        <v>58</v>
      </c>
      <c r="L384" t="s">
        <v>58</v>
      </c>
      <c r="M384" t="s">
        <v>58</v>
      </c>
      <c r="N384" t="s">
        <v>61</v>
      </c>
      <c r="Q384" t="s">
        <v>58</v>
      </c>
      <c r="R384" s="11" t="str">
        <f>HYPERLINK("\\imagefiles.bcgov\imagery\scanned_maps\moe_terrain_maps\Scanned_T_maps_all\C02\C02-400","\\imagefiles.bcgov\imagery\scanned_maps\moe_terrain_maps\Scanned_T_maps_all\C02\C02-400")</f>
        <v>\\imagefiles.bcgov\imagery\scanned_maps\moe_terrain_maps\Scanned_T_maps_all\C02\C02-400</v>
      </c>
      <c r="S384" t="s">
        <v>62</v>
      </c>
      <c r="T384" s="11" t="str">
        <f>HYPERLINK("http://www.env.gov.bc.ca/esd/distdata/ecosystems/TEI_Scanned_Maps/C02/C02-400","http://www.env.gov.bc.ca/esd/distdata/ecosystems/TEI_Scanned_Maps/C02/C02-400")</f>
        <v>http://www.env.gov.bc.ca/esd/distdata/ecosystems/TEI_Scanned_Maps/C02/C02-400</v>
      </c>
      <c r="U384" t="s">
        <v>58</v>
      </c>
      <c r="V384" t="s">
        <v>58</v>
      </c>
      <c r="W384" t="s">
        <v>58</v>
      </c>
      <c r="X384" t="s">
        <v>58</v>
      </c>
      <c r="Y384" t="s">
        <v>58</v>
      </c>
      <c r="Z384" t="s">
        <v>58</v>
      </c>
      <c r="AA384" t="s">
        <v>58</v>
      </c>
      <c r="AC384" t="s">
        <v>58</v>
      </c>
      <c r="AE384" t="s">
        <v>58</v>
      </c>
      <c r="AG384" t="s">
        <v>63</v>
      </c>
      <c r="AH384" s="11" t="str">
        <f t="shared" si="7"/>
        <v>mailto: soilterrain@victoria1.gov.bc.ca</v>
      </c>
    </row>
    <row r="385" spans="1:34">
      <c r="A385" t="s">
        <v>1047</v>
      </c>
      <c r="B385" t="s">
        <v>56</v>
      </c>
      <c r="C385" s="10" t="s">
        <v>1048</v>
      </c>
      <c r="D385" t="s">
        <v>58</v>
      </c>
      <c r="E385" t="s">
        <v>497</v>
      </c>
      <c r="F385" t="s">
        <v>508</v>
      </c>
      <c r="G385">
        <v>50000</v>
      </c>
      <c r="H385">
        <v>1981</v>
      </c>
      <c r="I385" t="s">
        <v>58</v>
      </c>
      <c r="J385" t="s">
        <v>58</v>
      </c>
      <c r="K385" t="s">
        <v>58</v>
      </c>
      <c r="L385" t="s">
        <v>58</v>
      </c>
      <c r="M385" t="s">
        <v>58</v>
      </c>
      <c r="N385" t="s">
        <v>61</v>
      </c>
      <c r="Q385" t="s">
        <v>58</v>
      </c>
      <c r="R385" s="11" t="str">
        <f>HYPERLINK("\\imagefiles.bcgov\imagery\scanned_maps\moe_terrain_maps\Scanned_T_maps_all\C02\C02-403","\\imagefiles.bcgov\imagery\scanned_maps\moe_terrain_maps\Scanned_T_maps_all\C02\C02-403")</f>
        <v>\\imagefiles.bcgov\imagery\scanned_maps\moe_terrain_maps\Scanned_T_maps_all\C02\C02-403</v>
      </c>
      <c r="S385" t="s">
        <v>62</v>
      </c>
      <c r="T385" s="11" t="str">
        <f>HYPERLINK("http://www.env.gov.bc.ca/esd/distdata/ecosystems/TEI_Scanned_Maps/C02/C02-403","http://www.env.gov.bc.ca/esd/distdata/ecosystems/TEI_Scanned_Maps/C02/C02-403")</f>
        <v>http://www.env.gov.bc.ca/esd/distdata/ecosystems/TEI_Scanned_Maps/C02/C02-403</v>
      </c>
      <c r="U385" t="s">
        <v>58</v>
      </c>
      <c r="V385" t="s">
        <v>58</v>
      </c>
      <c r="W385" t="s">
        <v>58</v>
      </c>
      <c r="X385" t="s">
        <v>58</v>
      </c>
      <c r="Y385" t="s">
        <v>58</v>
      </c>
      <c r="Z385" t="s">
        <v>58</v>
      </c>
      <c r="AA385" t="s">
        <v>58</v>
      </c>
      <c r="AC385" t="s">
        <v>58</v>
      </c>
      <c r="AE385" t="s">
        <v>58</v>
      </c>
      <c r="AG385" t="s">
        <v>63</v>
      </c>
      <c r="AH385" s="11" t="str">
        <f t="shared" si="7"/>
        <v>mailto: soilterrain@victoria1.gov.bc.ca</v>
      </c>
    </row>
    <row r="386" spans="1:34">
      <c r="A386" t="s">
        <v>1049</v>
      </c>
      <c r="B386" t="s">
        <v>56</v>
      </c>
      <c r="C386" s="10" t="s">
        <v>1050</v>
      </c>
      <c r="D386" t="s">
        <v>58</v>
      </c>
      <c r="E386" t="s">
        <v>497</v>
      </c>
      <c r="F386" t="s">
        <v>508</v>
      </c>
      <c r="G386">
        <v>50000</v>
      </c>
      <c r="H386">
        <v>1981</v>
      </c>
      <c r="I386" t="s">
        <v>58</v>
      </c>
      <c r="J386" t="s">
        <v>58</v>
      </c>
      <c r="K386" t="s">
        <v>58</v>
      </c>
      <c r="L386" t="s">
        <v>58</v>
      </c>
      <c r="M386" t="s">
        <v>58</v>
      </c>
      <c r="N386" t="s">
        <v>61</v>
      </c>
      <c r="Q386" t="s">
        <v>58</v>
      </c>
      <c r="R386" s="11" t="str">
        <f>HYPERLINK("\\imagefiles.bcgov\imagery\scanned_maps\moe_terrain_maps\Scanned_T_maps_all\C02\C02-406","\\imagefiles.bcgov\imagery\scanned_maps\moe_terrain_maps\Scanned_T_maps_all\C02\C02-406")</f>
        <v>\\imagefiles.bcgov\imagery\scanned_maps\moe_terrain_maps\Scanned_T_maps_all\C02\C02-406</v>
      </c>
      <c r="S386" t="s">
        <v>62</v>
      </c>
      <c r="T386" s="11" t="str">
        <f>HYPERLINK("http://www.env.gov.bc.ca/esd/distdata/ecosystems/TEI_Scanned_Maps/C02/C02-406","http://www.env.gov.bc.ca/esd/distdata/ecosystems/TEI_Scanned_Maps/C02/C02-406")</f>
        <v>http://www.env.gov.bc.ca/esd/distdata/ecosystems/TEI_Scanned_Maps/C02/C02-406</v>
      </c>
      <c r="U386" t="s">
        <v>58</v>
      </c>
      <c r="V386" t="s">
        <v>58</v>
      </c>
      <c r="W386" t="s">
        <v>58</v>
      </c>
      <c r="X386" t="s">
        <v>58</v>
      </c>
      <c r="Y386" t="s">
        <v>58</v>
      </c>
      <c r="Z386" t="s">
        <v>58</v>
      </c>
      <c r="AA386" t="s">
        <v>58</v>
      </c>
      <c r="AC386" t="s">
        <v>58</v>
      </c>
      <c r="AE386" t="s">
        <v>58</v>
      </c>
      <c r="AG386" t="s">
        <v>63</v>
      </c>
      <c r="AH386" s="11" t="str">
        <f t="shared" ref="AH386:AH449" si="9">HYPERLINK("mailto: soilterrain@victoria1.gov.bc.ca","mailto: soilterrain@victoria1.gov.bc.ca")</f>
        <v>mailto: soilterrain@victoria1.gov.bc.ca</v>
      </c>
    </row>
    <row r="387" spans="1:34">
      <c r="A387" t="s">
        <v>1051</v>
      </c>
      <c r="B387" t="s">
        <v>56</v>
      </c>
      <c r="C387" s="10" t="s">
        <v>1052</v>
      </c>
      <c r="D387" t="s">
        <v>58</v>
      </c>
      <c r="E387" t="s">
        <v>497</v>
      </c>
      <c r="F387" t="s">
        <v>508</v>
      </c>
      <c r="G387">
        <v>50000</v>
      </c>
      <c r="H387">
        <v>1981</v>
      </c>
      <c r="I387" t="s">
        <v>58</v>
      </c>
      <c r="J387" t="s">
        <v>58</v>
      </c>
      <c r="K387" t="s">
        <v>58</v>
      </c>
      <c r="L387" t="s">
        <v>58</v>
      </c>
      <c r="M387" t="s">
        <v>58</v>
      </c>
      <c r="N387" t="s">
        <v>61</v>
      </c>
      <c r="Q387" t="s">
        <v>58</v>
      </c>
      <c r="R387" s="11" t="str">
        <f>HYPERLINK("\\imagefiles.bcgov\imagery\scanned_maps\moe_terrain_maps\Scanned_T_maps_all\C02\C02-409","\\imagefiles.bcgov\imagery\scanned_maps\moe_terrain_maps\Scanned_T_maps_all\C02\C02-409")</f>
        <v>\\imagefiles.bcgov\imagery\scanned_maps\moe_terrain_maps\Scanned_T_maps_all\C02\C02-409</v>
      </c>
      <c r="S387" t="s">
        <v>62</v>
      </c>
      <c r="T387" s="11" t="str">
        <f>HYPERLINK("http://www.env.gov.bc.ca/esd/distdata/ecosystems/TEI_Scanned_Maps/C02/C02-409","http://www.env.gov.bc.ca/esd/distdata/ecosystems/TEI_Scanned_Maps/C02/C02-409")</f>
        <v>http://www.env.gov.bc.ca/esd/distdata/ecosystems/TEI_Scanned_Maps/C02/C02-409</v>
      </c>
      <c r="U387" t="s">
        <v>58</v>
      </c>
      <c r="V387" t="s">
        <v>58</v>
      </c>
      <c r="W387" t="s">
        <v>58</v>
      </c>
      <c r="X387" t="s">
        <v>58</v>
      </c>
      <c r="Y387" t="s">
        <v>58</v>
      </c>
      <c r="Z387" t="s">
        <v>58</v>
      </c>
      <c r="AA387" t="s">
        <v>58</v>
      </c>
      <c r="AC387" t="s">
        <v>58</v>
      </c>
      <c r="AE387" t="s">
        <v>58</v>
      </c>
      <c r="AG387" t="s">
        <v>63</v>
      </c>
      <c r="AH387" s="11" t="str">
        <f t="shared" si="9"/>
        <v>mailto: soilterrain@victoria1.gov.bc.ca</v>
      </c>
    </row>
    <row r="388" spans="1:34">
      <c r="A388" t="s">
        <v>1053</v>
      </c>
      <c r="B388" t="s">
        <v>56</v>
      </c>
      <c r="C388" s="10" t="s">
        <v>1054</v>
      </c>
      <c r="D388" t="s">
        <v>58</v>
      </c>
      <c r="E388" t="s">
        <v>497</v>
      </c>
      <c r="F388" t="s">
        <v>508</v>
      </c>
      <c r="G388">
        <v>50000</v>
      </c>
      <c r="H388">
        <v>1981</v>
      </c>
      <c r="I388" t="s">
        <v>58</v>
      </c>
      <c r="J388" t="s">
        <v>58</v>
      </c>
      <c r="K388" t="s">
        <v>58</v>
      </c>
      <c r="L388" t="s">
        <v>58</v>
      </c>
      <c r="M388" t="s">
        <v>58</v>
      </c>
      <c r="N388" t="s">
        <v>61</v>
      </c>
      <c r="Q388" t="s">
        <v>58</v>
      </c>
      <c r="R388" s="11" t="str">
        <f>HYPERLINK("\\imagefiles.bcgov\imagery\scanned_maps\moe_terrain_maps\Scanned_T_maps_all\C02\C02-412","\\imagefiles.bcgov\imagery\scanned_maps\moe_terrain_maps\Scanned_T_maps_all\C02\C02-412")</f>
        <v>\\imagefiles.bcgov\imagery\scanned_maps\moe_terrain_maps\Scanned_T_maps_all\C02\C02-412</v>
      </c>
      <c r="S388" t="s">
        <v>62</v>
      </c>
      <c r="T388" s="11" t="str">
        <f>HYPERLINK("http://www.env.gov.bc.ca/esd/distdata/ecosystems/TEI_Scanned_Maps/C02/C02-412","http://www.env.gov.bc.ca/esd/distdata/ecosystems/TEI_Scanned_Maps/C02/C02-412")</f>
        <v>http://www.env.gov.bc.ca/esd/distdata/ecosystems/TEI_Scanned_Maps/C02/C02-412</v>
      </c>
      <c r="U388" t="s">
        <v>58</v>
      </c>
      <c r="V388" t="s">
        <v>58</v>
      </c>
      <c r="W388" t="s">
        <v>58</v>
      </c>
      <c r="X388" t="s">
        <v>58</v>
      </c>
      <c r="Y388" t="s">
        <v>58</v>
      </c>
      <c r="Z388" t="s">
        <v>58</v>
      </c>
      <c r="AA388" t="s">
        <v>58</v>
      </c>
      <c r="AC388" t="s">
        <v>58</v>
      </c>
      <c r="AE388" t="s">
        <v>58</v>
      </c>
      <c r="AG388" t="s">
        <v>63</v>
      </c>
      <c r="AH388" s="11" t="str">
        <f t="shared" si="9"/>
        <v>mailto: soilterrain@victoria1.gov.bc.ca</v>
      </c>
    </row>
    <row r="389" spans="1:34">
      <c r="A389" t="s">
        <v>1055</v>
      </c>
      <c r="B389" t="s">
        <v>56</v>
      </c>
      <c r="C389" s="10" t="s">
        <v>1056</v>
      </c>
      <c r="D389" t="s">
        <v>58</v>
      </c>
      <c r="E389" t="s">
        <v>497</v>
      </c>
      <c r="F389" t="s">
        <v>508</v>
      </c>
      <c r="G389">
        <v>50000</v>
      </c>
      <c r="H389">
        <v>1981</v>
      </c>
      <c r="I389" t="s">
        <v>58</v>
      </c>
      <c r="J389" t="s">
        <v>58</v>
      </c>
      <c r="K389" t="s">
        <v>58</v>
      </c>
      <c r="L389" t="s">
        <v>58</v>
      </c>
      <c r="M389" t="s">
        <v>58</v>
      </c>
      <c r="N389" t="s">
        <v>61</v>
      </c>
      <c r="Q389" t="s">
        <v>58</v>
      </c>
      <c r="R389" s="11" t="str">
        <f>HYPERLINK("\\imagefiles.bcgov\imagery\scanned_maps\moe_terrain_maps\Scanned_T_maps_all\C02\C02-415","\\imagefiles.bcgov\imagery\scanned_maps\moe_terrain_maps\Scanned_T_maps_all\C02\C02-415")</f>
        <v>\\imagefiles.bcgov\imagery\scanned_maps\moe_terrain_maps\Scanned_T_maps_all\C02\C02-415</v>
      </c>
      <c r="S389" t="s">
        <v>62</v>
      </c>
      <c r="T389" s="11" t="str">
        <f>HYPERLINK("http://www.env.gov.bc.ca/esd/distdata/ecosystems/TEI_Scanned_Maps/C02/C02-415","http://www.env.gov.bc.ca/esd/distdata/ecosystems/TEI_Scanned_Maps/C02/C02-415")</f>
        <v>http://www.env.gov.bc.ca/esd/distdata/ecosystems/TEI_Scanned_Maps/C02/C02-415</v>
      </c>
      <c r="U389" t="s">
        <v>58</v>
      </c>
      <c r="V389" t="s">
        <v>58</v>
      </c>
      <c r="W389" t="s">
        <v>58</v>
      </c>
      <c r="X389" t="s">
        <v>58</v>
      </c>
      <c r="Y389" t="s">
        <v>58</v>
      </c>
      <c r="Z389" t="s">
        <v>58</v>
      </c>
      <c r="AA389" t="s">
        <v>58</v>
      </c>
      <c r="AC389" t="s">
        <v>58</v>
      </c>
      <c r="AE389" t="s">
        <v>58</v>
      </c>
      <c r="AG389" t="s">
        <v>63</v>
      </c>
      <c r="AH389" s="11" t="str">
        <f t="shared" si="9"/>
        <v>mailto: soilterrain@victoria1.gov.bc.ca</v>
      </c>
    </row>
    <row r="390" spans="1:34">
      <c r="A390" t="s">
        <v>1057</v>
      </c>
      <c r="B390" t="s">
        <v>56</v>
      </c>
      <c r="C390" s="10" t="s">
        <v>1058</v>
      </c>
      <c r="D390" t="s">
        <v>58</v>
      </c>
      <c r="E390" t="s">
        <v>497</v>
      </c>
      <c r="F390" t="s">
        <v>508</v>
      </c>
      <c r="G390">
        <v>50000</v>
      </c>
      <c r="H390">
        <v>1981</v>
      </c>
      <c r="I390" t="s">
        <v>58</v>
      </c>
      <c r="J390" t="s">
        <v>58</v>
      </c>
      <c r="K390" t="s">
        <v>58</v>
      </c>
      <c r="L390" t="s">
        <v>58</v>
      </c>
      <c r="M390" t="s">
        <v>58</v>
      </c>
      <c r="N390" t="s">
        <v>61</v>
      </c>
      <c r="Q390" t="s">
        <v>58</v>
      </c>
      <c r="R390" s="11" t="str">
        <f>HYPERLINK("\\imagefiles.bcgov\imagery\scanned_maps\moe_terrain_maps\Scanned_T_maps_all\C02\C02-418","\\imagefiles.bcgov\imagery\scanned_maps\moe_terrain_maps\Scanned_T_maps_all\C02\C02-418")</f>
        <v>\\imagefiles.bcgov\imagery\scanned_maps\moe_terrain_maps\Scanned_T_maps_all\C02\C02-418</v>
      </c>
      <c r="S390" t="s">
        <v>62</v>
      </c>
      <c r="T390" s="11" t="str">
        <f>HYPERLINK("http://www.env.gov.bc.ca/esd/distdata/ecosystems/TEI_Scanned_Maps/C02/C02-418","http://www.env.gov.bc.ca/esd/distdata/ecosystems/TEI_Scanned_Maps/C02/C02-418")</f>
        <v>http://www.env.gov.bc.ca/esd/distdata/ecosystems/TEI_Scanned_Maps/C02/C02-418</v>
      </c>
      <c r="U390" t="s">
        <v>58</v>
      </c>
      <c r="V390" t="s">
        <v>58</v>
      </c>
      <c r="W390" t="s">
        <v>58</v>
      </c>
      <c r="X390" t="s">
        <v>58</v>
      </c>
      <c r="Y390" t="s">
        <v>58</v>
      </c>
      <c r="Z390" t="s">
        <v>58</v>
      </c>
      <c r="AA390" t="s">
        <v>58</v>
      </c>
      <c r="AC390" t="s">
        <v>58</v>
      </c>
      <c r="AE390" t="s">
        <v>58</v>
      </c>
      <c r="AG390" t="s">
        <v>63</v>
      </c>
      <c r="AH390" s="11" t="str">
        <f t="shared" si="9"/>
        <v>mailto: soilterrain@victoria1.gov.bc.ca</v>
      </c>
    </row>
    <row r="391" spans="1:34">
      <c r="A391" t="s">
        <v>1059</v>
      </c>
      <c r="B391" t="s">
        <v>56</v>
      </c>
      <c r="C391" s="10" t="s">
        <v>1060</v>
      </c>
      <c r="D391" t="s">
        <v>58</v>
      </c>
      <c r="E391" t="s">
        <v>497</v>
      </c>
      <c r="F391" t="s">
        <v>508</v>
      </c>
      <c r="G391">
        <v>50000</v>
      </c>
      <c r="H391">
        <v>1981</v>
      </c>
      <c r="I391" t="s">
        <v>58</v>
      </c>
      <c r="J391" t="s">
        <v>58</v>
      </c>
      <c r="K391" t="s">
        <v>58</v>
      </c>
      <c r="L391" t="s">
        <v>58</v>
      </c>
      <c r="M391" t="s">
        <v>58</v>
      </c>
      <c r="N391" t="s">
        <v>61</v>
      </c>
      <c r="Q391" t="s">
        <v>58</v>
      </c>
      <c r="R391" s="11" t="str">
        <f>HYPERLINK("\\imagefiles.bcgov\imagery\scanned_maps\moe_terrain_maps\Scanned_T_maps_all\C02\C02-421","\\imagefiles.bcgov\imagery\scanned_maps\moe_terrain_maps\Scanned_T_maps_all\C02\C02-421")</f>
        <v>\\imagefiles.bcgov\imagery\scanned_maps\moe_terrain_maps\Scanned_T_maps_all\C02\C02-421</v>
      </c>
      <c r="S391" t="s">
        <v>62</v>
      </c>
      <c r="T391" s="11" t="str">
        <f>HYPERLINK("http://www.env.gov.bc.ca/esd/distdata/ecosystems/TEI_Scanned_Maps/C02/C02-421","http://www.env.gov.bc.ca/esd/distdata/ecosystems/TEI_Scanned_Maps/C02/C02-421")</f>
        <v>http://www.env.gov.bc.ca/esd/distdata/ecosystems/TEI_Scanned_Maps/C02/C02-421</v>
      </c>
      <c r="U391" t="s">
        <v>58</v>
      </c>
      <c r="V391" t="s">
        <v>58</v>
      </c>
      <c r="W391" t="s">
        <v>58</v>
      </c>
      <c r="X391" t="s">
        <v>58</v>
      </c>
      <c r="Y391" t="s">
        <v>58</v>
      </c>
      <c r="Z391" t="s">
        <v>58</v>
      </c>
      <c r="AA391" t="s">
        <v>58</v>
      </c>
      <c r="AC391" t="s">
        <v>58</v>
      </c>
      <c r="AE391" t="s">
        <v>58</v>
      </c>
      <c r="AG391" t="s">
        <v>63</v>
      </c>
      <c r="AH391" s="11" t="str">
        <f t="shared" si="9"/>
        <v>mailto: soilterrain@victoria1.gov.bc.ca</v>
      </c>
    </row>
    <row r="392" spans="1:34">
      <c r="A392" t="s">
        <v>1061</v>
      </c>
      <c r="B392" t="s">
        <v>56</v>
      </c>
      <c r="C392" s="10" t="s">
        <v>1062</v>
      </c>
      <c r="D392" t="s">
        <v>58</v>
      </c>
      <c r="E392" t="s">
        <v>497</v>
      </c>
      <c r="F392" t="s">
        <v>508</v>
      </c>
      <c r="G392">
        <v>50000</v>
      </c>
      <c r="H392">
        <v>1981</v>
      </c>
      <c r="I392" t="s">
        <v>58</v>
      </c>
      <c r="J392" t="s">
        <v>58</v>
      </c>
      <c r="K392" t="s">
        <v>58</v>
      </c>
      <c r="L392" t="s">
        <v>58</v>
      </c>
      <c r="M392" t="s">
        <v>58</v>
      </c>
      <c r="N392" t="s">
        <v>61</v>
      </c>
      <c r="Q392" t="s">
        <v>58</v>
      </c>
      <c r="R392" s="11" t="str">
        <f>HYPERLINK("\\imagefiles.bcgov\imagery\scanned_maps\moe_terrain_maps\Scanned_T_maps_all\C02\C02-424","\\imagefiles.bcgov\imagery\scanned_maps\moe_terrain_maps\Scanned_T_maps_all\C02\C02-424")</f>
        <v>\\imagefiles.bcgov\imagery\scanned_maps\moe_terrain_maps\Scanned_T_maps_all\C02\C02-424</v>
      </c>
      <c r="S392" t="s">
        <v>62</v>
      </c>
      <c r="T392" s="11" t="str">
        <f>HYPERLINK("http://www.env.gov.bc.ca/esd/distdata/ecosystems/TEI_Scanned_Maps/C02/C02-424","http://www.env.gov.bc.ca/esd/distdata/ecosystems/TEI_Scanned_Maps/C02/C02-424")</f>
        <v>http://www.env.gov.bc.ca/esd/distdata/ecosystems/TEI_Scanned_Maps/C02/C02-424</v>
      </c>
      <c r="U392" t="s">
        <v>58</v>
      </c>
      <c r="V392" t="s">
        <v>58</v>
      </c>
      <c r="W392" t="s">
        <v>58</v>
      </c>
      <c r="X392" t="s">
        <v>58</v>
      </c>
      <c r="Y392" t="s">
        <v>58</v>
      </c>
      <c r="Z392" t="s">
        <v>58</v>
      </c>
      <c r="AA392" t="s">
        <v>58</v>
      </c>
      <c r="AC392" t="s">
        <v>58</v>
      </c>
      <c r="AE392" t="s">
        <v>58</v>
      </c>
      <c r="AG392" t="s">
        <v>63</v>
      </c>
      <c r="AH392" s="11" t="str">
        <f t="shared" si="9"/>
        <v>mailto: soilterrain@victoria1.gov.bc.ca</v>
      </c>
    </row>
    <row r="393" spans="1:34">
      <c r="A393" t="s">
        <v>1063</v>
      </c>
      <c r="B393" t="s">
        <v>56</v>
      </c>
      <c r="C393" s="10" t="s">
        <v>1064</v>
      </c>
      <c r="D393" t="s">
        <v>58</v>
      </c>
      <c r="E393" t="s">
        <v>497</v>
      </c>
      <c r="F393" t="s">
        <v>508</v>
      </c>
      <c r="G393">
        <v>50000</v>
      </c>
      <c r="H393">
        <v>1980</v>
      </c>
      <c r="I393" t="s">
        <v>58</v>
      </c>
      <c r="J393" t="s">
        <v>58</v>
      </c>
      <c r="K393" t="s">
        <v>58</v>
      </c>
      <c r="L393" t="s">
        <v>58</v>
      </c>
      <c r="M393" t="s">
        <v>58</v>
      </c>
      <c r="N393" t="s">
        <v>61</v>
      </c>
      <c r="Q393" t="s">
        <v>58</v>
      </c>
      <c r="R393" s="11" t="str">
        <f>HYPERLINK("\\imagefiles.bcgov\imagery\scanned_maps\moe_terrain_maps\Scanned_T_maps_all\C02\C02-427","\\imagefiles.bcgov\imagery\scanned_maps\moe_terrain_maps\Scanned_T_maps_all\C02\C02-427")</f>
        <v>\\imagefiles.bcgov\imagery\scanned_maps\moe_terrain_maps\Scanned_T_maps_all\C02\C02-427</v>
      </c>
      <c r="S393" t="s">
        <v>62</v>
      </c>
      <c r="T393" s="11" t="str">
        <f>HYPERLINK("http://www.env.gov.bc.ca/esd/distdata/ecosystems/TEI_Scanned_Maps/C02/C02-427","http://www.env.gov.bc.ca/esd/distdata/ecosystems/TEI_Scanned_Maps/C02/C02-427")</f>
        <v>http://www.env.gov.bc.ca/esd/distdata/ecosystems/TEI_Scanned_Maps/C02/C02-427</v>
      </c>
      <c r="U393" t="s">
        <v>58</v>
      </c>
      <c r="V393" t="s">
        <v>58</v>
      </c>
      <c r="W393" t="s">
        <v>58</v>
      </c>
      <c r="X393" t="s">
        <v>58</v>
      </c>
      <c r="Y393" t="s">
        <v>58</v>
      </c>
      <c r="Z393" t="s">
        <v>58</v>
      </c>
      <c r="AA393" t="s">
        <v>58</v>
      </c>
      <c r="AC393" t="s">
        <v>58</v>
      </c>
      <c r="AE393" t="s">
        <v>58</v>
      </c>
      <c r="AG393" t="s">
        <v>63</v>
      </c>
      <c r="AH393" s="11" t="str">
        <f t="shared" si="9"/>
        <v>mailto: soilterrain@victoria1.gov.bc.ca</v>
      </c>
    </row>
    <row r="394" spans="1:34">
      <c r="A394" t="s">
        <v>1065</v>
      </c>
      <c r="B394" t="s">
        <v>56</v>
      </c>
      <c r="C394" s="10" t="s">
        <v>1066</v>
      </c>
      <c r="D394" t="s">
        <v>58</v>
      </c>
      <c r="E394" t="s">
        <v>497</v>
      </c>
      <c r="F394" t="s">
        <v>508</v>
      </c>
      <c r="G394">
        <v>50000</v>
      </c>
      <c r="H394">
        <v>1980</v>
      </c>
      <c r="I394" t="s">
        <v>58</v>
      </c>
      <c r="J394" t="s">
        <v>58</v>
      </c>
      <c r="K394" t="s">
        <v>58</v>
      </c>
      <c r="L394" t="s">
        <v>58</v>
      </c>
      <c r="M394" t="s">
        <v>58</v>
      </c>
      <c r="N394" t="s">
        <v>61</v>
      </c>
      <c r="Q394" t="s">
        <v>58</v>
      </c>
      <c r="R394" s="11" t="str">
        <f>HYPERLINK("\\imagefiles.bcgov\imagery\scanned_maps\moe_terrain_maps\Scanned_T_maps_all\C02\C02-430","\\imagefiles.bcgov\imagery\scanned_maps\moe_terrain_maps\Scanned_T_maps_all\C02\C02-430")</f>
        <v>\\imagefiles.bcgov\imagery\scanned_maps\moe_terrain_maps\Scanned_T_maps_all\C02\C02-430</v>
      </c>
      <c r="S394" t="s">
        <v>62</v>
      </c>
      <c r="T394" s="11" t="str">
        <f>HYPERLINK("http://www.env.gov.bc.ca/esd/distdata/ecosystems/TEI_Scanned_Maps/C02/C02-430","http://www.env.gov.bc.ca/esd/distdata/ecosystems/TEI_Scanned_Maps/C02/C02-430")</f>
        <v>http://www.env.gov.bc.ca/esd/distdata/ecosystems/TEI_Scanned_Maps/C02/C02-430</v>
      </c>
      <c r="U394" t="s">
        <v>58</v>
      </c>
      <c r="V394" t="s">
        <v>58</v>
      </c>
      <c r="W394" t="s">
        <v>58</v>
      </c>
      <c r="X394" t="s">
        <v>58</v>
      </c>
      <c r="Y394" t="s">
        <v>58</v>
      </c>
      <c r="Z394" t="s">
        <v>58</v>
      </c>
      <c r="AA394" t="s">
        <v>58</v>
      </c>
      <c r="AC394" t="s">
        <v>58</v>
      </c>
      <c r="AE394" t="s">
        <v>58</v>
      </c>
      <c r="AG394" t="s">
        <v>63</v>
      </c>
      <c r="AH394" s="11" t="str">
        <f t="shared" si="9"/>
        <v>mailto: soilterrain@victoria1.gov.bc.ca</v>
      </c>
    </row>
    <row r="395" spans="1:34">
      <c r="A395" t="s">
        <v>1067</v>
      </c>
      <c r="B395" t="s">
        <v>56</v>
      </c>
      <c r="C395" s="10" t="s">
        <v>1068</v>
      </c>
      <c r="D395" t="s">
        <v>58</v>
      </c>
      <c r="E395" t="s">
        <v>497</v>
      </c>
      <c r="F395" t="s">
        <v>508</v>
      </c>
      <c r="G395">
        <v>50000</v>
      </c>
      <c r="H395">
        <v>1980</v>
      </c>
      <c r="I395" t="s">
        <v>58</v>
      </c>
      <c r="J395" t="s">
        <v>58</v>
      </c>
      <c r="K395" t="s">
        <v>58</v>
      </c>
      <c r="L395" t="s">
        <v>58</v>
      </c>
      <c r="M395" t="s">
        <v>58</v>
      </c>
      <c r="N395" t="s">
        <v>61</v>
      </c>
      <c r="Q395" t="s">
        <v>58</v>
      </c>
      <c r="R395" s="11" t="str">
        <f>HYPERLINK("\\imagefiles.bcgov\imagery\scanned_maps\moe_terrain_maps\Scanned_T_maps_all\C02\C02-433","\\imagefiles.bcgov\imagery\scanned_maps\moe_terrain_maps\Scanned_T_maps_all\C02\C02-433")</f>
        <v>\\imagefiles.bcgov\imagery\scanned_maps\moe_terrain_maps\Scanned_T_maps_all\C02\C02-433</v>
      </c>
      <c r="S395" t="s">
        <v>62</v>
      </c>
      <c r="T395" s="11" t="str">
        <f>HYPERLINK("http://www.env.gov.bc.ca/esd/distdata/ecosystems/TEI_Scanned_Maps/C02/C02-433","http://www.env.gov.bc.ca/esd/distdata/ecosystems/TEI_Scanned_Maps/C02/C02-433")</f>
        <v>http://www.env.gov.bc.ca/esd/distdata/ecosystems/TEI_Scanned_Maps/C02/C02-433</v>
      </c>
      <c r="U395" t="s">
        <v>58</v>
      </c>
      <c r="V395" t="s">
        <v>58</v>
      </c>
      <c r="W395" t="s">
        <v>58</v>
      </c>
      <c r="X395" t="s">
        <v>58</v>
      </c>
      <c r="Y395" t="s">
        <v>58</v>
      </c>
      <c r="Z395" t="s">
        <v>58</v>
      </c>
      <c r="AA395" t="s">
        <v>58</v>
      </c>
      <c r="AC395" t="s">
        <v>58</v>
      </c>
      <c r="AE395" t="s">
        <v>58</v>
      </c>
      <c r="AG395" t="s">
        <v>63</v>
      </c>
      <c r="AH395" s="11" t="str">
        <f t="shared" si="9"/>
        <v>mailto: soilterrain@victoria1.gov.bc.ca</v>
      </c>
    </row>
    <row r="396" spans="1:34">
      <c r="A396" t="s">
        <v>1069</v>
      </c>
      <c r="B396" t="s">
        <v>56</v>
      </c>
      <c r="C396" s="10" t="s">
        <v>1070</v>
      </c>
      <c r="D396" t="s">
        <v>58</v>
      </c>
      <c r="E396" t="s">
        <v>497</v>
      </c>
      <c r="F396" t="s">
        <v>508</v>
      </c>
      <c r="G396">
        <v>50000</v>
      </c>
      <c r="H396">
        <v>1980</v>
      </c>
      <c r="I396" t="s">
        <v>58</v>
      </c>
      <c r="J396" t="s">
        <v>58</v>
      </c>
      <c r="K396" t="s">
        <v>58</v>
      </c>
      <c r="L396" t="s">
        <v>58</v>
      </c>
      <c r="M396" t="s">
        <v>58</v>
      </c>
      <c r="N396" t="s">
        <v>61</v>
      </c>
      <c r="Q396" t="s">
        <v>58</v>
      </c>
      <c r="R396" s="11" t="str">
        <f>HYPERLINK("\\imagefiles.bcgov\imagery\scanned_maps\moe_terrain_maps\Scanned_T_maps_all\C02\C02-436","\\imagefiles.bcgov\imagery\scanned_maps\moe_terrain_maps\Scanned_T_maps_all\C02\C02-436")</f>
        <v>\\imagefiles.bcgov\imagery\scanned_maps\moe_terrain_maps\Scanned_T_maps_all\C02\C02-436</v>
      </c>
      <c r="S396" t="s">
        <v>62</v>
      </c>
      <c r="T396" s="11" t="str">
        <f>HYPERLINK("http://www.env.gov.bc.ca/esd/distdata/ecosystems/TEI_Scanned_Maps/C02/C02-436","http://www.env.gov.bc.ca/esd/distdata/ecosystems/TEI_Scanned_Maps/C02/C02-436")</f>
        <v>http://www.env.gov.bc.ca/esd/distdata/ecosystems/TEI_Scanned_Maps/C02/C02-436</v>
      </c>
      <c r="U396" t="s">
        <v>58</v>
      </c>
      <c r="V396" t="s">
        <v>58</v>
      </c>
      <c r="W396" t="s">
        <v>58</v>
      </c>
      <c r="X396" t="s">
        <v>58</v>
      </c>
      <c r="Y396" t="s">
        <v>58</v>
      </c>
      <c r="Z396" t="s">
        <v>58</v>
      </c>
      <c r="AA396" t="s">
        <v>58</v>
      </c>
      <c r="AC396" t="s">
        <v>58</v>
      </c>
      <c r="AE396" t="s">
        <v>58</v>
      </c>
      <c r="AG396" t="s">
        <v>63</v>
      </c>
      <c r="AH396" s="11" t="str">
        <f t="shared" si="9"/>
        <v>mailto: soilterrain@victoria1.gov.bc.ca</v>
      </c>
    </row>
    <row r="397" spans="1:34">
      <c r="A397" t="s">
        <v>1071</v>
      </c>
      <c r="B397" t="s">
        <v>56</v>
      </c>
      <c r="C397" s="10" t="s">
        <v>68</v>
      </c>
      <c r="D397" t="s">
        <v>58</v>
      </c>
      <c r="E397" t="s">
        <v>497</v>
      </c>
      <c r="F397" t="s">
        <v>508</v>
      </c>
      <c r="G397">
        <v>50000</v>
      </c>
      <c r="H397">
        <v>1980</v>
      </c>
      <c r="I397" t="s">
        <v>58</v>
      </c>
      <c r="J397" t="s">
        <v>58</v>
      </c>
      <c r="K397" t="s">
        <v>58</v>
      </c>
      <c r="L397" t="s">
        <v>58</v>
      </c>
      <c r="M397" t="s">
        <v>58</v>
      </c>
      <c r="N397" t="s">
        <v>61</v>
      </c>
      <c r="Q397" t="s">
        <v>58</v>
      </c>
      <c r="R397" s="11" t="str">
        <f>HYPERLINK("\\imagefiles.bcgov\imagery\scanned_maps\moe_terrain_maps\Scanned_T_maps_all\C02\C02-439","\\imagefiles.bcgov\imagery\scanned_maps\moe_terrain_maps\Scanned_T_maps_all\C02\C02-439")</f>
        <v>\\imagefiles.bcgov\imagery\scanned_maps\moe_terrain_maps\Scanned_T_maps_all\C02\C02-439</v>
      </c>
      <c r="S397" t="s">
        <v>62</v>
      </c>
      <c r="T397" s="11" t="str">
        <f>HYPERLINK("http://www.env.gov.bc.ca/esd/distdata/ecosystems/TEI_Scanned_Maps/C02/C02-439","http://www.env.gov.bc.ca/esd/distdata/ecosystems/TEI_Scanned_Maps/C02/C02-439")</f>
        <v>http://www.env.gov.bc.ca/esd/distdata/ecosystems/TEI_Scanned_Maps/C02/C02-439</v>
      </c>
      <c r="U397" t="s">
        <v>58</v>
      </c>
      <c r="V397" t="s">
        <v>58</v>
      </c>
      <c r="W397" t="s">
        <v>58</v>
      </c>
      <c r="X397" t="s">
        <v>58</v>
      </c>
      <c r="Y397" t="s">
        <v>58</v>
      </c>
      <c r="Z397" t="s">
        <v>58</v>
      </c>
      <c r="AA397" t="s">
        <v>58</v>
      </c>
      <c r="AC397" t="s">
        <v>58</v>
      </c>
      <c r="AE397" t="s">
        <v>58</v>
      </c>
      <c r="AG397" t="s">
        <v>63</v>
      </c>
      <c r="AH397" s="11" t="str">
        <f t="shared" si="9"/>
        <v>mailto: soilterrain@victoria1.gov.bc.ca</v>
      </c>
    </row>
    <row r="398" spans="1:34">
      <c r="A398" t="s">
        <v>1072</v>
      </c>
      <c r="B398" t="s">
        <v>56</v>
      </c>
      <c r="C398" s="10" t="s">
        <v>74</v>
      </c>
      <c r="D398" t="s">
        <v>58</v>
      </c>
      <c r="E398" t="s">
        <v>497</v>
      </c>
      <c r="F398" t="s">
        <v>508</v>
      </c>
      <c r="G398">
        <v>50000</v>
      </c>
      <c r="H398">
        <v>1980</v>
      </c>
      <c r="I398" t="s">
        <v>58</v>
      </c>
      <c r="J398" t="s">
        <v>58</v>
      </c>
      <c r="K398" t="s">
        <v>58</v>
      </c>
      <c r="L398" t="s">
        <v>58</v>
      </c>
      <c r="M398" t="s">
        <v>58</v>
      </c>
      <c r="N398" t="s">
        <v>61</v>
      </c>
      <c r="Q398" t="s">
        <v>58</v>
      </c>
      <c r="R398" s="11" t="str">
        <f>HYPERLINK("\\imagefiles.bcgov\imagery\scanned_maps\moe_terrain_maps\Scanned_T_maps_all\C02\C02-442","\\imagefiles.bcgov\imagery\scanned_maps\moe_terrain_maps\Scanned_T_maps_all\C02\C02-442")</f>
        <v>\\imagefiles.bcgov\imagery\scanned_maps\moe_terrain_maps\Scanned_T_maps_all\C02\C02-442</v>
      </c>
      <c r="S398" t="s">
        <v>62</v>
      </c>
      <c r="T398" s="11" t="str">
        <f>HYPERLINK("http://www.env.gov.bc.ca/esd/distdata/ecosystems/TEI_Scanned_Maps/C02/C02-442","http://www.env.gov.bc.ca/esd/distdata/ecosystems/TEI_Scanned_Maps/C02/C02-442")</f>
        <v>http://www.env.gov.bc.ca/esd/distdata/ecosystems/TEI_Scanned_Maps/C02/C02-442</v>
      </c>
      <c r="U398" t="s">
        <v>58</v>
      </c>
      <c r="V398" t="s">
        <v>58</v>
      </c>
      <c r="W398" t="s">
        <v>58</v>
      </c>
      <c r="X398" t="s">
        <v>58</v>
      </c>
      <c r="Y398" t="s">
        <v>58</v>
      </c>
      <c r="Z398" t="s">
        <v>58</v>
      </c>
      <c r="AA398" t="s">
        <v>58</v>
      </c>
      <c r="AC398" t="s">
        <v>58</v>
      </c>
      <c r="AE398" t="s">
        <v>58</v>
      </c>
      <c r="AG398" t="s">
        <v>63</v>
      </c>
      <c r="AH398" s="11" t="str">
        <f t="shared" si="9"/>
        <v>mailto: soilterrain@victoria1.gov.bc.ca</v>
      </c>
    </row>
    <row r="399" spans="1:34">
      <c r="A399" t="s">
        <v>1073</v>
      </c>
      <c r="B399" t="s">
        <v>56</v>
      </c>
      <c r="C399" s="10" t="s">
        <v>1052</v>
      </c>
      <c r="D399" t="s">
        <v>61</v>
      </c>
      <c r="E399" t="s">
        <v>497</v>
      </c>
      <c r="F399" t="s">
        <v>1074</v>
      </c>
      <c r="G399">
        <v>50000</v>
      </c>
      <c r="H399">
        <v>1981</v>
      </c>
      <c r="I399" t="s">
        <v>58</v>
      </c>
      <c r="J399" t="s">
        <v>58</v>
      </c>
      <c r="K399" t="s">
        <v>58</v>
      </c>
      <c r="L399" t="s">
        <v>58</v>
      </c>
      <c r="M399" t="s">
        <v>58</v>
      </c>
      <c r="N399" t="s">
        <v>61</v>
      </c>
      <c r="Q399" t="s">
        <v>58</v>
      </c>
      <c r="R399" s="11" t="str">
        <f>HYPERLINK("\\imagefiles.bcgov\imagery\scanned_maps\moe_terrain_maps\Scanned_T_maps_all\C02\C02-5059","\\imagefiles.bcgov\imagery\scanned_maps\moe_terrain_maps\Scanned_T_maps_all\C02\C02-5059")</f>
        <v>\\imagefiles.bcgov\imagery\scanned_maps\moe_terrain_maps\Scanned_T_maps_all\C02\C02-5059</v>
      </c>
      <c r="S399" t="s">
        <v>62</v>
      </c>
      <c r="T399" s="11" t="str">
        <f>HYPERLINK("http://www.env.gov.bc.ca/esd/distdata/ecosystems/TEI_Scanned_Maps/C02/C02-5059","http://www.env.gov.bc.ca/esd/distdata/ecosystems/TEI_Scanned_Maps/C02/C02-5059")</f>
        <v>http://www.env.gov.bc.ca/esd/distdata/ecosystems/TEI_Scanned_Maps/C02/C02-5059</v>
      </c>
      <c r="U399" t="s">
        <v>58</v>
      </c>
      <c r="V399" t="s">
        <v>58</v>
      </c>
      <c r="W399" t="s">
        <v>58</v>
      </c>
      <c r="X399" t="s">
        <v>58</v>
      </c>
      <c r="Y399" t="s">
        <v>58</v>
      </c>
      <c r="Z399" t="s">
        <v>58</v>
      </c>
      <c r="AA399" t="s">
        <v>58</v>
      </c>
      <c r="AC399" t="s">
        <v>58</v>
      </c>
      <c r="AE399" t="s">
        <v>58</v>
      </c>
      <c r="AG399" t="s">
        <v>63</v>
      </c>
      <c r="AH399" s="11" t="str">
        <f t="shared" si="9"/>
        <v>mailto: soilterrain@victoria1.gov.bc.ca</v>
      </c>
    </row>
    <row r="400" spans="1:34">
      <c r="A400" t="s">
        <v>1075</v>
      </c>
      <c r="B400" t="s">
        <v>56</v>
      </c>
      <c r="C400" s="10" t="s">
        <v>99</v>
      </c>
      <c r="D400" t="s">
        <v>58</v>
      </c>
      <c r="E400" t="s">
        <v>497</v>
      </c>
      <c r="F400" t="s">
        <v>502</v>
      </c>
      <c r="G400">
        <v>50000</v>
      </c>
      <c r="H400">
        <v>1980</v>
      </c>
      <c r="I400" t="s">
        <v>58</v>
      </c>
      <c r="J400" t="s">
        <v>58</v>
      </c>
      <c r="K400" t="s">
        <v>58</v>
      </c>
      <c r="L400" t="s">
        <v>58</v>
      </c>
      <c r="M400" t="s">
        <v>58</v>
      </c>
      <c r="N400" t="s">
        <v>61</v>
      </c>
      <c r="Q400" t="s">
        <v>58</v>
      </c>
      <c r="R400" s="11" t="str">
        <f>HYPERLINK("\\imagefiles.bcgov\imagery\scanned_maps\moe_terrain_maps\Scanned_T_maps_all\C03\C03-478","\\imagefiles.bcgov\imagery\scanned_maps\moe_terrain_maps\Scanned_T_maps_all\C03\C03-478")</f>
        <v>\\imagefiles.bcgov\imagery\scanned_maps\moe_terrain_maps\Scanned_T_maps_all\C03\C03-478</v>
      </c>
      <c r="S400" t="s">
        <v>62</v>
      </c>
      <c r="T400" s="11" t="str">
        <f>HYPERLINK("http://www.env.gov.bc.ca/esd/distdata/ecosystems/TEI_Scanned_Maps/C03/C03-478","http://www.env.gov.bc.ca/esd/distdata/ecosystems/TEI_Scanned_Maps/C03/C03-478")</f>
        <v>http://www.env.gov.bc.ca/esd/distdata/ecosystems/TEI_Scanned_Maps/C03/C03-478</v>
      </c>
      <c r="U400" t="s">
        <v>58</v>
      </c>
      <c r="V400" t="s">
        <v>58</v>
      </c>
      <c r="W400" t="s">
        <v>58</v>
      </c>
      <c r="X400" t="s">
        <v>58</v>
      </c>
      <c r="Y400" t="s">
        <v>58</v>
      </c>
      <c r="Z400" t="s">
        <v>58</v>
      </c>
      <c r="AA400" t="s">
        <v>58</v>
      </c>
      <c r="AC400" t="s">
        <v>58</v>
      </c>
      <c r="AE400" t="s">
        <v>58</v>
      </c>
      <c r="AG400" t="s">
        <v>63</v>
      </c>
      <c r="AH400" s="11" t="str">
        <f t="shared" si="9"/>
        <v>mailto: soilterrain@victoria1.gov.bc.ca</v>
      </c>
    </row>
    <row r="401" spans="1:34">
      <c r="A401" t="s">
        <v>1076</v>
      </c>
      <c r="B401" t="s">
        <v>56</v>
      </c>
      <c r="C401" s="10" t="s">
        <v>104</v>
      </c>
      <c r="D401" t="s">
        <v>58</v>
      </c>
      <c r="E401" t="s">
        <v>497</v>
      </c>
      <c r="F401" t="s">
        <v>502</v>
      </c>
      <c r="G401">
        <v>50000</v>
      </c>
      <c r="H401">
        <v>1980</v>
      </c>
      <c r="I401" t="s">
        <v>58</v>
      </c>
      <c r="J401" t="s">
        <v>58</v>
      </c>
      <c r="K401" t="s">
        <v>58</v>
      </c>
      <c r="L401" t="s">
        <v>58</v>
      </c>
      <c r="M401" t="s">
        <v>58</v>
      </c>
      <c r="N401" t="s">
        <v>61</v>
      </c>
      <c r="Q401" t="s">
        <v>58</v>
      </c>
      <c r="R401" s="11" t="str">
        <f>HYPERLINK("\\imagefiles.bcgov\imagery\scanned_maps\moe_terrain_maps\Scanned_T_maps_all\C03\C03-480","\\imagefiles.bcgov\imagery\scanned_maps\moe_terrain_maps\Scanned_T_maps_all\C03\C03-480")</f>
        <v>\\imagefiles.bcgov\imagery\scanned_maps\moe_terrain_maps\Scanned_T_maps_all\C03\C03-480</v>
      </c>
      <c r="S401" t="s">
        <v>62</v>
      </c>
      <c r="T401" s="11" t="str">
        <f>HYPERLINK("http://www.env.gov.bc.ca/esd/distdata/ecosystems/TEI_Scanned_Maps/C03/C03-480","http://www.env.gov.bc.ca/esd/distdata/ecosystems/TEI_Scanned_Maps/C03/C03-480")</f>
        <v>http://www.env.gov.bc.ca/esd/distdata/ecosystems/TEI_Scanned_Maps/C03/C03-480</v>
      </c>
      <c r="U401" t="s">
        <v>58</v>
      </c>
      <c r="V401" t="s">
        <v>58</v>
      </c>
      <c r="W401" t="s">
        <v>58</v>
      </c>
      <c r="X401" t="s">
        <v>58</v>
      </c>
      <c r="Y401" t="s">
        <v>58</v>
      </c>
      <c r="Z401" t="s">
        <v>58</v>
      </c>
      <c r="AA401" t="s">
        <v>58</v>
      </c>
      <c r="AC401" t="s">
        <v>58</v>
      </c>
      <c r="AE401" t="s">
        <v>58</v>
      </c>
      <c r="AG401" t="s">
        <v>63</v>
      </c>
      <c r="AH401" s="11" t="str">
        <f t="shared" si="9"/>
        <v>mailto: soilterrain@victoria1.gov.bc.ca</v>
      </c>
    </row>
    <row r="402" spans="1:34">
      <c r="A402" t="s">
        <v>1077</v>
      </c>
      <c r="B402" t="s">
        <v>56</v>
      </c>
      <c r="C402" s="10" t="s">
        <v>107</v>
      </c>
      <c r="D402" t="s">
        <v>58</v>
      </c>
      <c r="E402" t="s">
        <v>497</v>
      </c>
      <c r="F402" t="s">
        <v>502</v>
      </c>
      <c r="G402">
        <v>50000</v>
      </c>
      <c r="H402">
        <v>1980</v>
      </c>
      <c r="I402" t="s">
        <v>58</v>
      </c>
      <c r="J402" t="s">
        <v>58</v>
      </c>
      <c r="K402" t="s">
        <v>58</v>
      </c>
      <c r="L402" t="s">
        <v>58</v>
      </c>
      <c r="M402" t="s">
        <v>58</v>
      </c>
      <c r="N402" t="s">
        <v>61</v>
      </c>
      <c r="Q402" t="s">
        <v>58</v>
      </c>
      <c r="R402" s="11" t="str">
        <f>HYPERLINK("\\imagefiles.bcgov\imagery\scanned_maps\moe_terrain_maps\Scanned_T_maps_all\C03\C03-482","\\imagefiles.bcgov\imagery\scanned_maps\moe_terrain_maps\Scanned_T_maps_all\C03\C03-482")</f>
        <v>\\imagefiles.bcgov\imagery\scanned_maps\moe_terrain_maps\Scanned_T_maps_all\C03\C03-482</v>
      </c>
      <c r="S402" t="s">
        <v>62</v>
      </c>
      <c r="T402" s="11" t="str">
        <f>HYPERLINK("http://www.env.gov.bc.ca/esd/distdata/ecosystems/TEI_Scanned_Maps/C03/C03-482","http://www.env.gov.bc.ca/esd/distdata/ecosystems/TEI_Scanned_Maps/C03/C03-482")</f>
        <v>http://www.env.gov.bc.ca/esd/distdata/ecosystems/TEI_Scanned_Maps/C03/C03-482</v>
      </c>
      <c r="U402" t="s">
        <v>58</v>
      </c>
      <c r="V402" t="s">
        <v>58</v>
      </c>
      <c r="W402" t="s">
        <v>58</v>
      </c>
      <c r="X402" t="s">
        <v>58</v>
      </c>
      <c r="Y402" t="s">
        <v>58</v>
      </c>
      <c r="Z402" t="s">
        <v>58</v>
      </c>
      <c r="AA402" t="s">
        <v>58</v>
      </c>
      <c r="AC402" t="s">
        <v>58</v>
      </c>
      <c r="AE402" t="s">
        <v>58</v>
      </c>
      <c r="AG402" t="s">
        <v>63</v>
      </c>
      <c r="AH402" s="11" t="str">
        <f t="shared" si="9"/>
        <v>mailto: soilterrain@victoria1.gov.bc.ca</v>
      </c>
    </row>
    <row r="403" spans="1:34">
      <c r="A403" t="s">
        <v>1078</v>
      </c>
      <c r="B403" t="s">
        <v>56</v>
      </c>
      <c r="C403" s="10" t="s">
        <v>110</v>
      </c>
      <c r="D403" t="s">
        <v>58</v>
      </c>
      <c r="E403" t="s">
        <v>497</v>
      </c>
      <c r="F403" t="s">
        <v>502</v>
      </c>
      <c r="G403">
        <v>50000</v>
      </c>
      <c r="H403">
        <v>1980</v>
      </c>
      <c r="I403" t="s">
        <v>58</v>
      </c>
      <c r="J403" t="s">
        <v>58</v>
      </c>
      <c r="K403" t="s">
        <v>58</v>
      </c>
      <c r="L403" t="s">
        <v>58</v>
      </c>
      <c r="M403" t="s">
        <v>58</v>
      </c>
      <c r="N403" t="s">
        <v>61</v>
      </c>
      <c r="Q403" t="s">
        <v>58</v>
      </c>
      <c r="R403" s="11" t="str">
        <f>HYPERLINK("\\imagefiles.bcgov\imagery\scanned_maps\moe_terrain_maps\Scanned_T_maps_all\C03\C03-484","\\imagefiles.bcgov\imagery\scanned_maps\moe_terrain_maps\Scanned_T_maps_all\C03\C03-484")</f>
        <v>\\imagefiles.bcgov\imagery\scanned_maps\moe_terrain_maps\Scanned_T_maps_all\C03\C03-484</v>
      </c>
      <c r="S403" t="s">
        <v>62</v>
      </c>
      <c r="T403" s="11" t="str">
        <f>HYPERLINK("http://www.env.gov.bc.ca/esd/distdata/ecosystems/TEI_Scanned_Maps/C03/C03-484","http://www.env.gov.bc.ca/esd/distdata/ecosystems/TEI_Scanned_Maps/C03/C03-484")</f>
        <v>http://www.env.gov.bc.ca/esd/distdata/ecosystems/TEI_Scanned_Maps/C03/C03-484</v>
      </c>
      <c r="U403" t="s">
        <v>58</v>
      </c>
      <c r="V403" t="s">
        <v>58</v>
      </c>
      <c r="W403" t="s">
        <v>58</v>
      </c>
      <c r="X403" t="s">
        <v>58</v>
      </c>
      <c r="Y403" t="s">
        <v>58</v>
      </c>
      <c r="Z403" t="s">
        <v>58</v>
      </c>
      <c r="AA403" t="s">
        <v>58</v>
      </c>
      <c r="AC403" t="s">
        <v>58</v>
      </c>
      <c r="AE403" t="s">
        <v>58</v>
      </c>
      <c r="AG403" t="s">
        <v>63</v>
      </c>
      <c r="AH403" s="11" t="str">
        <f t="shared" si="9"/>
        <v>mailto: soilterrain@victoria1.gov.bc.ca</v>
      </c>
    </row>
    <row r="404" spans="1:34">
      <c r="A404" t="s">
        <v>1079</v>
      </c>
      <c r="B404" t="s">
        <v>56</v>
      </c>
      <c r="C404" s="10" t="s">
        <v>113</v>
      </c>
      <c r="D404" t="s">
        <v>58</v>
      </c>
      <c r="E404" t="s">
        <v>497</v>
      </c>
      <c r="F404" t="s">
        <v>502</v>
      </c>
      <c r="G404">
        <v>50000</v>
      </c>
      <c r="H404">
        <v>1980</v>
      </c>
      <c r="I404" t="s">
        <v>58</v>
      </c>
      <c r="J404" t="s">
        <v>58</v>
      </c>
      <c r="K404" t="s">
        <v>58</v>
      </c>
      <c r="L404" t="s">
        <v>58</v>
      </c>
      <c r="M404" t="s">
        <v>58</v>
      </c>
      <c r="N404" t="s">
        <v>61</v>
      </c>
      <c r="Q404" t="s">
        <v>58</v>
      </c>
      <c r="R404" s="11" t="str">
        <f>HYPERLINK("\\imagefiles.bcgov\imagery\scanned_maps\moe_terrain_maps\Scanned_T_maps_all\C03\C03-486","\\imagefiles.bcgov\imagery\scanned_maps\moe_terrain_maps\Scanned_T_maps_all\C03\C03-486")</f>
        <v>\\imagefiles.bcgov\imagery\scanned_maps\moe_terrain_maps\Scanned_T_maps_all\C03\C03-486</v>
      </c>
      <c r="S404" t="s">
        <v>62</v>
      </c>
      <c r="T404" s="11" t="str">
        <f>HYPERLINK("http://www.env.gov.bc.ca/esd/distdata/ecosystems/TEI_Scanned_Maps/C03/C03-486","http://www.env.gov.bc.ca/esd/distdata/ecosystems/TEI_Scanned_Maps/C03/C03-486")</f>
        <v>http://www.env.gov.bc.ca/esd/distdata/ecosystems/TEI_Scanned_Maps/C03/C03-486</v>
      </c>
      <c r="U404" t="s">
        <v>58</v>
      </c>
      <c r="V404" t="s">
        <v>58</v>
      </c>
      <c r="W404" t="s">
        <v>58</v>
      </c>
      <c r="X404" t="s">
        <v>58</v>
      </c>
      <c r="Y404" t="s">
        <v>58</v>
      </c>
      <c r="Z404" t="s">
        <v>58</v>
      </c>
      <c r="AA404" t="s">
        <v>58</v>
      </c>
      <c r="AC404" t="s">
        <v>58</v>
      </c>
      <c r="AE404" t="s">
        <v>58</v>
      </c>
      <c r="AG404" t="s">
        <v>63</v>
      </c>
      <c r="AH404" s="11" t="str">
        <f t="shared" si="9"/>
        <v>mailto: soilterrain@victoria1.gov.bc.ca</v>
      </c>
    </row>
    <row r="405" spans="1:34">
      <c r="A405" t="s">
        <v>1080</v>
      </c>
      <c r="B405" t="s">
        <v>56</v>
      </c>
      <c r="C405" s="10" t="s">
        <v>116</v>
      </c>
      <c r="D405" t="s">
        <v>58</v>
      </c>
      <c r="E405" t="s">
        <v>497</v>
      </c>
      <c r="F405" t="s">
        <v>502</v>
      </c>
      <c r="G405">
        <v>50000</v>
      </c>
      <c r="H405">
        <v>1980</v>
      </c>
      <c r="I405" t="s">
        <v>58</v>
      </c>
      <c r="J405" t="s">
        <v>58</v>
      </c>
      <c r="K405" t="s">
        <v>58</v>
      </c>
      <c r="L405" t="s">
        <v>58</v>
      </c>
      <c r="M405" t="s">
        <v>58</v>
      </c>
      <c r="N405" t="s">
        <v>61</v>
      </c>
      <c r="Q405" t="s">
        <v>58</v>
      </c>
      <c r="R405" s="11" t="str">
        <f>HYPERLINK("\\imagefiles.bcgov\imagery\scanned_maps\moe_terrain_maps\Scanned_T_maps_all\C03\C03-488","\\imagefiles.bcgov\imagery\scanned_maps\moe_terrain_maps\Scanned_T_maps_all\C03\C03-488")</f>
        <v>\\imagefiles.bcgov\imagery\scanned_maps\moe_terrain_maps\Scanned_T_maps_all\C03\C03-488</v>
      </c>
      <c r="S405" t="s">
        <v>62</v>
      </c>
      <c r="T405" s="11" t="str">
        <f>HYPERLINK("http://www.env.gov.bc.ca/esd/distdata/ecosystems/TEI_Scanned_Maps/C03/C03-488","http://www.env.gov.bc.ca/esd/distdata/ecosystems/TEI_Scanned_Maps/C03/C03-488")</f>
        <v>http://www.env.gov.bc.ca/esd/distdata/ecosystems/TEI_Scanned_Maps/C03/C03-488</v>
      </c>
      <c r="U405" t="s">
        <v>58</v>
      </c>
      <c r="V405" t="s">
        <v>58</v>
      </c>
      <c r="W405" t="s">
        <v>58</v>
      </c>
      <c r="X405" t="s">
        <v>58</v>
      </c>
      <c r="Y405" t="s">
        <v>58</v>
      </c>
      <c r="Z405" t="s">
        <v>58</v>
      </c>
      <c r="AA405" t="s">
        <v>58</v>
      </c>
      <c r="AC405" t="s">
        <v>58</v>
      </c>
      <c r="AE405" t="s">
        <v>58</v>
      </c>
      <c r="AG405" t="s">
        <v>63</v>
      </c>
      <c r="AH405" s="11" t="str">
        <f t="shared" si="9"/>
        <v>mailto: soilterrain@victoria1.gov.bc.ca</v>
      </c>
    </row>
    <row r="406" spans="1:34">
      <c r="A406" t="s">
        <v>1081</v>
      </c>
      <c r="B406" t="s">
        <v>56</v>
      </c>
      <c r="C406" s="10" t="s">
        <v>1082</v>
      </c>
      <c r="D406" t="s">
        <v>58</v>
      </c>
      <c r="E406" t="s">
        <v>497</v>
      </c>
      <c r="F406" t="s">
        <v>498</v>
      </c>
      <c r="G406">
        <v>50000</v>
      </c>
      <c r="H406">
        <v>1971</v>
      </c>
      <c r="I406" t="s">
        <v>58</v>
      </c>
      <c r="J406" t="s">
        <v>58</v>
      </c>
      <c r="K406" t="s">
        <v>58</v>
      </c>
      <c r="L406" t="s">
        <v>58</v>
      </c>
      <c r="M406" t="s">
        <v>58</v>
      </c>
      <c r="N406" t="s">
        <v>61</v>
      </c>
      <c r="Q406" t="s">
        <v>58</v>
      </c>
      <c r="R406" s="11" t="str">
        <f>HYPERLINK("\\imagefiles.bcgov\imagery\scanned_maps\moe_terrain_maps\Scanned_T_maps_all\C03\C03-490","\\imagefiles.bcgov\imagery\scanned_maps\moe_terrain_maps\Scanned_T_maps_all\C03\C03-490")</f>
        <v>\\imagefiles.bcgov\imagery\scanned_maps\moe_terrain_maps\Scanned_T_maps_all\C03\C03-490</v>
      </c>
      <c r="S406" t="s">
        <v>62</v>
      </c>
      <c r="T406" s="11" t="str">
        <f>HYPERLINK("http://www.env.gov.bc.ca/esd/distdata/ecosystems/TEI_Scanned_Maps/C03/C03-490","http://www.env.gov.bc.ca/esd/distdata/ecosystems/TEI_Scanned_Maps/C03/C03-490")</f>
        <v>http://www.env.gov.bc.ca/esd/distdata/ecosystems/TEI_Scanned_Maps/C03/C03-490</v>
      </c>
      <c r="U406" t="s">
        <v>58</v>
      </c>
      <c r="V406" t="s">
        <v>58</v>
      </c>
      <c r="W406" t="s">
        <v>58</v>
      </c>
      <c r="X406" t="s">
        <v>58</v>
      </c>
      <c r="Y406" t="s">
        <v>58</v>
      </c>
      <c r="Z406" t="s">
        <v>58</v>
      </c>
      <c r="AA406" t="s">
        <v>58</v>
      </c>
      <c r="AC406" t="s">
        <v>58</v>
      </c>
      <c r="AE406" t="s">
        <v>58</v>
      </c>
      <c r="AG406" t="s">
        <v>63</v>
      </c>
      <c r="AH406" s="11" t="str">
        <f t="shared" si="9"/>
        <v>mailto: soilterrain@victoria1.gov.bc.ca</v>
      </c>
    </row>
    <row r="407" spans="1:34">
      <c r="A407" t="s">
        <v>1083</v>
      </c>
      <c r="B407" t="s">
        <v>56</v>
      </c>
      <c r="C407" s="10" t="s">
        <v>1084</v>
      </c>
      <c r="D407" t="s">
        <v>61</v>
      </c>
      <c r="E407" t="s">
        <v>497</v>
      </c>
      <c r="F407" t="s">
        <v>498</v>
      </c>
      <c r="G407">
        <v>50000</v>
      </c>
      <c r="H407">
        <v>1986</v>
      </c>
      <c r="I407" t="s">
        <v>58</v>
      </c>
      <c r="J407" t="s">
        <v>58</v>
      </c>
      <c r="K407" t="s">
        <v>58</v>
      </c>
      <c r="L407" t="s">
        <v>58</v>
      </c>
      <c r="M407" t="s">
        <v>58</v>
      </c>
      <c r="N407" t="s">
        <v>61</v>
      </c>
      <c r="Q407" t="s">
        <v>58</v>
      </c>
      <c r="R407" s="11" t="str">
        <f>HYPERLINK("\\imagefiles.bcgov\imagery\scanned_maps\moe_terrain_maps\Scanned_T_maps_all\C03\C03-493","\\imagefiles.bcgov\imagery\scanned_maps\moe_terrain_maps\Scanned_T_maps_all\C03\C03-493")</f>
        <v>\\imagefiles.bcgov\imagery\scanned_maps\moe_terrain_maps\Scanned_T_maps_all\C03\C03-493</v>
      </c>
      <c r="S407" t="s">
        <v>62</v>
      </c>
      <c r="T407" s="11" t="str">
        <f>HYPERLINK("http://www.env.gov.bc.ca/esd/distdata/ecosystems/TEI_Scanned_Maps/C03/C03-493","http://www.env.gov.bc.ca/esd/distdata/ecosystems/TEI_Scanned_Maps/C03/C03-493")</f>
        <v>http://www.env.gov.bc.ca/esd/distdata/ecosystems/TEI_Scanned_Maps/C03/C03-493</v>
      </c>
      <c r="U407" t="s">
        <v>58</v>
      </c>
      <c r="V407" t="s">
        <v>58</v>
      </c>
      <c r="W407" t="s">
        <v>58</v>
      </c>
      <c r="X407" t="s">
        <v>58</v>
      </c>
      <c r="Y407" t="s">
        <v>58</v>
      </c>
      <c r="Z407" t="s">
        <v>58</v>
      </c>
      <c r="AA407" t="s">
        <v>58</v>
      </c>
      <c r="AC407" t="s">
        <v>58</v>
      </c>
      <c r="AE407" t="s">
        <v>58</v>
      </c>
      <c r="AG407" t="s">
        <v>63</v>
      </c>
      <c r="AH407" s="11" t="str">
        <f t="shared" si="9"/>
        <v>mailto: soilterrain@victoria1.gov.bc.ca</v>
      </c>
    </row>
    <row r="408" spans="1:34">
      <c r="A408" t="s">
        <v>1085</v>
      </c>
      <c r="B408" t="s">
        <v>56</v>
      </c>
      <c r="C408" s="10" t="s">
        <v>1086</v>
      </c>
      <c r="D408" t="s">
        <v>58</v>
      </c>
      <c r="E408" t="s">
        <v>497</v>
      </c>
      <c r="F408" t="s">
        <v>502</v>
      </c>
      <c r="G408">
        <v>50000</v>
      </c>
      <c r="H408">
        <v>1981</v>
      </c>
      <c r="I408" t="s">
        <v>58</v>
      </c>
      <c r="J408" t="s">
        <v>58</v>
      </c>
      <c r="K408" t="s">
        <v>58</v>
      </c>
      <c r="L408" t="s">
        <v>58</v>
      </c>
      <c r="M408" t="s">
        <v>58</v>
      </c>
      <c r="N408" t="s">
        <v>61</v>
      </c>
      <c r="Q408" t="s">
        <v>58</v>
      </c>
      <c r="R408" s="11" t="str">
        <f>HYPERLINK("\\imagefiles.bcgov\imagery\scanned_maps\moe_terrain_maps\Scanned_T_maps_all\C03\C03-494","\\imagefiles.bcgov\imagery\scanned_maps\moe_terrain_maps\Scanned_T_maps_all\C03\C03-494")</f>
        <v>\\imagefiles.bcgov\imagery\scanned_maps\moe_terrain_maps\Scanned_T_maps_all\C03\C03-494</v>
      </c>
      <c r="S408" t="s">
        <v>62</v>
      </c>
      <c r="T408" s="11" t="str">
        <f>HYPERLINK("http://www.env.gov.bc.ca/esd/distdata/ecosystems/TEI_Scanned_Maps/C03/C03-494","http://www.env.gov.bc.ca/esd/distdata/ecosystems/TEI_Scanned_Maps/C03/C03-494")</f>
        <v>http://www.env.gov.bc.ca/esd/distdata/ecosystems/TEI_Scanned_Maps/C03/C03-494</v>
      </c>
      <c r="U408" t="s">
        <v>58</v>
      </c>
      <c r="V408" t="s">
        <v>58</v>
      </c>
      <c r="W408" t="s">
        <v>58</v>
      </c>
      <c r="X408" t="s">
        <v>58</v>
      </c>
      <c r="Y408" t="s">
        <v>58</v>
      </c>
      <c r="Z408" t="s">
        <v>58</v>
      </c>
      <c r="AA408" t="s">
        <v>58</v>
      </c>
      <c r="AC408" t="s">
        <v>58</v>
      </c>
      <c r="AE408" t="s">
        <v>58</v>
      </c>
      <c r="AG408" t="s">
        <v>63</v>
      </c>
      <c r="AH408" s="11" t="str">
        <f t="shared" si="9"/>
        <v>mailto: soilterrain@victoria1.gov.bc.ca</v>
      </c>
    </row>
    <row r="409" spans="1:34">
      <c r="A409" t="s">
        <v>1087</v>
      </c>
      <c r="B409" t="s">
        <v>56</v>
      </c>
      <c r="C409" s="10" t="s">
        <v>1088</v>
      </c>
      <c r="D409" t="s">
        <v>58</v>
      </c>
      <c r="E409" t="s">
        <v>497</v>
      </c>
      <c r="F409" t="s">
        <v>502</v>
      </c>
      <c r="G409">
        <v>50000</v>
      </c>
      <c r="H409">
        <v>1981</v>
      </c>
      <c r="I409" t="s">
        <v>58</v>
      </c>
      <c r="J409" t="s">
        <v>58</v>
      </c>
      <c r="K409" t="s">
        <v>58</v>
      </c>
      <c r="L409" t="s">
        <v>58</v>
      </c>
      <c r="M409" t="s">
        <v>58</v>
      </c>
      <c r="N409" t="s">
        <v>61</v>
      </c>
      <c r="Q409" t="s">
        <v>58</v>
      </c>
      <c r="R409" s="11" t="str">
        <f>HYPERLINK("\\imagefiles.bcgov\imagery\scanned_maps\moe_terrain_maps\Scanned_T_maps_all\C03\C03-496","\\imagefiles.bcgov\imagery\scanned_maps\moe_terrain_maps\Scanned_T_maps_all\C03\C03-496")</f>
        <v>\\imagefiles.bcgov\imagery\scanned_maps\moe_terrain_maps\Scanned_T_maps_all\C03\C03-496</v>
      </c>
      <c r="S409" t="s">
        <v>62</v>
      </c>
      <c r="T409" s="11" t="str">
        <f>HYPERLINK("http://www.env.gov.bc.ca/esd/distdata/ecosystems/TEI_Scanned_Maps/C03/C03-496","http://www.env.gov.bc.ca/esd/distdata/ecosystems/TEI_Scanned_Maps/C03/C03-496")</f>
        <v>http://www.env.gov.bc.ca/esd/distdata/ecosystems/TEI_Scanned_Maps/C03/C03-496</v>
      </c>
      <c r="U409" t="s">
        <v>58</v>
      </c>
      <c r="V409" t="s">
        <v>58</v>
      </c>
      <c r="W409" t="s">
        <v>58</v>
      </c>
      <c r="X409" t="s">
        <v>58</v>
      </c>
      <c r="Y409" t="s">
        <v>58</v>
      </c>
      <c r="Z409" t="s">
        <v>58</v>
      </c>
      <c r="AA409" t="s">
        <v>58</v>
      </c>
      <c r="AC409" t="s">
        <v>58</v>
      </c>
      <c r="AE409" t="s">
        <v>58</v>
      </c>
      <c r="AG409" t="s">
        <v>63</v>
      </c>
      <c r="AH409" s="11" t="str">
        <f t="shared" si="9"/>
        <v>mailto: soilterrain@victoria1.gov.bc.ca</v>
      </c>
    </row>
    <row r="410" spans="1:34">
      <c r="A410" t="s">
        <v>1089</v>
      </c>
      <c r="B410" t="s">
        <v>56</v>
      </c>
      <c r="C410" s="10" t="s">
        <v>1090</v>
      </c>
      <c r="D410" t="s">
        <v>58</v>
      </c>
      <c r="E410" t="s">
        <v>497</v>
      </c>
      <c r="F410" t="s">
        <v>502</v>
      </c>
      <c r="G410">
        <v>50000</v>
      </c>
      <c r="H410">
        <v>1981</v>
      </c>
      <c r="I410" t="s">
        <v>58</v>
      </c>
      <c r="J410" t="s">
        <v>58</v>
      </c>
      <c r="K410" t="s">
        <v>58</v>
      </c>
      <c r="L410" t="s">
        <v>58</v>
      </c>
      <c r="M410" t="s">
        <v>58</v>
      </c>
      <c r="N410" t="s">
        <v>61</v>
      </c>
      <c r="Q410" t="s">
        <v>58</v>
      </c>
      <c r="R410" s="11" t="str">
        <f>HYPERLINK("\\imagefiles.bcgov\imagery\scanned_maps\moe_terrain_maps\Scanned_T_maps_all\C03\C03-498","\\imagefiles.bcgov\imagery\scanned_maps\moe_terrain_maps\Scanned_T_maps_all\C03\C03-498")</f>
        <v>\\imagefiles.bcgov\imagery\scanned_maps\moe_terrain_maps\Scanned_T_maps_all\C03\C03-498</v>
      </c>
      <c r="S410" t="s">
        <v>62</v>
      </c>
      <c r="T410" s="11" t="str">
        <f>HYPERLINK("http://www.env.gov.bc.ca/esd/distdata/ecosystems/TEI_Scanned_Maps/C03/C03-498","http://www.env.gov.bc.ca/esd/distdata/ecosystems/TEI_Scanned_Maps/C03/C03-498")</f>
        <v>http://www.env.gov.bc.ca/esd/distdata/ecosystems/TEI_Scanned_Maps/C03/C03-498</v>
      </c>
      <c r="U410" t="s">
        <v>58</v>
      </c>
      <c r="V410" t="s">
        <v>58</v>
      </c>
      <c r="W410" t="s">
        <v>58</v>
      </c>
      <c r="X410" t="s">
        <v>58</v>
      </c>
      <c r="Y410" t="s">
        <v>58</v>
      </c>
      <c r="Z410" t="s">
        <v>58</v>
      </c>
      <c r="AA410" t="s">
        <v>58</v>
      </c>
      <c r="AC410" t="s">
        <v>58</v>
      </c>
      <c r="AE410" t="s">
        <v>58</v>
      </c>
      <c r="AG410" t="s">
        <v>63</v>
      </c>
      <c r="AH410" s="11" t="str">
        <f t="shared" si="9"/>
        <v>mailto: soilterrain@victoria1.gov.bc.ca</v>
      </c>
    </row>
    <row r="411" spans="1:34">
      <c r="A411" t="s">
        <v>1091</v>
      </c>
      <c r="B411" t="s">
        <v>56</v>
      </c>
      <c r="C411" s="10" t="s">
        <v>130</v>
      </c>
      <c r="D411" t="s">
        <v>58</v>
      </c>
      <c r="E411" t="s">
        <v>497</v>
      </c>
      <c r="F411" t="s">
        <v>502</v>
      </c>
      <c r="G411">
        <v>50000</v>
      </c>
      <c r="H411">
        <v>1981</v>
      </c>
      <c r="I411" t="s">
        <v>58</v>
      </c>
      <c r="J411" t="s">
        <v>58</v>
      </c>
      <c r="K411" t="s">
        <v>58</v>
      </c>
      <c r="L411" t="s">
        <v>58</v>
      </c>
      <c r="M411" t="s">
        <v>58</v>
      </c>
      <c r="N411" t="s">
        <v>61</v>
      </c>
      <c r="Q411" t="s">
        <v>58</v>
      </c>
      <c r="R411" s="11" t="str">
        <f>HYPERLINK("\\imagefiles.bcgov\imagery\scanned_maps\moe_terrain_maps\Scanned_T_maps_all\C03\C03-500","\\imagefiles.bcgov\imagery\scanned_maps\moe_terrain_maps\Scanned_T_maps_all\C03\C03-500")</f>
        <v>\\imagefiles.bcgov\imagery\scanned_maps\moe_terrain_maps\Scanned_T_maps_all\C03\C03-500</v>
      </c>
      <c r="S411" t="s">
        <v>62</v>
      </c>
      <c r="T411" s="11" t="str">
        <f>HYPERLINK("http://www.env.gov.bc.ca/esd/distdata/ecosystems/TEI_Scanned_Maps/C03/C03-500","http://www.env.gov.bc.ca/esd/distdata/ecosystems/TEI_Scanned_Maps/C03/C03-500")</f>
        <v>http://www.env.gov.bc.ca/esd/distdata/ecosystems/TEI_Scanned_Maps/C03/C03-500</v>
      </c>
      <c r="U411" t="s">
        <v>58</v>
      </c>
      <c r="V411" t="s">
        <v>58</v>
      </c>
      <c r="W411" t="s">
        <v>58</v>
      </c>
      <c r="X411" t="s">
        <v>58</v>
      </c>
      <c r="Y411" t="s">
        <v>58</v>
      </c>
      <c r="Z411" t="s">
        <v>58</v>
      </c>
      <c r="AA411" t="s">
        <v>58</v>
      </c>
      <c r="AC411" t="s">
        <v>58</v>
      </c>
      <c r="AE411" t="s">
        <v>58</v>
      </c>
      <c r="AG411" t="s">
        <v>63</v>
      </c>
      <c r="AH411" s="11" t="str">
        <f t="shared" si="9"/>
        <v>mailto: soilterrain@victoria1.gov.bc.ca</v>
      </c>
    </row>
    <row r="412" spans="1:34">
      <c r="A412" t="s">
        <v>1092</v>
      </c>
      <c r="B412" t="s">
        <v>56</v>
      </c>
      <c r="C412" s="10" t="s">
        <v>1093</v>
      </c>
      <c r="D412" t="s">
        <v>58</v>
      </c>
      <c r="E412" t="s">
        <v>497</v>
      </c>
      <c r="F412" t="s">
        <v>502</v>
      </c>
      <c r="G412">
        <v>50000</v>
      </c>
      <c r="H412">
        <v>1981</v>
      </c>
      <c r="I412" t="s">
        <v>58</v>
      </c>
      <c r="J412" t="s">
        <v>58</v>
      </c>
      <c r="K412" t="s">
        <v>58</v>
      </c>
      <c r="L412" t="s">
        <v>58</v>
      </c>
      <c r="M412" t="s">
        <v>58</v>
      </c>
      <c r="N412" t="s">
        <v>61</v>
      </c>
      <c r="Q412" t="s">
        <v>58</v>
      </c>
      <c r="R412" s="11" t="str">
        <f>HYPERLINK("\\imagefiles.bcgov\imagery\scanned_maps\moe_terrain_maps\Scanned_T_maps_all\C03\C03-502","\\imagefiles.bcgov\imagery\scanned_maps\moe_terrain_maps\Scanned_T_maps_all\C03\C03-502")</f>
        <v>\\imagefiles.bcgov\imagery\scanned_maps\moe_terrain_maps\Scanned_T_maps_all\C03\C03-502</v>
      </c>
      <c r="S412" t="s">
        <v>62</v>
      </c>
      <c r="T412" s="11" t="str">
        <f>HYPERLINK("http://www.env.gov.bc.ca/esd/distdata/ecosystems/TEI_Scanned_Maps/C03/C03-502","http://www.env.gov.bc.ca/esd/distdata/ecosystems/TEI_Scanned_Maps/C03/C03-502")</f>
        <v>http://www.env.gov.bc.ca/esd/distdata/ecosystems/TEI_Scanned_Maps/C03/C03-502</v>
      </c>
      <c r="U412" t="s">
        <v>58</v>
      </c>
      <c r="V412" t="s">
        <v>58</v>
      </c>
      <c r="W412" t="s">
        <v>58</v>
      </c>
      <c r="X412" t="s">
        <v>58</v>
      </c>
      <c r="Y412" t="s">
        <v>58</v>
      </c>
      <c r="Z412" t="s">
        <v>58</v>
      </c>
      <c r="AA412" t="s">
        <v>58</v>
      </c>
      <c r="AC412" t="s">
        <v>58</v>
      </c>
      <c r="AE412" t="s">
        <v>58</v>
      </c>
      <c r="AG412" t="s">
        <v>63</v>
      </c>
      <c r="AH412" s="11" t="str">
        <f t="shared" si="9"/>
        <v>mailto: soilterrain@victoria1.gov.bc.ca</v>
      </c>
    </row>
    <row r="413" spans="1:34">
      <c r="A413" t="s">
        <v>1094</v>
      </c>
      <c r="B413" t="s">
        <v>56</v>
      </c>
      <c r="C413" s="10" t="s">
        <v>1095</v>
      </c>
      <c r="D413" t="s">
        <v>58</v>
      </c>
      <c r="E413" t="s">
        <v>497</v>
      </c>
      <c r="F413" t="s">
        <v>1096</v>
      </c>
      <c r="G413">
        <v>50000</v>
      </c>
      <c r="H413">
        <v>1981</v>
      </c>
      <c r="I413" t="s">
        <v>58</v>
      </c>
      <c r="J413" t="s">
        <v>58</v>
      </c>
      <c r="K413" t="s">
        <v>58</v>
      </c>
      <c r="L413" t="s">
        <v>58</v>
      </c>
      <c r="M413" t="s">
        <v>58</v>
      </c>
      <c r="N413" t="s">
        <v>61</v>
      </c>
      <c r="Q413" t="s">
        <v>58</v>
      </c>
      <c r="R413" s="11" t="str">
        <f>HYPERLINK("\\imagefiles.bcgov\imagery\scanned_maps\moe_terrain_maps\Scanned_T_maps_all\C03\C03-504","\\imagefiles.bcgov\imagery\scanned_maps\moe_terrain_maps\Scanned_T_maps_all\C03\C03-504")</f>
        <v>\\imagefiles.bcgov\imagery\scanned_maps\moe_terrain_maps\Scanned_T_maps_all\C03\C03-504</v>
      </c>
      <c r="S413" t="s">
        <v>62</v>
      </c>
      <c r="T413" s="11" t="str">
        <f>HYPERLINK("http://www.env.gov.bc.ca/esd/distdata/ecosystems/TEI_Scanned_Maps/C03/C03-504","http://www.env.gov.bc.ca/esd/distdata/ecosystems/TEI_Scanned_Maps/C03/C03-504")</f>
        <v>http://www.env.gov.bc.ca/esd/distdata/ecosystems/TEI_Scanned_Maps/C03/C03-504</v>
      </c>
      <c r="U413" t="s">
        <v>58</v>
      </c>
      <c r="V413" t="s">
        <v>58</v>
      </c>
      <c r="W413" t="s">
        <v>58</v>
      </c>
      <c r="X413" t="s">
        <v>58</v>
      </c>
      <c r="Y413" t="s">
        <v>58</v>
      </c>
      <c r="Z413" t="s">
        <v>58</v>
      </c>
      <c r="AA413" t="s">
        <v>58</v>
      </c>
      <c r="AC413" t="s">
        <v>58</v>
      </c>
      <c r="AE413" t="s">
        <v>58</v>
      </c>
      <c r="AG413" t="s">
        <v>63</v>
      </c>
      <c r="AH413" s="11" t="str">
        <f t="shared" si="9"/>
        <v>mailto: soilterrain@victoria1.gov.bc.ca</v>
      </c>
    </row>
    <row r="414" spans="1:34">
      <c r="A414" t="s">
        <v>1097</v>
      </c>
      <c r="B414" t="s">
        <v>56</v>
      </c>
      <c r="C414" s="10" t="s">
        <v>1098</v>
      </c>
      <c r="D414" t="s">
        <v>58</v>
      </c>
      <c r="E414" t="s">
        <v>497</v>
      </c>
      <c r="F414" t="s">
        <v>498</v>
      </c>
      <c r="G414">
        <v>50000</v>
      </c>
      <c r="H414">
        <v>1981</v>
      </c>
      <c r="I414" t="s">
        <v>58</v>
      </c>
      <c r="J414" t="s">
        <v>58</v>
      </c>
      <c r="K414" t="s">
        <v>58</v>
      </c>
      <c r="L414" t="s">
        <v>58</v>
      </c>
      <c r="M414" t="s">
        <v>58</v>
      </c>
      <c r="N414" t="s">
        <v>61</v>
      </c>
      <c r="Q414" t="s">
        <v>58</v>
      </c>
      <c r="R414" s="11" t="str">
        <f>HYPERLINK("\\imagefiles.bcgov\imagery\scanned_maps\moe_terrain_maps\Scanned_T_maps_all\C03\C03-524","\\imagefiles.bcgov\imagery\scanned_maps\moe_terrain_maps\Scanned_T_maps_all\C03\C03-524")</f>
        <v>\\imagefiles.bcgov\imagery\scanned_maps\moe_terrain_maps\Scanned_T_maps_all\C03\C03-524</v>
      </c>
      <c r="S414" t="s">
        <v>62</v>
      </c>
      <c r="T414" s="11" t="str">
        <f>HYPERLINK("http://www.env.gov.bc.ca/esd/distdata/ecosystems/TEI_Scanned_Maps/C03/C03-524","http://www.env.gov.bc.ca/esd/distdata/ecosystems/TEI_Scanned_Maps/C03/C03-524")</f>
        <v>http://www.env.gov.bc.ca/esd/distdata/ecosystems/TEI_Scanned_Maps/C03/C03-524</v>
      </c>
      <c r="U414" t="s">
        <v>58</v>
      </c>
      <c r="V414" t="s">
        <v>58</v>
      </c>
      <c r="W414" t="s">
        <v>58</v>
      </c>
      <c r="X414" t="s">
        <v>58</v>
      </c>
      <c r="Y414" t="s">
        <v>58</v>
      </c>
      <c r="Z414" t="s">
        <v>58</v>
      </c>
      <c r="AA414" t="s">
        <v>58</v>
      </c>
      <c r="AC414" t="s">
        <v>58</v>
      </c>
      <c r="AE414" t="s">
        <v>58</v>
      </c>
      <c r="AG414" t="s">
        <v>63</v>
      </c>
      <c r="AH414" s="11" t="str">
        <f t="shared" si="9"/>
        <v>mailto: soilterrain@victoria1.gov.bc.ca</v>
      </c>
    </row>
    <row r="415" spans="1:34">
      <c r="A415" t="s">
        <v>1099</v>
      </c>
      <c r="B415" t="s">
        <v>56</v>
      </c>
      <c r="C415" s="10" t="s">
        <v>1100</v>
      </c>
      <c r="D415" t="s">
        <v>58</v>
      </c>
      <c r="E415" t="s">
        <v>497</v>
      </c>
      <c r="F415" t="s">
        <v>502</v>
      </c>
      <c r="G415">
        <v>50000</v>
      </c>
      <c r="H415">
        <v>1981</v>
      </c>
      <c r="I415" t="s">
        <v>58</v>
      </c>
      <c r="J415" t="s">
        <v>58</v>
      </c>
      <c r="K415" t="s">
        <v>58</v>
      </c>
      <c r="L415" t="s">
        <v>58</v>
      </c>
      <c r="M415" t="s">
        <v>58</v>
      </c>
      <c r="N415" t="s">
        <v>61</v>
      </c>
      <c r="Q415" t="s">
        <v>58</v>
      </c>
      <c r="R415" s="11" t="str">
        <f>HYPERLINK("\\imagefiles.bcgov\imagery\scanned_maps\moe_terrain_maps\Scanned_T_maps_all\C03\C03-526","\\imagefiles.bcgov\imagery\scanned_maps\moe_terrain_maps\Scanned_T_maps_all\C03\C03-526")</f>
        <v>\\imagefiles.bcgov\imagery\scanned_maps\moe_terrain_maps\Scanned_T_maps_all\C03\C03-526</v>
      </c>
      <c r="S415" t="s">
        <v>62</v>
      </c>
      <c r="T415" s="11" t="str">
        <f>HYPERLINK("http://www.env.gov.bc.ca/esd/distdata/ecosystems/TEI_Scanned_Maps/C03/C03-526","http://www.env.gov.bc.ca/esd/distdata/ecosystems/TEI_Scanned_Maps/C03/C03-526")</f>
        <v>http://www.env.gov.bc.ca/esd/distdata/ecosystems/TEI_Scanned_Maps/C03/C03-526</v>
      </c>
      <c r="U415" t="s">
        <v>58</v>
      </c>
      <c r="V415" t="s">
        <v>58</v>
      </c>
      <c r="W415" t="s">
        <v>58</v>
      </c>
      <c r="X415" t="s">
        <v>58</v>
      </c>
      <c r="Y415" t="s">
        <v>58</v>
      </c>
      <c r="Z415" t="s">
        <v>58</v>
      </c>
      <c r="AA415" t="s">
        <v>58</v>
      </c>
      <c r="AC415" t="s">
        <v>58</v>
      </c>
      <c r="AE415" t="s">
        <v>58</v>
      </c>
      <c r="AG415" t="s">
        <v>63</v>
      </c>
      <c r="AH415" s="11" t="str">
        <f t="shared" si="9"/>
        <v>mailto: soilterrain@victoria1.gov.bc.ca</v>
      </c>
    </row>
    <row r="416" spans="1:34">
      <c r="A416" t="s">
        <v>1101</v>
      </c>
      <c r="B416" t="s">
        <v>56</v>
      </c>
      <c r="C416" s="10" t="s">
        <v>543</v>
      </c>
      <c r="D416" t="s">
        <v>58</v>
      </c>
      <c r="E416" t="s">
        <v>497</v>
      </c>
      <c r="F416" t="s">
        <v>502</v>
      </c>
      <c r="G416">
        <v>50000</v>
      </c>
      <c r="H416">
        <v>1981</v>
      </c>
      <c r="I416" t="s">
        <v>58</v>
      </c>
      <c r="J416" t="s">
        <v>58</v>
      </c>
      <c r="K416" t="s">
        <v>58</v>
      </c>
      <c r="L416" t="s">
        <v>58</v>
      </c>
      <c r="M416" t="s">
        <v>58</v>
      </c>
      <c r="N416" t="s">
        <v>61</v>
      </c>
      <c r="Q416" t="s">
        <v>58</v>
      </c>
      <c r="R416" s="11" t="str">
        <f>HYPERLINK("\\imagefiles.bcgov\imagery\scanned_maps\moe_terrain_maps\Scanned_T_maps_all\C03\C03-528","\\imagefiles.bcgov\imagery\scanned_maps\moe_terrain_maps\Scanned_T_maps_all\C03\C03-528")</f>
        <v>\\imagefiles.bcgov\imagery\scanned_maps\moe_terrain_maps\Scanned_T_maps_all\C03\C03-528</v>
      </c>
      <c r="S416" t="s">
        <v>62</v>
      </c>
      <c r="T416" s="11" t="str">
        <f>HYPERLINK("http://www.env.gov.bc.ca/esd/distdata/ecosystems/TEI_Scanned_Maps/C03/C03-528","http://www.env.gov.bc.ca/esd/distdata/ecosystems/TEI_Scanned_Maps/C03/C03-528")</f>
        <v>http://www.env.gov.bc.ca/esd/distdata/ecosystems/TEI_Scanned_Maps/C03/C03-528</v>
      </c>
      <c r="U416" t="s">
        <v>58</v>
      </c>
      <c r="V416" t="s">
        <v>58</v>
      </c>
      <c r="W416" t="s">
        <v>58</v>
      </c>
      <c r="X416" t="s">
        <v>58</v>
      </c>
      <c r="Y416" t="s">
        <v>58</v>
      </c>
      <c r="Z416" t="s">
        <v>58</v>
      </c>
      <c r="AA416" t="s">
        <v>58</v>
      </c>
      <c r="AC416" t="s">
        <v>58</v>
      </c>
      <c r="AE416" t="s">
        <v>58</v>
      </c>
      <c r="AG416" t="s">
        <v>63</v>
      </c>
      <c r="AH416" s="11" t="str">
        <f t="shared" si="9"/>
        <v>mailto: soilterrain@victoria1.gov.bc.ca</v>
      </c>
    </row>
    <row r="417" spans="1:34">
      <c r="A417" t="s">
        <v>1102</v>
      </c>
      <c r="B417" t="s">
        <v>56</v>
      </c>
      <c r="C417" s="10" t="s">
        <v>540</v>
      </c>
      <c r="D417" t="s">
        <v>58</v>
      </c>
      <c r="E417" t="s">
        <v>497</v>
      </c>
      <c r="F417" t="s">
        <v>502</v>
      </c>
      <c r="G417">
        <v>50000</v>
      </c>
      <c r="H417">
        <v>1981</v>
      </c>
      <c r="I417" t="s">
        <v>58</v>
      </c>
      <c r="J417" t="s">
        <v>58</v>
      </c>
      <c r="K417" t="s">
        <v>58</v>
      </c>
      <c r="L417" t="s">
        <v>58</v>
      </c>
      <c r="M417" t="s">
        <v>58</v>
      </c>
      <c r="N417" t="s">
        <v>61</v>
      </c>
      <c r="Q417" t="s">
        <v>58</v>
      </c>
      <c r="R417" s="11" t="str">
        <f>HYPERLINK("\\imagefiles.bcgov\imagery\scanned_maps\moe_terrain_maps\Scanned_T_maps_all\C03\C03-530","\\imagefiles.bcgov\imagery\scanned_maps\moe_terrain_maps\Scanned_T_maps_all\C03\C03-530")</f>
        <v>\\imagefiles.bcgov\imagery\scanned_maps\moe_terrain_maps\Scanned_T_maps_all\C03\C03-530</v>
      </c>
      <c r="S417" t="s">
        <v>62</v>
      </c>
      <c r="T417" s="11" t="str">
        <f>HYPERLINK("http://www.env.gov.bc.ca/esd/distdata/ecosystems/TEI_Scanned_Maps/C03/C03-530","http://www.env.gov.bc.ca/esd/distdata/ecosystems/TEI_Scanned_Maps/C03/C03-530")</f>
        <v>http://www.env.gov.bc.ca/esd/distdata/ecosystems/TEI_Scanned_Maps/C03/C03-530</v>
      </c>
      <c r="U417" t="s">
        <v>58</v>
      </c>
      <c r="V417" t="s">
        <v>58</v>
      </c>
      <c r="W417" t="s">
        <v>58</v>
      </c>
      <c r="X417" t="s">
        <v>58</v>
      </c>
      <c r="Y417" t="s">
        <v>58</v>
      </c>
      <c r="Z417" t="s">
        <v>58</v>
      </c>
      <c r="AA417" t="s">
        <v>58</v>
      </c>
      <c r="AC417" t="s">
        <v>58</v>
      </c>
      <c r="AE417" t="s">
        <v>58</v>
      </c>
      <c r="AG417" t="s">
        <v>63</v>
      </c>
      <c r="AH417" s="11" t="str">
        <f t="shared" si="9"/>
        <v>mailto: soilterrain@victoria1.gov.bc.ca</v>
      </c>
    </row>
    <row r="418" spans="1:34">
      <c r="A418" t="s">
        <v>1103</v>
      </c>
      <c r="B418" t="s">
        <v>56</v>
      </c>
      <c r="C418" s="10" t="s">
        <v>1104</v>
      </c>
      <c r="D418" t="s">
        <v>58</v>
      </c>
      <c r="E418" t="s">
        <v>497</v>
      </c>
      <c r="F418" t="s">
        <v>502</v>
      </c>
      <c r="G418">
        <v>50000</v>
      </c>
      <c r="H418">
        <v>1981</v>
      </c>
      <c r="I418" t="s">
        <v>58</v>
      </c>
      <c r="J418" t="s">
        <v>58</v>
      </c>
      <c r="K418" t="s">
        <v>58</v>
      </c>
      <c r="L418" t="s">
        <v>58</v>
      </c>
      <c r="M418" t="s">
        <v>58</v>
      </c>
      <c r="N418" t="s">
        <v>61</v>
      </c>
      <c r="Q418" t="s">
        <v>58</v>
      </c>
      <c r="R418" s="11" t="str">
        <f>HYPERLINK("\\imagefiles.bcgov\imagery\scanned_maps\moe_terrain_maps\Scanned_T_maps_all\C03\C03-532","\\imagefiles.bcgov\imagery\scanned_maps\moe_terrain_maps\Scanned_T_maps_all\C03\C03-532")</f>
        <v>\\imagefiles.bcgov\imagery\scanned_maps\moe_terrain_maps\Scanned_T_maps_all\C03\C03-532</v>
      </c>
      <c r="S418" t="s">
        <v>62</v>
      </c>
      <c r="T418" s="11" t="str">
        <f>HYPERLINK("http://www.env.gov.bc.ca/esd/distdata/ecosystems/TEI_Scanned_Maps/C03/C03-532","http://www.env.gov.bc.ca/esd/distdata/ecosystems/TEI_Scanned_Maps/C03/C03-532")</f>
        <v>http://www.env.gov.bc.ca/esd/distdata/ecosystems/TEI_Scanned_Maps/C03/C03-532</v>
      </c>
      <c r="U418" t="s">
        <v>58</v>
      </c>
      <c r="V418" t="s">
        <v>58</v>
      </c>
      <c r="W418" t="s">
        <v>58</v>
      </c>
      <c r="X418" t="s">
        <v>58</v>
      </c>
      <c r="Y418" t="s">
        <v>58</v>
      </c>
      <c r="Z418" t="s">
        <v>58</v>
      </c>
      <c r="AA418" t="s">
        <v>58</v>
      </c>
      <c r="AC418" t="s">
        <v>58</v>
      </c>
      <c r="AE418" t="s">
        <v>58</v>
      </c>
      <c r="AG418" t="s">
        <v>63</v>
      </c>
      <c r="AH418" s="11" t="str">
        <f t="shared" si="9"/>
        <v>mailto: soilterrain@victoria1.gov.bc.ca</v>
      </c>
    </row>
    <row r="419" spans="1:34">
      <c r="A419" t="s">
        <v>1105</v>
      </c>
      <c r="B419" t="s">
        <v>56</v>
      </c>
      <c r="C419" s="10" t="s">
        <v>1106</v>
      </c>
      <c r="D419" t="s">
        <v>61</v>
      </c>
      <c r="E419" t="s">
        <v>497</v>
      </c>
      <c r="F419" t="s">
        <v>498</v>
      </c>
      <c r="G419">
        <v>50000</v>
      </c>
      <c r="H419">
        <v>1988</v>
      </c>
      <c r="I419" t="s">
        <v>58</v>
      </c>
      <c r="J419" t="s">
        <v>58</v>
      </c>
      <c r="K419" t="s">
        <v>58</v>
      </c>
      <c r="L419" t="s">
        <v>58</v>
      </c>
      <c r="M419" t="s">
        <v>58</v>
      </c>
      <c r="N419" t="s">
        <v>61</v>
      </c>
      <c r="Q419" t="s">
        <v>58</v>
      </c>
      <c r="R419" s="11" t="str">
        <f>HYPERLINK("\\imagefiles.bcgov\imagery\scanned_maps\moe_terrain_maps\Scanned_T_maps_all\C03\C03-535","\\imagefiles.bcgov\imagery\scanned_maps\moe_terrain_maps\Scanned_T_maps_all\C03\C03-535")</f>
        <v>\\imagefiles.bcgov\imagery\scanned_maps\moe_terrain_maps\Scanned_T_maps_all\C03\C03-535</v>
      </c>
      <c r="S419" t="s">
        <v>62</v>
      </c>
      <c r="T419" s="11" t="str">
        <f>HYPERLINK("http://www.env.gov.bc.ca/esd/distdata/ecosystems/TEI_Scanned_Maps/C03/C03-535","http://www.env.gov.bc.ca/esd/distdata/ecosystems/TEI_Scanned_Maps/C03/C03-535")</f>
        <v>http://www.env.gov.bc.ca/esd/distdata/ecosystems/TEI_Scanned_Maps/C03/C03-535</v>
      </c>
      <c r="U419" t="s">
        <v>58</v>
      </c>
      <c r="V419" t="s">
        <v>58</v>
      </c>
      <c r="W419" t="s">
        <v>58</v>
      </c>
      <c r="X419" t="s">
        <v>58</v>
      </c>
      <c r="Y419" t="s">
        <v>58</v>
      </c>
      <c r="Z419" t="s">
        <v>58</v>
      </c>
      <c r="AA419" t="s">
        <v>58</v>
      </c>
      <c r="AC419" t="s">
        <v>58</v>
      </c>
      <c r="AE419" t="s">
        <v>58</v>
      </c>
      <c r="AG419" t="s">
        <v>63</v>
      </c>
      <c r="AH419" s="11" t="str">
        <f t="shared" si="9"/>
        <v>mailto: soilterrain@victoria1.gov.bc.ca</v>
      </c>
    </row>
    <row r="420" spans="1:34">
      <c r="A420" t="s">
        <v>1107</v>
      </c>
      <c r="B420" t="s">
        <v>56</v>
      </c>
      <c r="C420" s="10" t="s">
        <v>1108</v>
      </c>
      <c r="D420" t="s">
        <v>61</v>
      </c>
      <c r="E420" t="s">
        <v>497</v>
      </c>
      <c r="F420" t="s">
        <v>498</v>
      </c>
      <c r="G420">
        <v>50000</v>
      </c>
      <c r="H420">
        <v>1988</v>
      </c>
      <c r="I420" t="s">
        <v>58</v>
      </c>
      <c r="J420" t="s">
        <v>58</v>
      </c>
      <c r="K420" t="s">
        <v>58</v>
      </c>
      <c r="L420" t="s">
        <v>58</v>
      </c>
      <c r="M420" t="s">
        <v>58</v>
      </c>
      <c r="N420" t="s">
        <v>61</v>
      </c>
      <c r="Q420" t="s">
        <v>58</v>
      </c>
      <c r="R420" s="11" t="str">
        <f>HYPERLINK("\\imagefiles.bcgov\imagery\scanned_maps\moe_terrain_maps\Scanned_T_maps_all\C03\C03-536","\\imagefiles.bcgov\imagery\scanned_maps\moe_terrain_maps\Scanned_T_maps_all\C03\C03-536")</f>
        <v>\\imagefiles.bcgov\imagery\scanned_maps\moe_terrain_maps\Scanned_T_maps_all\C03\C03-536</v>
      </c>
      <c r="S420" t="s">
        <v>62</v>
      </c>
      <c r="T420" s="11" t="str">
        <f>HYPERLINK("http://www.env.gov.bc.ca/esd/distdata/ecosystems/TEI_Scanned_Maps/C03/C03-536","http://www.env.gov.bc.ca/esd/distdata/ecosystems/TEI_Scanned_Maps/C03/C03-536")</f>
        <v>http://www.env.gov.bc.ca/esd/distdata/ecosystems/TEI_Scanned_Maps/C03/C03-536</v>
      </c>
      <c r="U420" t="s">
        <v>58</v>
      </c>
      <c r="V420" t="s">
        <v>58</v>
      </c>
      <c r="W420" t="s">
        <v>58</v>
      </c>
      <c r="X420" t="s">
        <v>58</v>
      </c>
      <c r="Y420" t="s">
        <v>58</v>
      </c>
      <c r="Z420" t="s">
        <v>58</v>
      </c>
      <c r="AA420" t="s">
        <v>58</v>
      </c>
      <c r="AC420" t="s">
        <v>58</v>
      </c>
      <c r="AE420" t="s">
        <v>58</v>
      </c>
      <c r="AG420" t="s">
        <v>63</v>
      </c>
      <c r="AH420" s="11" t="str">
        <f t="shared" si="9"/>
        <v>mailto: soilterrain@victoria1.gov.bc.ca</v>
      </c>
    </row>
    <row r="421" spans="1:34">
      <c r="A421" t="s">
        <v>1109</v>
      </c>
      <c r="B421" t="s">
        <v>56</v>
      </c>
      <c r="C421" s="10" t="s">
        <v>1110</v>
      </c>
      <c r="D421" t="s">
        <v>58</v>
      </c>
      <c r="E421" t="s">
        <v>497</v>
      </c>
      <c r="F421" t="s">
        <v>498</v>
      </c>
      <c r="G421">
        <v>50000</v>
      </c>
      <c r="H421">
        <v>1987</v>
      </c>
      <c r="I421" t="s">
        <v>58</v>
      </c>
      <c r="J421" t="s">
        <v>58</v>
      </c>
      <c r="K421" t="s">
        <v>58</v>
      </c>
      <c r="L421" t="s">
        <v>58</v>
      </c>
      <c r="M421" t="s">
        <v>58</v>
      </c>
      <c r="N421" t="s">
        <v>61</v>
      </c>
      <c r="Q421" t="s">
        <v>58</v>
      </c>
      <c r="R421" s="11" t="str">
        <f>HYPERLINK("\\imagefiles.bcgov\imagery\scanned_maps\moe_terrain_maps\Scanned_T_maps_all\C03\C03-538","\\imagefiles.bcgov\imagery\scanned_maps\moe_terrain_maps\Scanned_T_maps_all\C03\C03-538")</f>
        <v>\\imagefiles.bcgov\imagery\scanned_maps\moe_terrain_maps\Scanned_T_maps_all\C03\C03-538</v>
      </c>
      <c r="S421" t="s">
        <v>62</v>
      </c>
      <c r="T421" s="11" t="str">
        <f>HYPERLINK("http://www.env.gov.bc.ca/esd/distdata/ecosystems/TEI_Scanned_Maps/C03/C03-538","http://www.env.gov.bc.ca/esd/distdata/ecosystems/TEI_Scanned_Maps/C03/C03-538")</f>
        <v>http://www.env.gov.bc.ca/esd/distdata/ecosystems/TEI_Scanned_Maps/C03/C03-538</v>
      </c>
      <c r="U421" t="s">
        <v>58</v>
      </c>
      <c r="V421" t="s">
        <v>58</v>
      </c>
      <c r="W421" t="s">
        <v>58</v>
      </c>
      <c r="X421" t="s">
        <v>58</v>
      </c>
      <c r="Y421" t="s">
        <v>58</v>
      </c>
      <c r="Z421" t="s">
        <v>58</v>
      </c>
      <c r="AA421" t="s">
        <v>58</v>
      </c>
      <c r="AC421" t="s">
        <v>58</v>
      </c>
      <c r="AE421" t="s">
        <v>58</v>
      </c>
      <c r="AG421" t="s">
        <v>63</v>
      </c>
      <c r="AH421" s="11" t="str">
        <f t="shared" si="9"/>
        <v>mailto: soilterrain@victoria1.gov.bc.ca</v>
      </c>
    </row>
    <row r="422" spans="1:34">
      <c r="A422" t="s">
        <v>1111</v>
      </c>
      <c r="B422" t="s">
        <v>56</v>
      </c>
      <c r="C422" s="10" t="s">
        <v>1112</v>
      </c>
      <c r="D422" t="s">
        <v>58</v>
      </c>
      <c r="E422" t="s">
        <v>497</v>
      </c>
      <c r="F422" t="s">
        <v>502</v>
      </c>
      <c r="G422">
        <v>50000</v>
      </c>
      <c r="H422">
        <v>1987</v>
      </c>
      <c r="I422" t="s">
        <v>58</v>
      </c>
      <c r="J422" t="s">
        <v>58</v>
      </c>
      <c r="K422" t="s">
        <v>58</v>
      </c>
      <c r="L422" t="s">
        <v>58</v>
      </c>
      <c r="M422" t="s">
        <v>58</v>
      </c>
      <c r="N422" t="s">
        <v>61</v>
      </c>
      <c r="Q422" t="s">
        <v>58</v>
      </c>
      <c r="R422" s="11" t="str">
        <f>HYPERLINK("\\imagefiles.bcgov\imagery\scanned_maps\moe_terrain_maps\Scanned_T_maps_all\C03\C03-540","\\imagefiles.bcgov\imagery\scanned_maps\moe_terrain_maps\Scanned_T_maps_all\C03\C03-540")</f>
        <v>\\imagefiles.bcgov\imagery\scanned_maps\moe_terrain_maps\Scanned_T_maps_all\C03\C03-540</v>
      </c>
      <c r="S422" t="s">
        <v>62</v>
      </c>
      <c r="T422" s="11" t="str">
        <f>HYPERLINK("http://www.env.gov.bc.ca/esd/distdata/ecosystems/TEI_Scanned_Maps/C03/C03-540","http://www.env.gov.bc.ca/esd/distdata/ecosystems/TEI_Scanned_Maps/C03/C03-540")</f>
        <v>http://www.env.gov.bc.ca/esd/distdata/ecosystems/TEI_Scanned_Maps/C03/C03-540</v>
      </c>
      <c r="U422" t="s">
        <v>58</v>
      </c>
      <c r="V422" t="s">
        <v>58</v>
      </c>
      <c r="W422" t="s">
        <v>58</v>
      </c>
      <c r="X422" t="s">
        <v>58</v>
      </c>
      <c r="Y422" t="s">
        <v>58</v>
      </c>
      <c r="Z422" t="s">
        <v>58</v>
      </c>
      <c r="AA422" t="s">
        <v>58</v>
      </c>
      <c r="AC422" t="s">
        <v>58</v>
      </c>
      <c r="AE422" t="s">
        <v>58</v>
      </c>
      <c r="AG422" t="s">
        <v>63</v>
      </c>
      <c r="AH422" s="11" t="str">
        <f t="shared" si="9"/>
        <v>mailto: soilterrain@victoria1.gov.bc.ca</v>
      </c>
    </row>
    <row r="423" spans="1:34">
      <c r="A423" t="s">
        <v>1113</v>
      </c>
      <c r="B423" t="s">
        <v>56</v>
      </c>
      <c r="C423" s="10" t="s">
        <v>1114</v>
      </c>
      <c r="D423" t="s">
        <v>58</v>
      </c>
      <c r="E423" t="s">
        <v>497</v>
      </c>
      <c r="F423" t="s">
        <v>502</v>
      </c>
      <c r="G423">
        <v>50000</v>
      </c>
      <c r="H423">
        <v>1988</v>
      </c>
      <c r="I423" t="s">
        <v>58</v>
      </c>
      <c r="J423" t="s">
        <v>58</v>
      </c>
      <c r="K423" t="s">
        <v>58</v>
      </c>
      <c r="L423" t="s">
        <v>58</v>
      </c>
      <c r="M423" t="s">
        <v>58</v>
      </c>
      <c r="N423" t="s">
        <v>61</v>
      </c>
      <c r="Q423" t="s">
        <v>58</v>
      </c>
      <c r="R423" s="11" t="str">
        <f>HYPERLINK("\\imagefiles.bcgov\imagery\scanned_maps\moe_terrain_maps\Scanned_T_maps_all\C03\C03-560","\\imagefiles.bcgov\imagery\scanned_maps\moe_terrain_maps\Scanned_T_maps_all\C03\C03-560")</f>
        <v>\\imagefiles.bcgov\imagery\scanned_maps\moe_terrain_maps\Scanned_T_maps_all\C03\C03-560</v>
      </c>
      <c r="S423" t="s">
        <v>62</v>
      </c>
      <c r="T423" s="11" t="str">
        <f>HYPERLINK("http://www.env.gov.bc.ca/esd/distdata/ecosystems/TEI_Scanned_Maps/C03/C03-560","http://www.env.gov.bc.ca/esd/distdata/ecosystems/TEI_Scanned_Maps/C03/C03-560")</f>
        <v>http://www.env.gov.bc.ca/esd/distdata/ecosystems/TEI_Scanned_Maps/C03/C03-560</v>
      </c>
      <c r="U423" t="s">
        <v>58</v>
      </c>
      <c r="V423" t="s">
        <v>58</v>
      </c>
      <c r="W423" t="s">
        <v>58</v>
      </c>
      <c r="X423" t="s">
        <v>58</v>
      </c>
      <c r="Y423" t="s">
        <v>58</v>
      </c>
      <c r="Z423" t="s">
        <v>58</v>
      </c>
      <c r="AA423" t="s">
        <v>58</v>
      </c>
      <c r="AC423" t="s">
        <v>58</v>
      </c>
      <c r="AE423" t="s">
        <v>58</v>
      </c>
      <c r="AG423" t="s">
        <v>63</v>
      </c>
      <c r="AH423" s="11" t="str">
        <f t="shared" si="9"/>
        <v>mailto: soilterrain@victoria1.gov.bc.ca</v>
      </c>
    </row>
    <row r="424" spans="1:34">
      <c r="A424" t="s">
        <v>1115</v>
      </c>
      <c r="B424" t="s">
        <v>56</v>
      </c>
      <c r="C424" s="10" t="s">
        <v>1116</v>
      </c>
      <c r="D424" t="s">
        <v>58</v>
      </c>
      <c r="E424" t="s">
        <v>497</v>
      </c>
      <c r="F424" t="s">
        <v>502</v>
      </c>
      <c r="G424">
        <v>50000</v>
      </c>
      <c r="H424">
        <v>1987</v>
      </c>
      <c r="I424" t="s">
        <v>58</v>
      </c>
      <c r="J424" t="s">
        <v>58</v>
      </c>
      <c r="K424" t="s">
        <v>58</v>
      </c>
      <c r="L424" t="s">
        <v>58</v>
      </c>
      <c r="M424" t="s">
        <v>58</v>
      </c>
      <c r="N424" t="s">
        <v>61</v>
      </c>
      <c r="Q424" t="s">
        <v>58</v>
      </c>
      <c r="R424" s="11" t="str">
        <f>HYPERLINK("\\imagefiles.bcgov\imagery\scanned_maps\moe_terrain_maps\Scanned_T_maps_all\C03\C03-562","\\imagefiles.bcgov\imagery\scanned_maps\moe_terrain_maps\Scanned_T_maps_all\C03\C03-562")</f>
        <v>\\imagefiles.bcgov\imagery\scanned_maps\moe_terrain_maps\Scanned_T_maps_all\C03\C03-562</v>
      </c>
      <c r="S424" t="s">
        <v>62</v>
      </c>
      <c r="T424" s="11" t="str">
        <f>HYPERLINK("http://www.env.gov.bc.ca/esd/distdata/ecosystems/TEI_Scanned_Maps/C03/C03-562","http://www.env.gov.bc.ca/esd/distdata/ecosystems/TEI_Scanned_Maps/C03/C03-562")</f>
        <v>http://www.env.gov.bc.ca/esd/distdata/ecosystems/TEI_Scanned_Maps/C03/C03-562</v>
      </c>
      <c r="U424" t="s">
        <v>58</v>
      </c>
      <c r="V424" t="s">
        <v>58</v>
      </c>
      <c r="W424" t="s">
        <v>58</v>
      </c>
      <c r="X424" t="s">
        <v>58</v>
      </c>
      <c r="Y424" t="s">
        <v>58</v>
      </c>
      <c r="Z424" t="s">
        <v>58</v>
      </c>
      <c r="AA424" t="s">
        <v>58</v>
      </c>
      <c r="AC424" t="s">
        <v>58</v>
      </c>
      <c r="AE424" t="s">
        <v>58</v>
      </c>
      <c r="AG424" t="s">
        <v>63</v>
      </c>
      <c r="AH424" s="11" t="str">
        <f t="shared" si="9"/>
        <v>mailto: soilterrain@victoria1.gov.bc.ca</v>
      </c>
    </row>
    <row r="425" spans="1:34">
      <c r="A425" t="s">
        <v>1117</v>
      </c>
      <c r="B425" t="s">
        <v>56</v>
      </c>
      <c r="C425" s="10" t="s">
        <v>1118</v>
      </c>
      <c r="D425" t="s">
        <v>58</v>
      </c>
      <c r="E425" t="s">
        <v>497</v>
      </c>
      <c r="F425" t="s">
        <v>508</v>
      </c>
      <c r="G425">
        <v>50000</v>
      </c>
      <c r="H425">
        <v>1987</v>
      </c>
      <c r="I425" t="s">
        <v>58</v>
      </c>
      <c r="J425" t="s">
        <v>58</v>
      </c>
      <c r="K425" t="s">
        <v>58</v>
      </c>
      <c r="L425" t="s">
        <v>58</v>
      </c>
      <c r="M425" t="s">
        <v>58</v>
      </c>
      <c r="N425" t="s">
        <v>61</v>
      </c>
      <c r="Q425" t="s">
        <v>58</v>
      </c>
      <c r="R425" s="11" t="str">
        <f>HYPERLINK("\\imagefiles.bcgov\imagery\scanned_maps\moe_terrain_maps\Scanned_T_maps_all\C03\C03-564","\\imagefiles.bcgov\imagery\scanned_maps\moe_terrain_maps\Scanned_T_maps_all\C03\C03-564")</f>
        <v>\\imagefiles.bcgov\imagery\scanned_maps\moe_terrain_maps\Scanned_T_maps_all\C03\C03-564</v>
      </c>
      <c r="S425" t="s">
        <v>62</v>
      </c>
      <c r="T425" s="11" t="str">
        <f>HYPERLINK("http://www.env.gov.bc.ca/esd/distdata/ecosystems/TEI_Scanned_Maps/C03/C03-564","http://www.env.gov.bc.ca/esd/distdata/ecosystems/TEI_Scanned_Maps/C03/C03-564")</f>
        <v>http://www.env.gov.bc.ca/esd/distdata/ecosystems/TEI_Scanned_Maps/C03/C03-564</v>
      </c>
      <c r="U425" t="s">
        <v>58</v>
      </c>
      <c r="V425" t="s">
        <v>58</v>
      </c>
      <c r="W425" t="s">
        <v>58</v>
      </c>
      <c r="X425" t="s">
        <v>58</v>
      </c>
      <c r="Y425" t="s">
        <v>58</v>
      </c>
      <c r="Z425" t="s">
        <v>58</v>
      </c>
      <c r="AA425" t="s">
        <v>58</v>
      </c>
      <c r="AC425" t="s">
        <v>58</v>
      </c>
      <c r="AE425" t="s">
        <v>58</v>
      </c>
      <c r="AG425" t="s">
        <v>63</v>
      </c>
      <c r="AH425" s="11" t="str">
        <f t="shared" si="9"/>
        <v>mailto: soilterrain@victoria1.gov.bc.ca</v>
      </c>
    </row>
    <row r="426" spans="1:34">
      <c r="A426" t="s">
        <v>1119</v>
      </c>
      <c r="B426" t="s">
        <v>56</v>
      </c>
      <c r="C426" s="10" t="s">
        <v>1120</v>
      </c>
      <c r="D426" t="s">
        <v>58</v>
      </c>
      <c r="E426" t="s">
        <v>497</v>
      </c>
      <c r="F426" t="s">
        <v>502</v>
      </c>
      <c r="G426">
        <v>50000</v>
      </c>
      <c r="H426">
        <v>1986</v>
      </c>
      <c r="I426" t="s">
        <v>58</v>
      </c>
      <c r="J426" t="s">
        <v>58</v>
      </c>
      <c r="K426" t="s">
        <v>58</v>
      </c>
      <c r="L426" t="s">
        <v>58</v>
      </c>
      <c r="M426" t="s">
        <v>58</v>
      </c>
      <c r="N426" t="s">
        <v>61</v>
      </c>
      <c r="Q426" t="s">
        <v>58</v>
      </c>
      <c r="R426" s="11" t="str">
        <f>HYPERLINK("\\imagefiles.bcgov\imagery\scanned_maps\moe_terrain_maps\Scanned_T_maps_all\C03\C03-566","\\imagefiles.bcgov\imagery\scanned_maps\moe_terrain_maps\Scanned_T_maps_all\C03\C03-566")</f>
        <v>\\imagefiles.bcgov\imagery\scanned_maps\moe_terrain_maps\Scanned_T_maps_all\C03\C03-566</v>
      </c>
      <c r="S426" t="s">
        <v>62</v>
      </c>
      <c r="T426" s="11" t="str">
        <f>HYPERLINK("http://www.env.gov.bc.ca/esd/distdata/ecosystems/TEI_Scanned_Maps/C03/C03-566","http://www.env.gov.bc.ca/esd/distdata/ecosystems/TEI_Scanned_Maps/C03/C03-566")</f>
        <v>http://www.env.gov.bc.ca/esd/distdata/ecosystems/TEI_Scanned_Maps/C03/C03-566</v>
      </c>
      <c r="U426" t="s">
        <v>58</v>
      </c>
      <c r="V426" t="s">
        <v>58</v>
      </c>
      <c r="W426" t="s">
        <v>58</v>
      </c>
      <c r="X426" t="s">
        <v>58</v>
      </c>
      <c r="Y426" t="s">
        <v>58</v>
      </c>
      <c r="Z426" t="s">
        <v>58</v>
      </c>
      <c r="AA426" t="s">
        <v>58</v>
      </c>
      <c r="AC426" t="s">
        <v>58</v>
      </c>
      <c r="AE426" t="s">
        <v>58</v>
      </c>
      <c r="AG426" t="s">
        <v>63</v>
      </c>
      <c r="AH426" s="11" t="str">
        <f t="shared" si="9"/>
        <v>mailto: soilterrain@victoria1.gov.bc.ca</v>
      </c>
    </row>
    <row r="427" spans="1:34">
      <c r="A427" t="s">
        <v>1121</v>
      </c>
      <c r="B427" t="s">
        <v>56</v>
      </c>
      <c r="C427" s="10" t="s">
        <v>89</v>
      </c>
      <c r="D427" t="s">
        <v>58</v>
      </c>
      <c r="E427" t="s">
        <v>497</v>
      </c>
      <c r="F427" t="s">
        <v>502</v>
      </c>
      <c r="G427">
        <v>50000</v>
      </c>
      <c r="H427">
        <v>1989</v>
      </c>
      <c r="I427" t="s">
        <v>58</v>
      </c>
      <c r="J427" t="s">
        <v>58</v>
      </c>
      <c r="K427" t="s">
        <v>58</v>
      </c>
      <c r="L427" t="s">
        <v>58</v>
      </c>
      <c r="M427" t="s">
        <v>58</v>
      </c>
      <c r="N427" t="s">
        <v>61</v>
      </c>
      <c r="Q427" t="s">
        <v>58</v>
      </c>
      <c r="R427" s="11" t="str">
        <f>HYPERLINK("\\imagefiles.bcgov\imagery\scanned_maps\moe_terrain_maps\Scanned_T_maps_all\C03\C03-568","\\imagefiles.bcgov\imagery\scanned_maps\moe_terrain_maps\Scanned_T_maps_all\C03\C03-568")</f>
        <v>\\imagefiles.bcgov\imagery\scanned_maps\moe_terrain_maps\Scanned_T_maps_all\C03\C03-568</v>
      </c>
      <c r="S427" t="s">
        <v>62</v>
      </c>
      <c r="T427" s="11" t="str">
        <f>HYPERLINK("http://www.env.gov.bc.ca/esd/distdata/ecosystems/TEI_Scanned_Maps/C03/C03-568","http://www.env.gov.bc.ca/esd/distdata/ecosystems/TEI_Scanned_Maps/C03/C03-568")</f>
        <v>http://www.env.gov.bc.ca/esd/distdata/ecosystems/TEI_Scanned_Maps/C03/C03-568</v>
      </c>
      <c r="U427" t="s">
        <v>58</v>
      </c>
      <c r="V427" t="s">
        <v>58</v>
      </c>
      <c r="W427" t="s">
        <v>58</v>
      </c>
      <c r="X427" t="s">
        <v>58</v>
      </c>
      <c r="Y427" t="s">
        <v>58</v>
      </c>
      <c r="Z427" t="s">
        <v>58</v>
      </c>
      <c r="AA427" t="s">
        <v>58</v>
      </c>
      <c r="AC427" t="s">
        <v>58</v>
      </c>
      <c r="AE427" t="s">
        <v>58</v>
      </c>
      <c r="AG427" t="s">
        <v>63</v>
      </c>
      <c r="AH427" s="11" t="str">
        <f t="shared" si="9"/>
        <v>mailto: soilterrain@victoria1.gov.bc.ca</v>
      </c>
    </row>
    <row r="428" spans="1:34">
      <c r="A428" t="s">
        <v>1122</v>
      </c>
      <c r="B428" t="s">
        <v>56</v>
      </c>
      <c r="C428" s="10" t="s">
        <v>94</v>
      </c>
      <c r="D428" t="s">
        <v>58</v>
      </c>
      <c r="E428" t="s">
        <v>497</v>
      </c>
      <c r="F428" t="s">
        <v>1123</v>
      </c>
      <c r="G428">
        <v>50000</v>
      </c>
      <c r="H428">
        <v>1988</v>
      </c>
      <c r="I428" t="s">
        <v>58</v>
      </c>
      <c r="J428" t="s">
        <v>58</v>
      </c>
      <c r="K428" t="s">
        <v>58</v>
      </c>
      <c r="L428" t="s">
        <v>58</v>
      </c>
      <c r="M428" t="s">
        <v>58</v>
      </c>
      <c r="N428" t="s">
        <v>61</v>
      </c>
      <c r="Q428" t="s">
        <v>58</v>
      </c>
      <c r="R428" s="11" t="str">
        <f>HYPERLINK("\\imagefiles.bcgov\imagery\scanned_maps\moe_terrain_maps\Scanned_T_maps_all\C03\C03-570","\\imagefiles.bcgov\imagery\scanned_maps\moe_terrain_maps\Scanned_T_maps_all\C03\C03-570")</f>
        <v>\\imagefiles.bcgov\imagery\scanned_maps\moe_terrain_maps\Scanned_T_maps_all\C03\C03-570</v>
      </c>
      <c r="S428" t="s">
        <v>62</v>
      </c>
      <c r="T428" s="11" t="str">
        <f>HYPERLINK("http://www.env.gov.bc.ca/esd/distdata/ecosystems/TEI_Scanned_Maps/C03/C03-570","http://www.env.gov.bc.ca/esd/distdata/ecosystems/TEI_Scanned_Maps/C03/C03-570")</f>
        <v>http://www.env.gov.bc.ca/esd/distdata/ecosystems/TEI_Scanned_Maps/C03/C03-570</v>
      </c>
      <c r="U428" t="s">
        <v>58</v>
      </c>
      <c r="V428" t="s">
        <v>58</v>
      </c>
      <c r="W428" t="s">
        <v>58</v>
      </c>
      <c r="X428" t="s">
        <v>58</v>
      </c>
      <c r="Y428" t="s">
        <v>58</v>
      </c>
      <c r="Z428" t="s">
        <v>58</v>
      </c>
      <c r="AA428" t="s">
        <v>58</v>
      </c>
      <c r="AC428" t="s">
        <v>58</v>
      </c>
      <c r="AE428" t="s">
        <v>58</v>
      </c>
      <c r="AG428" t="s">
        <v>63</v>
      </c>
      <c r="AH428" s="11" t="str">
        <f t="shared" si="9"/>
        <v>mailto: soilterrain@victoria1.gov.bc.ca</v>
      </c>
    </row>
    <row r="429" spans="1:34">
      <c r="A429" t="s">
        <v>1124</v>
      </c>
      <c r="B429" t="s">
        <v>56</v>
      </c>
      <c r="C429" s="10" t="s">
        <v>1125</v>
      </c>
      <c r="D429" t="s">
        <v>58</v>
      </c>
      <c r="E429" t="s">
        <v>497</v>
      </c>
      <c r="F429" t="s">
        <v>1126</v>
      </c>
      <c r="G429">
        <v>50000</v>
      </c>
      <c r="H429">
        <v>1981</v>
      </c>
      <c r="I429" t="s">
        <v>58</v>
      </c>
      <c r="J429" t="s">
        <v>58</v>
      </c>
      <c r="K429" t="s">
        <v>58</v>
      </c>
      <c r="L429" t="s">
        <v>58</v>
      </c>
      <c r="M429" t="s">
        <v>58</v>
      </c>
      <c r="N429" t="s">
        <v>61</v>
      </c>
      <c r="Q429" t="s">
        <v>58</v>
      </c>
      <c r="R429" s="11" t="str">
        <f>HYPERLINK("\\imagefiles.bcgov\imagery\scanned_maps\moe_terrain_maps\Scanned_T_maps_all\C03\C03-572","\\imagefiles.bcgov\imagery\scanned_maps\moe_terrain_maps\Scanned_T_maps_all\C03\C03-572")</f>
        <v>\\imagefiles.bcgov\imagery\scanned_maps\moe_terrain_maps\Scanned_T_maps_all\C03\C03-572</v>
      </c>
      <c r="S429" t="s">
        <v>62</v>
      </c>
      <c r="T429" s="11" t="str">
        <f>HYPERLINK("http://www.env.gov.bc.ca/esd/distdata/ecosystems/TEI_Scanned_Maps/C03/C03-572","http://www.env.gov.bc.ca/esd/distdata/ecosystems/TEI_Scanned_Maps/C03/C03-572")</f>
        <v>http://www.env.gov.bc.ca/esd/distdata/ecosystems/TEI_Scanned_Maps/C03/C03-572</v>
      </c>
      <c r="U429" t="s">
        <v>58</v>
      </c>
      <c r="V429" t="s">
        <v>58</v>
      </c>
      <c r="W429" t="s">
        <v>58</v>
      </c>
      <c r="X429" t="s">
        <v>58</v>
      </c>
      <c r="Y429" t="s">
        <v>58</v>
      </c>
      <c r="Z429" t="s">
        <v>58</v>
      </c>
      <c r="AA429" t="s">
        <v>58</v>
      </c>
      <c r="AC429" t="s">
        <v>58</v>
      </c>
      <c r="AE429" t="s">
        <v>58</v>
      </c>
      <c r="AG429" t="s">
        <v>63</v>
      </c>
      <c r="AH429" s="11" t="str">
        <f t="shared" si="9"/>
        <v>mailto: soilterrain@victoria1.gov.bc.ca</v>
      </c>
    </row>
    <row r="430" spans="1:34">
      <c r="A430" t="s">
        <v>1127</v>
      </c>
      <c r="B430" t="s">
        <v>56</v>
      </c>
      <c r="C430" s="10" t="s">
        <v>1128</v>
      </c>
      <c r="D430" t="s">
        <v>58</v>
      </c>
      <c r="E430" t="s">
        <v>497</v>
      </c>
      <c r="F430" t="s">
        <v>502</v>
      </c>
      <c r="G430">
        <v>50000</v>
      </c>
      <c r="H430">
        <v>1987</v>
      </c>
      <c r="I430" t="s">
        <v>58</v>
      </c>
      <c r="J430" t="s">
        <v>58</v>
      </c>
      <c r="K430" t="s">
        <v>58</v>
      </c>
      <c r="L430" t="s">
        <v>58</v>
      </c>
      <c r="M430" t="s">
        <v>58</v>
      </c>
      <c r="N430" t="s">
        <v>61</v>
      </c>
      <c r="Q430" t="s">
        <v>58</v>
      </c>
      <c r="R430" s="11" t="str">
        <f>HYPERLINK("\\imagefiles.bcgov\imagery\scanned_maps\moe_terrain_maps\Scanned_T_maps_all\C03\C03-574","\\imagefiles.bcgov\imagery\scanned_maps\moe_terrain_maps\Scanned_T_maps_all\C03\C03-574")</f>
        <v>\\imagefiles.bcgov\imagery\scanned_maps\moe_terrain_maps\Scanned_T_maps_all\C03\C03-574</v>
      </c>
      <c r="S430" t="s">
        <v>62</v>
      </c>
      <c r="T430" s="11" t="str">
        <f>HYPERLINK("http://www.env.gov.bc.ca/esd/distdata/ecosystems/TEI_Scanned_Maps/C03/C03-574","http://www.env.gov.bc.ca/esd/distdata/ecosystems/TEI_Scanned_Maps/C03/C03-574")</f>
        <v>http://www.env.gov.bc.ca/esd/distdata/ecosystems/TEI_Scanned_Maps/C03/C03-574</v>
      </c>
      <c r="U430" t="s">
        <v>58</v>
      </c>
      <c r="V430" t="s">
        <v>58</v>
      </c>
      <c r="W430" t="s">
        <v>58</v>
      </c>
      <c r="X430" t="s">
        <v>58</v>
      </c>
      <c r="Y430" t="s">
        <v>58</v>
      </c>
      <c r="Z430" t="s">
        <v>58</v>
      </c>
      <c r="AA430" t="s">
        <v>58</v>
      </c>
      <c r="AC430" t="s">
        <v>58</v>
      </c>
      <c r="AE430" t="s">
        <v>58</v>
      </c>
      <c r="AG430" t="s">
        <v>63</v>
      </c>
      <c r="AH430" s="11" t="str">
        <f t="shared" si="9"/>
        <v>mailto: soilterrain@victoria1.gov.bc.ca</v>
      </c>
    </row>
    <row r="431" spans="1:34">
      <c r="A431" t="s">
        <v>1129</v>
      </c>
      <c r="B431" t="s">
        <v>56</v>
      </c>
      <c r="C431" s="10" t="s">
        <v>1130</v>
      </c>
      <c r="D431" t="s">
        <v>58</v>
      </c>
      <c r="E431" t="s">
        <v>497</v>
      </c>
      <c r="F431" t="s">
        <v>502</v>
      </c>
      <c r="G431">
        <v>50000</v>
      </c>
      <c r="H431">
        <v>1987</v>
      </c>
      <c r="I431" t="s">
        <v>58</v>
      </c>
      <c r="J431" t="s">
        <v>58</v>
      </c>
      <c r="K431" t="s">
        <v>58</v>
      </c>
      <c r="L431" t="s">
        <v>58</v>
      </c>
      <c r="M431" t="s">
        <v>58</v>
      </c>
      <c r="N431" t="s">
        <v>61</v>
      </c>
      <c r="Q431" t="s">
        <v>58</v>
      </c>
      <c r="R431" s="11" t="str">
        <f>HYPERLINK("\\imagefiles.bcgov\imagery\scanned_maps\moe_terrain_maps\Scanned_T_maps_all\C03\C03-576","\\imagefiles.bcgov\imagery\scanned_maps\moe_terrain_maps\Scanned_T_maps_all\C03\C03-576")</f>
        <v>\\imagefiles.bcgov\imagery\scanned_maps\moe_terrain_maps\Scanned_T_maps_all\C03\C03-576</v>
      </c>
      <c r="S431" t="s">
        <v>62</v>
      </c>
      <c r="T431" s="11" t="str">
        <f>HYPERLINK("http://www.env.gov.bc.ca/esd/distdata/ecosystems/TEI_Scanned_Maps/C03/C03-576","http://www.env.gov.bc.ca/esd/distdata/ecosystems/TEI_Scanned_Maps/C03/C03-576")</f>
        <v>http://www.env.gov.bc.ca/esd/distdata/ecosystems/TEI_Scanned_Maps/C03/C03-576</v>
      </c>
      <c r="U431" t="s">
        <v>58</v>
      </c>
      <c r="V431" t="s">
        <v>58</v>
      </c>
      <c r="W431" t="s">
        <v>58</v>
      </c>
      <c r="X431" t="s">
        <v>58</v>
      </c>
      <c r="Y431" t="s">
        <v>58</v>
      </c>
      <c r="Z431" t="s">
        <v>58</v>
      </c>
      <c r="AA431" t="s">
        <v>58</v>
      </c>
      <c r="AC431" t="s">
        <v>58</v>
      </c>
      <c r="AE431" t="s">
        <v>58</v>
      </c>
      <c r="AG431" t="s">
        <v>63</v>
      </c>
      <c r="AH431" s="11" t="str">
        <f t="shared" si="9"/>
        <v>mailto: soilterrain@victoria1.gov.bc.ca</v>
      </c>
    </row>
    <row r="432" spans="1:34">
      <c r="A432" t="s">
        <v>1131</v>
      </c>
      <c r="B432" t="s">
        <v>56</v>
      </c>
      <c r="C432" s="10" t="s">
        <v>1132</v>
      </c>
      <c r="D432" t="s">
        <v>58</v>
      </c>
      <c r="E432" t="s">
        <v>497</v>
      </c>
      <c r="F432" t="s">
        <v>508</v>
      </c>
      <c r="G432">
        <v>50000</v>
      </c>
      <c r="H432">
        <v>1986</v>
      </c>
      <c r="I432" t="s">
        <v>58</v>
      </c>
      <c r="J432" t="s">
        <v>58</v>
      </c>
      <c r="K432" t="s">
        <v>58</v>
      </c>
      <c r="L432" t="s">
        <v>58</v>
      </c>
      <c r="M432" t="s">
        <v>58</v>
      </c>
      <c r="N432" t="s">
        <v>61</v>
      </c>
      <c r="Q432" t="s">
        <v>58</v>
      </c>
      <c r="R432" s="11" t="str">
        <f>HYPERLINK("\\imagefiles.bcgov\imagery\scanned_maps\moe_terrain_maps\Scanned_T_maps_all\C03\C03-578","\\imagefiles.bcgov\imagery\scanned_maps\moe_terrain_maps\Scanned_T_maps_all\C03\C03-578")</f>
        <v>\\imagefiles.bcgov\imagery\scanned_maps\moe_terrain_maps\Scanned_T_maps_all\C03\C03-578</v>
      </c>
      <c r="S432" t="s">
        <v>62</v>
      </c>
      <c r="T432" s="11" t="str">
        <f>HYPERLINK("http://www.env.gov.bc.ca/esd/distdata/ecosystems/TEI_Scanned_Maps/C03/C03-578","http://www.env.gov.bc.ca/esd/distdata/ecosystems/TEI_Scanned_Maps/C03/C03-578")</f>
        <v>http://www.env.gov.bc.ca/esd/distdata/ecosystems/TEI_Scanned_Maps/C03/C03-578</v>
      </c>
      <c r="U432" t="s">
        <v>58</v>
      </c>
      <c r="V432" t="s">
        <v>58</v>
      </c>
      <c r="W432" t="s">
        <v>58</v>
      </c>
      <c r="X432" t="s">
        <v>58</v>
      </c>
      <c r="Y432" t="s">
        <v>58</v>
      </c>
      <c r="Z432" t="s">
        <v>58</v>
      </c>
      <c r="AA432" t="s">
        <v>58</v>
      </c>
      <c r="AC432" t="s">
        <v>58</v>
      </c>
      <c r="AE432" t="s">
        <v>58</v>
      </c>
      <c r="AG432" t="s">
        <v>63</v>
      </c>
      <c r="AH432" s="11" t="str">
        <f t="shared" si="9"/>
        <v>mailto: soilterrain@victoria1.gov.bc.ca</v>
      </c>
    </row>
    <row r="433" spans="1:34">
      <c r="A433" t="s">
        <v>1133</v>
      </c>
      <c r="B433" t="s">
        <v>56</v>
      </c>
      <c r="C433" s="10" t="s">
        <v>1134</v>
      </c>
      <c r="D433" t="s">
        <v>58</v>
      </c>
      <c r="E433" t="s">
        <v>497</v>
      </c>
      <c r="F433" t="s">
        <v>502</v>
      </c>
      <c r="G433">
        <v>50000</v>
      </c>
      <c r="H433">
        <v>1989</v>
      </c>
      <c r="I433" t="s">
        <v>58</v>
      </c>
      <c r="J433" t="s">
        <v>58</v>
      </c>
      <c r="K433" t="s">
        <v>58</v>
      </c>
      <c r="L433" t="s">
        <v>58</v>
      </c>
      <c r="M433" t="s">
        <v>58</v>
      </c>
      <c r="N433" t="s">
        <v>61</v>
      </c>
      <c r="Q433" t="s">
        <v>58</v>
      </c>
      <c r="R433" s="11" t="str">
        <f>HYPERLINK("\\imagefiles.bcgov\imagery\scanned_maps\moe_terrain_maps\Scanned_T_maps_all\C03\C03-580","\\imagefiles.bcgov\imagery\scanned_maps\moe_terrain_maps\Scanned_T_maps_all\C03\C03-580")</f>
        <v>\\imagefiles.bcgov\imagery\scanned_maps\moe_terrain_maps\Scanned_T_maps_all\C03\C03-580</v>
      </c>
      <c r="S433" t="s">
        <v>62</v>
      </c>
      <c r="T433" s="11" t="str">
        <f>HYPERLINK("http://www.env.gov.bc.ca/esd/distdata/ecosystems/TEI_Scanned_Maps/C03/C03-580","http://www.env.gov.bc.ca/esd/distdata/ecosystems/TEI_Scanned_Maps/C03/C03-580")</f>
        <v>http://www.env.gov.bc.ca/esd/distdata/ecosystems/TEI_Scanned_Maps/C03/C03-580</v>
      </c>
      <c r="U433" t="s">
        <v>58</v>
      </c>
      <c r="V433" t="s">
        <v>58</v>
      </c>
      <c r="W433" t="s">
        <v>58</v>
      </c>
      <c r="X433" t="s">
        <v>58</v>
      </c>
      <c r="Y433" t="s">
        <v>58</v>
      </c>
      <c r="Z433" t="s">
        <v>58</v>
      </c>
      <c r="AA433" t="s">
        <v>58</v>
      </c>
      <c r="AC433" t="s">
        <v>58</v>
      </c>
      <c r="AE433" t="s">
        <v>58</v>
      </c>
      <c r="AG433" t="s">
        <v>63</v>
      </c>
      <c r="AH433" s="11" t="str">
        <f t="shared" si="9"/>
        <v>mailto: soilterrain@victoria1.gov.bc.ca</v>
      </c>
    </row>
    <row r="434" spans="1:34">
      <c r="A434" t="s">
        <v>1135</v>
      </c>
      <c r="B434" t="s">
        <v>56</v>
      </c>
      <c r="C434" s="10" t="s">
        <v>1136</v>
      </c>
      <c r="D434" t="s">
        <v>58</v>
      </c>
      <c r="E434" t="s">
        <v>497</v>
      </c>
      <c r="F434" t="s">
        <v>502</v>
      </c>
      <c r="G434">
        <v>50000</v>
      </c>
      <c r="H434">
        <v>1988</v>
      </c>
      <c r="I434" t="s">
        <v>58</v>
      </c>
      <c r="J434" t="s">
        <v>58</v>
      </c>
      <c r="K434" t="s">
        <v>58</v>
      </c>
      <c r="L434" t="s">
        <v>58</v>
      </c>
      <c r="M434" t="s">
        <v>58</v>
      </c>
      <c r="N434" t="s">
        <v>61</v>
      </c>
      <c r="Q434" t="s">
        <v>58</v>
      </c>
      <c r="R434" s="11" t="str">
        <f>HYPERLINK("\\imagefiles.bcgov\imagery\scanned_maps\moe_terrain_maps\Scanned_T_maps_all\C03\C03-582","\\imagefiles.bcgov\imagery\scanned_maps\moe_terrain_maps\Scanned_T_maps_all\C03\C03-582")</f>
        <v>\\imagefiles.bcgov\imagery\scanned_maps\moe_terrain_maps\Scanned_T_maps_all\C03\C03-582</v>
      </c>
      <c r="S434" t="s">
        <v>62</v>
      </c>
      <c r="T434" s="11" t="str">
        <f>HYPERLINK("http://www.env.gov.bc.ca/esd/distdata/ecosystems/TEI_Scanned_Maps/C03/C03-582","http://www.env.gov.bc.ca/esd/distdata/ecosystems/TEI_Scanned_Maps/C03/C03-582")</f>
        <v>http://www.env.gov.bc.ca/esd/distdata/ecosystems/TEI_Scanned_Maps/C03/C03-582</v>
      </c>
      <c r="U434" t="s">
        <v>58</v>
      </c>
      <c r="V434" t="s">
        <v>58</v>
      </c>
      <c r="W434" t="s">
        <v>58</v>
      </c>
      <c r="X434" t="s">
        <v>58</v>
      </c>
      <c r="Y434" t="s">
        <v>58</v>
      </c>
      <c r="Z434" t="s">
        <v>58</v>
      </c>
      <c r="AA434" t="s">
        <v>58</v>
      </c>
      <c r="AC434" t="s">
        <v>58</v>
      </c>
      <c r="AE434" t="s">
        <v>58</v>
      </c>
      <c r="AG434" t="s">
        <v>63</v>
      </c>
      <c r="AH434" s="11" t="str">
        <f t="shared" si="9"/>
        <v>mailto: soilterrain@victoria1.gov.bc.ca</v>
      </c>
    </row>
    <row r="435" spans="1:34">
      <c r="A435" t="s">
        <v>1137</v>
      </c>
      <c r="B435" t="s">
        <v>56</v>
      </c>
      <c r="C435" s="10" t="s">
        <v>1138</v>
      </c>
      <c r="D435" t="s">
        <v>58</v>
      </c>
      <c r="E435" t="s">
        <v>497</v>
      </c>
      <c r="F435" t="s">
        <v>1139</v>
      </c>
      <c r="G435">
        <v>50000</v>
      </c>
      <c r="H435">
        <v>1988</v>
      </c>
      <c r="I435" t="s">
        <v>58</v>
      </c>
      <c r="J435" t="s">
        <v>58</v>
      </c>
      <c r="K435" t="s">
        <v>58</v>
      </c>
      <c r="L435" t="s">
        <v>58</v>
      </c>
      <c r="M435" t="s">
        <v>58</v>
      </c>
      <c r="N435" t="s">
        <v>61</v>
      </c>
      <c r="Q435" t="s">
        <v>58</v>
      </c>
      <c r="R435" s="11" t="str">
        <f>HYPERLINK("\\imagefiles.bcgov\imagery\scanned_maps\moe_terrain_maps\Scanned_T_maps_all\C03\C03-584","\\imagefiles.bcgov\imagery\scanned_maps\moe_terrain_maps\Scanned_T_maps_all\C03\C03-584")</f>
        <v>\\imagefiles.bcgov\imagery\scanned_maps\moe_terrain_maps\Scanned_T_maps_all\C03\C03-584</v>
      </c>
      <c r="S435" t="s">
        <v>62</v>
      </c>
      <c r="T435" s="11" t="str">
        <f>HYPERLINK("http://www.env.gov.bc.ca/esd/distdata/ecosystems/TEI_Scanned_Maps/C03/C03-584","http://www.env.gov.bc.ca/esd/distdata/ecosystems/TEI_Scanned_Maps/C03/C03-584")</f>
        <v>http://www.env.gov.bc.ca/esd/distdata/ecosystems/TEI_Scanned_Maps/C03/C03-584</v>
      </c>
      <c r="U435" t="s">
        <v>58</v>
      </c>
      <c r="V435" t="s">
        <v>58</v>
      </c>
      <c r="W435" t="s">
        <v>58</v>
      </c>
      <c r="X435" t="s">
        <v>58</v>
      </c>
      <c r="Y435" t="s">
        <v>58</v>
      </c>
      <c r="Z435" t="s">
        <v>58</v>
      </c>
      <c r="AA435" t="s">
        <v>58</v>
      </c>
      <c r="AC435" t="s">
        <v>58</v>
      </c>
      <c r="AE435" t="s">
        <v>58</v>
      </c>
      <c r="AG435" t="s">
        <v>63</v>
      </c>
      <c r="AH435" s="11" t="str">
        <f t="shared" si="9"/>
        <v>mailto: soilterrain@victoria1.gov.bc.ca</v>
      </c>
    </row>
    <row r="436" spans="1:34">
      <c r="A436" t="s">
        <v>1140</v>
      </c>
      <c r="B436" t="s">
        <v>56</v>
      </c>
      <c r="C436" s="10" t="s">
        <v>1141</v>
      </c>
      <c r="D436" t="s">
        <v>58</v>
      </c>
      <c r="E436" t="s">
        <v>497</v>
      </c>
      <c r="F436" t="s">
        <v>1139</v>
      </c>
      <c r="G436">
        <v>50000</v>
      </c>
      <c r="H436">
        <v>1987</v>
      </c>
      <c r="I436" t="s">
        <v>58</v>
      </c>
      <c r="J436" t="s">
        <v>58</v>
      </c>
      <c r="K436" t="s">
        <v>58</v>
      </c>
      <c r="L436" t="s">
        <v>58</v>
      </c>
      <c r="M436" t="s">
        <v>58</v>
      </c>
      <c r="N436" t="s">
        <v>61</v>
      </c>
      <c r="Q436" t="s">
        <v>58</v>
      </c>
      <c r="R436" s="11" t="str">
        <f>HYPERLINK("\\imagefiles.bcgov\imagery\scanned_maps\moe_terrain_maps\Scanned_T_maps_all\C03\C03-586","\\imagefiles.bcgov\imagery\scanned_maps\moe_terrain_maps\Scanned_T_maps_all\C03\C03-586")</f>
        <v>\\imagefiles.bcgov\imagery\scanned_maps\moe_terrain_maps\Scanned_T_maps_all\C03\C03-586</v>
      </c>
      <c r="S436" t="s">
        <v>62</v>
      </c>
      <c r="T436" s="11" t="str">
        <f>HYPERLINK("http://www.env.gov.bc.ca/esd/distdata/ecosystems/TEI_Scanned_Maps/C03/C03-586","http://www.env.gov.bc.ca/esd/distdata/ecosystems/TEI_Scanned_Maps/C03/C03-586")</f>
        <v>http://www.env.gov.bc.ca/esd/distdata/ecosystems/TEI_Scanned_Maps/C03/C03-586</v>
      </c>
      <c r="U436" t="s">
        <v>58</v>
      </c>
      <c r="V436" t="s">
        <v>58</v>
      </c>
      <c r="W436" t="s">
        <v>58</v>
      </c>
      <c r="X436" t="s">
        <v>58</v>
      </c>
      <c r="Y436" t="s">
        <v>58</v>
      </c>
      <c r="Z436" t="s">
        <v>58</v>
      </c>
      <c r="AA436" t="s">
        <v>58</v>
      </c>
      <c r="AC436" t="s">
        <v>58</v>
      </c>
      <c r="AE436" t="s">
        <v>58</v>
      </c>
      <c r="AG436" t="s">
        <v>63</v>
      </c>
      <c r="AH436" s="11" t="str">
        <f t="shared" si="9"/>
        <v>mailto: soilterrain@victoria1.gov.bc.ca</v>
      </c>
    </row>
    <row r="437" spans="1:34">
      <c r="A437" t="s">
        <v>1142</v>
      </c>
      <c r="B437" t="s">
        <v>56</v>
      </c>
      <c r="C437" s="10" t="s">
        <v>1143</v>
      </c>
      <c r="D437" t="s">
        <v>58</v>
      </c>
      <c r="E437" t="s">
        <v>497</v>
      </c>
      <c r="F437" t="s">
        <v>502</v>
      </c>
      <c r="G437">
        <v>50000</v>
      </c>
      <c r="H437">
        <v>1987</v>
      </c>
      <c r="I437" t="s">
        <v>58</v>
      </c>
      <c r="J437" t="s">
        <v>58</v>
      </c>
      <c r="K437" t="s">
        <v>58</v>
      </c>
      <c r="L437" t="s">
        <v>58</v>
      </c>
      <c r="M437" t="s">
        <v>58</v>
      </c>
      <c r="N437" t="s">
        <v>61</v>
      </c>
      <c r="Q437" t="s">
        <v>58</v>
      </c>
      <c r="R437" s="11" t="str">
        <f>HYPERLINK("\\imagefiles.bcgov\imagery\scanned_maps\moe_terrain_maps\Scanned_T_maps_all\C03\C03-751","\\imagefiles.bcgov\imagery\scanned_maps\moe_terrain_maps\Scanned_T_maps_all\C03\C03-751")</f>
        <v>\\imagefiles.bcgov\imagery\scanned_maps\moe_terrain_maps\Scanned_T_maps_all\C03\C03-751</v>
      </c>
      <c r="S437" t="s">
        <v>62</v>
      </c>
      <c r="T437" s="11" t="str">
        <f>HYPERLINK("http://www.env.gov.bc.ca/esd/distdata/ecosystems/TEI_Scanned_Maps/C03/C03-751","http://www.env.gov.bc.ca/esd/distdata/ecosystems/TEI_Scanned_Maps/C03/C03-751")</f>
        <v>http://www.env.gov.bc.ca/esd/distdata/ecosystems/TEI_Scanned_Maps/C03/C03-751</v>
      </c>
      <c r="U437" t="s">
        <v>58</v>
      </c>
      <c r="V437" t="s">
        <v>58</v>
      </c>
      <c r="W437" t="s">
        <v>58</v>
      </c>
      <c r="X437" t="s">
        <v>58</v>
      </c>
      <c r="Y437" t="s">
        <v>58</v>
      </c>
      <c r="Z437" t="s">
        <v>58</v>
      </c>
      <c r="AA437" t="s">
        <v>58</v>
      </c>
      <c r="AC437" t="s">
        <v>58</v>
      </c>
      <c r="AE437" t="s">
        <v>58</v>
      </c>
      <c r="AG437" t="s">
        <v>63</v>
      </c>
      <c r="AH437" s="11" t="str">
        <f t="shared" si="9"/>
        <v>mailto: soilterrain@victoria1.gov.bc.ca</v>
      </c>
    </row>
    <row r="438" spans="1:34">
      <c r="A438" t="s">
        <v>1144</v>
      </c>
      <c r="B438" t="s">
        <v>56</v>
      </c>
      <c r="C438" s="10" t="s">
        <v>1145</v>
      </c>
      <c r="D438" t="s">
        <v>58</v>
      </c>
      <c r="E438" t="s">
        <v>497</v>
      </c>
      <c r="F438" t="s">
        <v>502</v>
      </c>
      <c r="G438">
        <v>50000</v>
      </c>
      <c r="H438">
        <v>1986</v>
      </c>
      <c r="I438" t="s">
        <v>58</v>
      </c>
      <c r="J438" t="s">
        <v>58</v>
      </c>
      <c r="K438" t="s">
        <v>58</v>
      </c>
      <c r="L438" t="s">
        <v>58</v>
      </c>
      <c r="M438" t="s">
        <v>58</v>
      </c>
      <c r="N438" t="s">
        <v>61</v>
      </c>
      <c r="Q438" t="s">
        <v>58</v>
      </c>
      <c r="R438" s="11" t="str">
        <f>HYPERLINK("\\imagefiles.bcgov\imagery\scanned_maps\moe_terrain_maps\Scanned_T_maps_all\C03\C03-753","\\imagefiles.bcgov\imagery\scanned_maps\moe_terrain_maps\Scanned_T_maps_all\C03\C03-753")</f>
        <v>\\imagefiles.bcgov\imagery\scanned_maps\moe_terrain_maps\Scanned_T_maps_all\C03\C03-753</v>
      </c>
      <c r="S438" t="s">
        <v>62</v>
      </c>
      <c r="T438" s="11" t="str">
        <f>HYPERLINK("http://www.env.gov.bc.ca/esd/distdata/ecosystems/TEI_Scanned_Maps/C03/C03-753","http://www.env.gov.bc.ca/esd/distdata/ecosystems/TEI_Scanned_Maps/C03/C03-753")</f>
        <v>http://www.env.gov.bc.ca/esd/distdata/ecosystems/TEI_Scanned_Maps/C03/C03-753</v>
      </c>
      <c r="U438" t="s">
        <v>58</v>
      </c>
      <c r="V438" t="s">
        <v>58</v>
      </c>
      <c r="W438" t="s">
        <v>58</v>
      </c>
      <c r="X438" t="s">
        <v>58</v>
      </c>
      <c r="Y438" t="s">
        <v>58</v>
      </c>
      <c r="Z438" t="s">
        <v>58</v>
      </c>
      <c r="AA438" t="s">
        <v>58</v>
      </c>
      <c r="AC438" t="s">
        <v>58</v>
      </c>
      <c r="AE438" t="s">
        <v>58</v>
      </c>
      <c r="AG438" t="s">
        <v>63</v>
      </c>
      <c r="AH438" s="11" t="str">
        <f t="shared" si="9"/>
        <v>mailto: soilterrain@victoria1.gov.bc.ca</v>
      </c>
    </row>
    <row r="439" spans="1:34">
      <c r="A439" t="s">
        <v>1146</v>
      </c>
      <c r="B439" t="s">
        <v>56</v>
      </c>
      <c r="C439" s="10" t="s">
        <v>1147</v>
      </c>
      <c r="D439" t="s">
        <v>58</v>
      </c>
      <c r="E439" t="s">
        <v>497</v>
      </c>
      <c r="F439" t="s">
        <v>508</v>
      </c>
      <c r="G439">
        <v>50000</v>
      </c>
      <c r="H439">
        <v>1989</v>
      </c>
      <c r="I439" t="s">
        <v>58</v>
      </c>
      <c r="J439" t="s">
        <v>58</v>
      </c>
      <c r="K439" t="s">
        <v>58</v>
      </c>
      <c r="L439" t="s">
        <v>58</v>
      </c>
      <c r="M439" t="s">
        <v>58</v>
      </c>
      <c r="N439" t="s">
        <v>61</v>
      </c>
      <c r="Q439" t="s">
        <v>58</v>
      </c>
      <c r="R439" s="11" t="str">
        <f>HYPERLINK("\\imagefiles.bcgov\imagery\scanned_maps\moe_terrain_maps\Scanned_T_maps_all\C03\C03-755","\\imagefiles.bcgov\imagery\scanned_maps\moe_terrain_maps\Scanned_T_maps_all\C03\C03-755")</f>
        <v>\\imagefiles.bcgov\imagery\scanned_maps\moe_terrain_maps\Scanned_T_maps_all\C03\C03-755</v>
      </c>
      <c r="S439" t="s">
        <v>62</v>
      </c>
      <c r="T439" s="11" t="str">
        <f>HYPERLINK("http://www.env.gov.bc.ca/esd/distdata/ecosystems/TEI_Scanned_Maps/C03/C03-755","http://www.env.gov.bc.ca/esd/distdata/ecosystems/TEI_Scanned_Maps/C03/C03-755")</f>
        <v>http://www.env.gov.bc.ca/esd/distdata/ecosystems/TEI_Scanned_Maps/C03/C03-755</v>
      </c>
      <c r="U439" t="s">
        <v>58</v>
      </c>
      <c r="V439" t="s">
        <v>58</v>
      </c>
      <c r="W439" t="s">
        <v>58</v>
      </c>
      <c r="X439" t="s">
        <v>58</v>
      </c>
      <c r="Y439" t="s">
        <v>58</v>
      </c>
      <c r="Z439" t="s">
        <v>58</v>
      </c>
      <c r="AA439" t="s">
        <v>58</v>
      </c>
      <c r="AC439" t="s">
        <v>58</v>
      </c>
      <c r="AE439" t="s">
        <v>58</v>
      </c>
      <c r="AG439" t="s">
        <v>63</v>
      </c>
      <c r="AH439" s="11" t="str">
        <f t="shared" si="9"/>
        <v>mailto: soilterrain@victoria1.gov.bc.ca</v>
      </c>
    </row>
    <row r="440" spans="1:34">
      <c r="A440" t="s">
        <v>1148</v>
      </c>
      <c r="B440" t="s">
        <v>56</v>
      </c>
      <c r="C440" s="10" t="s">
        <v>1149</v>
      </c>
      <c r="D440" t="s">
        <v>58</v>
      </c>
      <c r="E440" t="s">
        <v>497</v>
      </c>
      <c r="F440" t="s">
        <v>502</v>
      </c>
      <c r="G440">
        <v>50000</v>
      </c>
      <c r="H440">
        <v>1988</v>
      </c>
      <c r="I440" t="s">
        <v>58</v>
      </c>
      <c r="J440" t="s">
        <v>58</v>
      </c>
      <c r="K440" t="s">
        <v>58</v>
      </c>
      <c r="L440" t="s">
        <v>58</v>
      </c>
      <c r="M440" t="s">
        <v>58</v>
      </c>
      <c r="N440" t="s">
        <v>61</v>
      </c>
      <c r="Q440" t="s">
        <v>58</v>
      </c>
      <c r="R440" s="11" t="str">
        <f>HYPERLINK("\\imagefiles.bcgov\imagery\scanned_maps\moe_terrain_maps\Scanned_T_maps_all\C03\C03-757","\\imagefiles.bcgov\imagery\scanned_maps\moe_terrain_maps\Scanned_T_maps_all\C03\C03-757")</f>
        <v>\\imagefiles.bcgov\imagery\scanned_maps\moe_terrain_maps\Scanned_T_maps_all\C03\C03-757</v>
      </c>
      <c r="S440" t="s">
        <v>62</v>
      </c>
      <c r="T440" s="11" t="str">
        <f>HYPERLINK("http://www.env.gov.bc.ca/esd/distdata/ecosystems/TEI_Scanned_Maps/C03/C03-757","http://www.env.gov.bc.ca/esd/distdata/ecosystems/TEI_Scanned_Maps/C03/C03-757")</f>
        <v>http://www.env.gov.bc.ca/esd/distdata/ecosystems/TEI_Scanned_Maps/C03/C03-757</v>
      </c>
      <c r="U440" t="s">
        <v>58</v>
      </c>
      <c r="V440" t="s">
        <v>58</v>
      </c>
      <c r="W440" t="s">
        <v>58</v>
      </c>
      <c r="X440" t="s">
        <v>58</v>
      </c>
      <c r="Y440" t="s">
        <v>58</v>
      </c>
      <c r="Z440" t="s">
        <v>58</v>
      </c>
      <c r="AA440" t="s">
        <v>58</v>
      </c>
      <c r="AC440" t="s">
        <v>58</v>
      </c>
      <c r="AE440" t="s">
        <v>58</v>
      </c>
      <c r="AG440" t="s">
        <v>63</v>
      </c>
      <c r="AH440" s="11" t="str">
        <f t="shared" si="9"/>
        <v>mailto: soilterrain@victoria1.gov.bc.ca</v>
      </c>
    </row>
    <row r="441" spans="1:34">
      <c r="A441" t="s">
        <v>1150</v>
      </c>
      <c r="B441" t="s">
        <v>56</v>
      </c>
      <c r="C441" s="10" t="s">
        <v>1151</v>
      </c>
      <c r="D441" t="s">
        <v>58</v>
      </c>
      <c r="E441" t="s">
        <v>497</v>
      </c>
      <c r="F441" t="s">
        <v>502</v>
      </c>
      <c r="G441">
        <v>50000</v>
      </c>
      <c r="H441" t="s">
        <v>187</v>
      </c>
      <c r="I441" t="s">
        <v>58</v>
      </c>
      <c r="J441" t="s">
        <v>58</v>
      </c>
      <c r="K441" t="s">
        <v>58</v>
      </c>
      <c r="L441" t="s">
        <v>58</v>
      </c>
      <c r="M441" t="s">
        <v>58</v>
      </c>
      <c r="N441" t="s">
        <v>61</v>
      </c>
      <c r="Q441" t="s">
        <v>58</v>
      </c>
      <c r="R441" s="11" t="str">
        <f>HYPERLINK("\\imagefiles.bcgov\imagery\scanned_maps\moe_terrain_maps\Scanned_T_maps_all\C03\C03-759","\\imagefiles.bcgov\imagery\scanned_maps\moe_terrain_maps\Scanned_T_maps_all\C03\C03-759")</f>
        <v>\\imagefiles.bcgov\imagery\scanned_maps\moe_terrain_maps\Scanned_T_maps_all\C03\C03-759</v>
      </c>
      <c r="S441" t="s">
        <v>62</v>
      </c>
      <c r="T441" s="11" t="str">
        <f>HYPERLINK("http://www.env.gov.bc.ca/esd/distdata/ecosystems/TEI_Scanned_Maps/C03/C03-759","http://www.env.gov.bc.ca/esd/distdata/ecosystems/TEI_Scanned_Maps/C03/C03-759")</f>
        <v>http://www.env.gov.bc.ca/esd/distdata/ecosystems/TEI_Scanned_Maps/C03/C03-759</v>
      </c>
      <c r="U441" t="s">
        <v>58</v>
      </c>
      <c r="V441" t="s">
        <v>58</v>
      </c>
      <c r="W441" t="s">
        <v>58</v>
      </c>
      <c r="X441" t="s">
        <v>58</v>
      </c>
      <c r="Y441" t="s">
        <v>58</v>
      </c>
      <c r="Z441" t="s">
        <v>58</v>
      </c>
      <c r="AA441" t="s">
        <v>58</v>
      </c>
      <c r="AC441" t="s">
        <v>58</v>
      </c>
      <c r="AE441" t="s">
        <v>58</v>
      </c>
      <c r="AG441" t="s">
        <v>63</v>
      </c>
      <c r="AH441" s="11" t="str">
        <f t="shared" si="9"/>
        <v>mailto: soilterrain@victoria1.gov.bc.ca</v>
      </c>
    </row>
    <row r="442" spans="1:34">
      <c r="A442" t="s">
        <v>1152</v>
      </c>
      <c r="B442" t="s">
        <v>56</v>
      </c>
      <c r="C442" s="10" t="s">
        <v>1153</v>
      </c>
      <c r="D442" t="s">
        <v>58</v>
      </c>
      <c r="E442" t="s">
        <v>497</v>
      </c>
      <c r="F442" t="s">
        <v>502</v>
      </c>
      <c r="G442">
        <v>50000</v>
      </c>
      <c r="H442">
        <v>1988</v>
      </c>
      <c r="I442" t="s">
        <v>58</v>
      </c>
      <c r="J442" t="s">
        <v>58</v>
      </c>
      <c r="K442" t="s">
        <v>58</v>
      </c>
      <c r="L442" t="s">
        <v>58</v>
      </c>
      <c r="M442" t="s">
        <v>58</v>
      </c>
      <c r="N442" t="s">
        <v>61</v>
      </c>
      <c r="Q442" t="s">
        <v>58</v>
      </c>
      <c r="R442" s="11" t="str">
        <f>HYPERLINK("\\imagefiles.bcgov\imagery\scanned_maps\moe_terrain_maps\Scanned_T_maps_all\C03\C03-761","\\imagefiles.bcgov\imagery\scanned_maps\moe_terrain_maps\Scanned_T_maps_all\C03\C03-761")</f>
        <v>\\imagefiles.bcgov\imagery\scanned_maps\moe_terrain_maps\Scanned_T_maps_all\C03\C03-761</v>
      </c>
      <c r="S442" t="s">
        <v>62</v>
      </c>
      <c r="T442" s="11" t="str">
        <f>HYPERLINK("http://www.env.gov.bc.ca/esd/distdata/ecosystems/TEI_Scanned_Maps/C03/C03-761","http://www.env.gov.bc.ca/esd/distdata/ecosystems/TEI_Scanned_Maps/C03/C03-761")</f>
        <v>http://www.env.gov.bc.ca/esd/distdata/ecosystems/TEI_Scanned_Maps/C03/C03-761</v>
      </c>
      <c r="U442" t="s">
        <v>58</v>
      </c>
      <c r="V442" t="s">
        <v>58</v>
      </c>
      <c r="W442" t="s">
        <v>58</v>
      </c>
      <c r="X442" t="s">
        <v>58</v>
      </c>
      <c r="Y442" t="s">
        <v>58</v>
      </c>
      <c r="Z442" t="s">
        <v>58</v>
      </c>
      <c r="AA442" t="s">
        <v>58</v>
      </c>
      <c r="AC442" t="s">
        <v>58</v>
      </c>
      <c r="AE442" t="s">
        <v>58</v>
      </c>
      <c r="AG442" t="s">
        <v>63</v>
      </c>
      <c r="AH442" s="11" t="str">
        <f t="shared" si="9"/>
        <v>mailto: soilterrain@victoria1.gov.bc.ca</v>
      </c>
    </row>
    <row r="443" spans="1:34">
      <c r="A443" t="s">
        <v>1154</v>
      </c>
      <c r="B443" t="s">
        <v>56</v>
      </c>
      <c r="C443" s="10" t="s">
        <v>1155</v>
      </c>
      <c r="D443" t="s">
        <v>58</v>
      </c>
      <c r="E443" t="s">
        <v>497</v>
      </c>
      <c r="F443" t="s">
        <v>508</v>
      </c>
      <c r="G443">
        <v>50000</v>
      </c>
      <c r="H443">
        <v>1987</v>
      </c>
      <c r="I443" t="s">
        <v>58</v>
      </c>
      <c r="J443" t="s">
        <v>58</v>
      </c>
      <c r="K443" t="s">
        <v>58</v>
      </c>
      <c r="L443" t="s">
        <v>58</v>
      </c>
      <c r="M443" t="s">
        <v>58</v>
      </c>
      <c r="N443" t="s">
        <v>61</v>
      </c>
      <c r="Q443" t="s">
        <v>58</v>
      </c>
      <c r="R443" s="11" t="str">
        <f>HYPERLINK("\\imagefiles.bcgov\imagery\scanned_maps\moe_terrain_maps\Scanned_T_maps_all\C03\C03-763","\\imagefiles.bcgov\imagery\scanned_maps\moe_terrain_maps\Scanned_T_maps_all\C03\C03-763")</f>
        <v>\\imagefiles.bcgov\imagery\scanned_maps\moe_terrain_maps\Scanned_T_maps_all\C03\C03-763</v>
      </c>
      <c r="S443" t="s">
        <v>62</v>
      </c>
      <c r="T443" s="11" t="str">
        <f>HYPERLINK("http://www.env.gov.bc.ca/esd/distdata/ecosystems/TEI_Scanned_Maps/C03/C03-763","http://www.env.gov.bc.ca/esd/distdata/ecosystems/TEI_Scanned_Maps/C03/C03-763")</f>
        <v>http://www.env.gov.bc.ca/esd/distdata/ecosystems/TEI_Scanned_Maps/C03/C03-763</v>
      </c>
      <c r="U443" t="s">
        <v>58</v>
      </c>
      <c r="V443" t="s">
        <v>58</v>
      </c>
      <c r="W443" t="s">
        <v>58</v>
      </c>
      <c r="X443" t="s">
        <v>58</v>
      </c>
      <c r="Y443" t="s">
        <v>58</v>
      </c>
      <c r="Z443" t="s">
        <v>58</v>
      </c>
      <c r="AA443" t="s">
        <v>58</v>
      </c>
      <c r="AC443" t="s">
        <v>58</v>
      </c>
      <c r="AE443" t="s">
        <v>58</v>
      </c>
      <c r="AG443" t="s">
        <v>63</v>
      </c>
      <c r="AH443" s="11" t="str">
        <f t="shared" si="9"/>
        <v>mailto: soilterrain@victoria1.gov.bc.ca</v>
      </c>
    </row>
    <row r="444" spans="1:34">
      <c r="A444" t="s">
        <v>1156</v>
      </c>
      <c r="B444" t="s">
        <v>56</v>
      </c>
      <c r="C444" s="10" t="s">
        <v>1157</v>
      </c>
      <c r="D444" t="s">
        <v>58</v>
      </c>
      <c r="E444" t="s">
        <v>497</v>
      </c>
      <c r="F444" t="s">
        <v>502</v>
      </c>
      <c r="G444">
        <v>50000</v>
      </c>
      <c r="H444">
        <v>1987</v>
      </c>
      <c r="I444" t="s">
        <v>58</v>
      </c>
      <c r="J444" t="s">
        <v>58</v>
      </c>
      <c r="K444" t="s">
        <v>58</v>
      </c>
      <c r="L444" t="s">
        <v>58</v>
      </c>
      <c r="M444" t="s">
        <v>58</v>
      </c>
      <c r="N444" t="s">
        <v>61</v>
      </c>
      <c r="Q444" t="s">
        <v>58</v>
      </c>
      <c r="R444" s="11" t="str">
        <f>HYPERLINK("\\imagefiles.bcgov\imagery\scanned_maps\moe_terrain_maps\Scanned_T_maps_all\C03\C03-765","\\imagefiles.bcgov\imagery\scanned_maps\moe_terrain_maps\Scanned_T_maps_all\C03\C03-765")</f>
        <v>\\imagefiles.bcgov\imagery\scanned_maps\moe_terrain_maps\Scanned_T_maps_all\C03\C03-765</v>
      </c>
      <c r="S444" t="s">
        <v>62</v>
      </c>
      <c r="T444" s="11" t="str">
        <f>HYPERLINK("http://www.env.gov.bc.ca/esd/distdata/ecosystems/TEI_Scanned_Maps/C03/C03-765","http://www.env.gov.bc.ca/esd/distdata/ecosystems/TEI_Scanned_Maps/C03/C03-765")</f>
        <v>http://www.env.gov.bc.ca/esd/distdata/ecosystems/TEI_Scanned_Maps/C03/C03-765</v>
      </c>
      <c r="U444" t="s">
        <v>58</v>
      </c>
      <c r="V444" t="s">
        <v>58</v>
      </c>
      <c r="W444" t="s">
        <v>58</v>
      </c>
      <c r="X444" t="s">
        <v>58</v>
      </c>
      <c r="Y444" t="s">
        <v>58</v>
      </c>
      <c r="Z444" t="s">
        <v>58</v>
      </c>
      <c r="AA444" t="s">
        <v>58</v>
      </c>
      <c r="AC444" t="s">
        <v>58</v>
      </c>
      <c r="AE444" t="s">
        <v>58</v>
      </c>
      <c r="AG444" t="s">
        <v>63</v>
      </c>
      <c r="AH444" s="11" t="str">
        <f t="shared" si="9"/>
        <v>mailto: soilterrain@victoria1.gov.bc.ca</v>
      </c>
    </row>
    <row r="445" spans="1:34">
      <c r="A445" t="s">
        <v>1158</v>
      </c>
      <c r="B445" t="s">
        <v>56</v>
      </c>
      <c r="C445" s="10" t="s">
        <v>1159</v>
      </c>
      <c r="D445" t="s">
        <v>58</v>
      </c>
      <c r="E445" t="s">
        <v>497</v>
      </c>
      <c r="F445" t="s">
        <v>502</v>
      </c>
      <c r="G445">
        <v>50000</v>
      </c>
      <c r="H445">
        <v>1986</v>
      </c>
      <c r="I445" t="s">
        <v>58</v>
      </c>
      <c r="J445" t="s">
        <v>58</v>
      </c>
      <c r="K445" t="s">
        <v>58</v>
      </c>
      <c r="L445" t="s">
        <v>58</v>
      </c>
      <c r="M445" t="s">
        <v>58</v>
      </c>
      <c r="N445" t="s">
        <v>61</v>
      </c>
      <c r="Q445" t="s">
        <v>58</v>
      </c>
      <c r="R445" s="11" t="str">
        <f>HYPERLINK("\\imagefiles.bcgov\imagery\scanned_maps\moe_terrain_maps\Scanned_T_maps_all\C03\C03-767","\\imagefiles.bcgov\imagery\scanned_maps\moe_terrain_maps\Scanned_T_maps_all\C03\C03-767")</f>
        <v>\\imagefiles.bcgov\imagery\scanned_maps\moe_terrain_maps\Scanned_T_maps_all\C03\C03-767</v>
      </c>
      <c r="S445" t="s">
        <v>62</v>
      </c>
      <c r="T445" s="11" t="str">
        <f>HYPERLINK("http://www.env.gov.bc.ca/esd/distdata/ecosystems/TEI_Scanned_Maps/C03/C03-767","http://www.env.gov.bc.ca/esd/distdata/ecosystems/TEI_Scanned_Maps/C03/C03-767")</f>
        <v>http://www.env.gov.bc.ca/esd/distdata/ecosystems/TEI_Scanned_Maps/C03/C03-767</v>
      </c>
      <c r="U445" t="s">
        <v>58</v>
      </c>
      <c r="V445" t="s">
        <v>58</v>
      </c>
      <c r="W445" t="s">
        <v>58</v>
      </c>
      <c r="X445" t="s">
        <v>58</v>
      </c>
      <c r="Y445" t="s">
        <v>58</v>
      </c>
      <c r="Z445" t="s">
        <v>58</v>
      </c>
      <c r="AA445" t="s">
        <v>58</v>
      </c>
      <c r="AC445" t="s">
        <v>58</v>
      </c>
      <c r="AE445" t="s">
        <v>58</v>
      </c>
      <c r="AG445" t="s">
        <v>63</v>
      </c>
      <c r="AH445" s="11" t="str">
        <f t="shared" si="9"/>
        <v>mailto: soilterrain@victoria1.gov.bc.ca</v>
      </c>
    </row>
    <row r="446" spans="1:34">
      <c r="A446" t="s">
        <v>1160</v>
      </c>
      <c r="B446" t="s">
        <v>56</v>
      </c>
      <c r="C446" s="10" t="s">
        <v>1161</v>
      </c>
      <c r="D446" t="s">
        <v>58</v>
      </c>
      <c r="E446" t="s">
        <v>497</v>
      </c>
      <c r="F446" t="s">
        <v>502</v>
      </c>
      <c r="G446">
        <v>50000</v>
      </c>
      <c r="H446">
        <v>1989</v>
      </c>
      <c r="I446" t="s">
        <v>58</v>
      </c>
      <c r="J446" t="s">
        <v>58</v>
      </c>
      <c r="K446" t="s">
        <v>58</v>
      </c>
      <c r="L446" t="s">
        <v>58</v>
      </c>
      <c r="M446" t="s">
        <v>58</v>
      </c>
      <c r="N446" t="s">
        <v>61</v>
      </c>
      <c r="Q446" t="s">
        <v>58</v>
      </c>
      <c r="R446" s="11" t="str">
        <f>HYPERLINK("\\imagefiles.bcgov\imagery\scanned_maps\moe_terrain_maps\Scanned_T_maps_all\C03\C03-769","\\imagefiles.bcgov\imagery\scanned_maps\moe_terrain_maps\Scanned_T_maps_all\C03\C03-769")</f>
        <v>\\imagefiles.bcgov\imagery\scanned_maps\moe_terrain_maps\Scanned_T_maps_all\C03\C03-769</v>
      </c>
      <c r="S446" t="s">
        <v>62</v>
      </c>
      <c r="T446" s="11" t="str">
        <f>HYPERLINK("http://www.env.gov.bc.ca/esd/distdata/ecosystems/TEI_Scanned_Maps/C03/C03-769","http://www.env.gov.bc.ca/esd/distdata/ecosystems/TEI_Scanned_Maps/C03/C03-769")</f>
        <v>http://www.env.gov.bc.ca/esd/distdata/ecosystems/TEI_Scanned_Maps/C03/C03-769</v>
      </c>
      <c r="U446" t="s">
        <v>58</v>
      </c>
      <c r="V446" t="s">
        <v>58</v>
      </c>
      <c r="W446" t="s">
        <v>58</v>
      </c>
      <c r="X446" t="s">
        <v>58</v>
      </c>
      <c r="Y446" t="s">
        <v>58</v>
      </c>
      <c r="Z446" t="s">
        <v>58</v>
      </c>
      <c r="AA446" t="s">
        <v>58</v>
      </c>
      <c r="AC446" t="s">
        <v>58</v>
      </c>
      <c r="AE446" t="s">
        <v>58</v>
      </c>
      <c r="AG446" t="s">
        <v>63</v>
      </c>
      <c r="AH446" s="11" t="str">
        <f t="shared" si="9"/>
        <v>mailto: soilterrain@victoria1.gov.bc.ca</v>
      </c>
    </row>
    <row r="447" spans="1:34">
      <c r="A447" t="s">
        <v>1162</v>
      </c>
      <c r="B447" t="s">
        <v>56</v>
      </c>
      <c r="C447" s="10" t="s">
        <v>1163</v>
      </c>
      <c r="D447" t="s">
        <v>58</v>
      </c>
      <c r="E447" t="s">
        <v>497</v>
      </c>
      <c r="F447" t="s">
        <v>508</v>
      </c>
      <c r="G447">
        <v>50000</v>
      </c>
      <c r="H447">
        <v>1988</v>
      </c>
      <c r="I447" t="s">
        <v>58</v>
      </c>
      <c r="J447" t="s">
        <v>58</v>
      </c>
      <c r="K447" t="s">
        <v>58</v>
      </c>
      <c r="L447" t="s">
        <v>58</v>
      </c>
      <c r="M447" t="s">
        <v>58</v>
      </c>
      <c r="N447" t="s">
        <v>61</v>
      </c>
      <c r="Q447" t="s">
        <v>58</v>
      </c>
      <c r="R447" s="11" t="str">
        <f>HYPERLINK("\\imagefiles.bcgov\imagery\scanned_maps\moe_terrain_maps\Scanned_T_maps_all\C03\C03-771","\\imagefiles.bcgov\imagery\scanned_maps\moe_terrain_maps\Scanned_T_maps_all\C03\C03-771")</f>
        <v>\\imagefiles.bcgov\imagery\scanned_maps\moe_terrain_maps\Scanned_T_maps_all\C03\C03-771</v>
      </c>
      <c r="S447" t="s">
        <v>62</v>
      </c>
      <c r="T447" s="11" t="str">
        <f>HYPERLINK("http://www.env.gov.bc.ca/esd/distdata/ecosystems/TEI_Scanned_Maps/C03/C03-771","http://www.env.gov.bc.ca/esd/distdata/ecosystems/TEI_Scanned_Maps/C03/C03-771")</f>
        <v>http://www.env.gov.bc.ca/esd/distdata/ecosystems/TEI_Scanned_Maps/C03/C03-771</v>
      </c>
      <c r="U447" t="s">
        <v>58</v>
      </c>
      <c r="V447" t="s">
        <v>58</v>
      </c>
      <c r="W447" t="s">
        <v>58</v>
      </c>
      <c r="X447" t="s">
        <v>58</v>
      </c>
      <c r="Y447" t="s">
        <v>58</v>
      </c>
      <c r="Z447" t="s">
        <v>58</v>
      </c>
      <c r="AA447" t="s">
        <v>58</v>
      </c>
      <c r="AC447" t="s">
        <v>58</v>
      </c>
      <c r="AE447" t="s">
        <v>58</v>
      </c>
      <c r="AG447" t="s">
        <v>63</v>
      </c>
      <c r="AH447" s="11" t="str">
        <f t="shared" si="9"/>
        <v>mailto: soilterrain@victoria1.gov.bc.ca</v>
      </c>
    </row>
    <row r="448" spans="1:34">
      <c r="A448" t="s">
        <v>1164</v>
      </c>
      <c r="B448" t="s">
        <v>56</v>
      </c>
      <c r="C448" s="10" t="s">
        <v>1165</v>
      </c>
      <c r="D448" t="s">
        <v>58</v>
      </c>
      <c r="E448" t="s">
        <v>497</v>
      </c>
      <c r="F448" t="s">
        <v>508</v>
      </c>
      <c r="G448">
        <v>50000</v>
      </c>
      <c r="H448">
        <v>1988</v>
      </c>
      <c r="I448" t="s">
        <v>58</v>
      </c>
      <c r="J448" t="s">
        <v>58</v>
      </c>
      <c r="K448" t="s">
        <v>58</v>
      </c>
      <c r="L448" t="s">
        <v>58</v>
      </c>
      <c r="M448" t="s">
        <v>58</v>
      </c>
      <c r="N448" t="s">
        <v>61</v>
      </c>
      <c r="Q448" t="s">
        <v>58</v>
      </c>
      <c r="R448" s="11" t="str">
        <f>HYPERLINK("\\imagefiles.bcgov\imagery\scanned_maps\moe_terrain_maps\Scanned_T_maps_all\C03\C03-774","\\imagefiles.bcgov\imagery\scanned_maps\moe_terrain_maps\Scanned_T_maps_all\C03\C03-774")</f>
        <v>\\imagefiles.bcgov\imagery\scanned_maps\moe_terrain_maps\Scanned_T_maps_all\C03\C03-774</v>
      </c>
      <c r="S448" t="s">
        <v>62</v>
      </c>
      <c r="T448" s="11" t="str">
        <f>HYPERLINK("http://www.env.gov.bc.ca/esd/distdata/ecosystems/TEI_Scanned_Maps/C03/C03-774","http://www.env.gov.bc.ca/esd/distdata/ecosystems/TEI_Scanned_Maps/C03/C03-774")</f>
        <v>http://www.env.gov.bc.ca/esd/distdata/ecosystems/TEI_Scanned_Maps/C03/C03-774</v>
      </c>
      <c r="U448" t="s">
        <v>58</v>
      </c>
      <c r="V448" t="s">
        <v>58</v>
      </c>
      <c r="W448" t="s">
        <v>58</v>
      </c>
      <c r="X448" t="s">
        <v>58</v>
      </c>
      <c r="Y448" t="s">
        <v>58</v>
      </c>
      <c r="Z448" t="s">
        <v>58</v>
      </c>
      <c r="AA448" t="s">
        <v>58</v>
      </c>
      <c r="AC448" t="s">
        <v>58</v>
      </c>
      <c r="AE448" t="s">
        <v>58</v>
      </c>
      <c r="AG448" t="s">
        <v>63</v>
      </c>
      <c r="AH448" s="11" t="str">
        <f t="shared" si="9"/>
        <v>mailto: soilterrain@victoria1.gov.bc.ca</v>
      </c>
    </row>
    <row r="449" spans="1:34">
      <c r="A449" t="s">
        <v>1166</v>
      </c>
      <c r="B449" t="s">
        <v>56</v>
      </c>
      <c r="C449" s="10" t="s">
        <v>1167</v>
      </c>
      <c r="D449" t="s">
        <v>58</v>
      </c>
      <c r="E449" t="s">
        <v>497</v>
      </c>
      <c r="F449" t="s">
        <v>508</v>
      </c>
      <c r="G449">
        <v>50000</v>
      </c>
      <c r="H449">
        <v>1987</v>
      </c>
      <c r="I449" t="s">
        <v>58</v>
      </c>
      <c r="J449" t="s">
        <v>58</v>
      </c>
      <c r="K449" t="s">
        <v>58</v>
      </c>
      <c r="L449" t="s">
        <v>58</v>
      </c>
      <c r="M449" t="s">
        <v>58</v>
      </c>
      <c r="N449" t="s">
        <v>61</v>
      </c>
      <c r="Q449" t="s">
        <v>58</v>
      </c>
      <c r="R449" s="11" t="str">
        <f>HYPERLINK("\\imagefiles.bcgov\imagery\scanned_maps\moe_terrain_maps\Scanned_T_maps_all\C03\C03-777","\\imagefiles.bcgov\imagery\scanned_maps\moe_terrain_maps\Scanned_T_maps_all\C03\C03-777")</f>
        <v>\\imagefiles.bcgov\imagery\scanned_maps\moe_terrain_maps\Scanned_T_maps_all\C03\C03-777</v>
      </c>
      <c r="S449" t="s">
        <v>62</v>
      </c>
      <c r="T449" s="11" t="str">
        <f>HYPERLINK("http://www.env.gov.bc.ca/esd/distdata/ecosystems/TEI_Scanned_Maps/C03/C03-777","http://www.env.gov.bc.ca/esd/distdata/ecosystems/TEI_Scanned_Maps/C03/C03-777")</f>
        <v>http://www.env.gov.bc.ca/esd/distdata/ecosystems/TEI_Scanned_Maps/C03/C03-777</v>
      </c>
      <c r="U449" t="s">
        <v>58</v>
      </c>
      <c r="V449" t="s">
        <v>58</v>
      </c>
      <c r="W449" t="s">
        <v>58</v>
      </c>
      <c r="X449" t="s">
        <v>58</v>
      </c>
      <c r="Y449" t="s">
        <v>58</v>
      </c>
      <c r="Z449" t="s">
        <v>58</v>
      </c>
      <c r="AA449" t="s">
        <v>58</v>
      </c>
      <c r="AC449" t="s">
        <v>58</v>
      </c>
      <c r="AE449" t="s">
        <v>58</v>
      </c>
      <c r="AG449" t="s">
        <v>63</v>
      </c>
      <c r="AH449" s="11" t="str">
        <f t="shared" si="9"/>
        <v>mailto: soilterrain@victoria1.gov.bc.ca</v>
      </c>
    </row>
    <row r="450" spans="1:34">
      <c r="A450" t="s">
        <v>1168</v>
      </c>
      <c r="B450" t="s">
        <v>56</v>
      </c>
      <c r="C450" s="10" t="s">
        <v>1169</v>
      </c>
      <c r="D450" t="s">
        <v>58</v>
      </c>
      <c r="E450" t="s">
        <v>497</v>
      </c>
      <c r="F450" t="s">
        <v>508</v>
      </c>
      <c r="G450">
        <v>50000</v>
      </c>
      <c r="H450">
        <v>1987</v>
      </c>
      <c r="I450" t="s">
        <v>58</v>
      </c>
      <c r="J450" t="s">
        <v>58</v>
      </c>
      <c r="K450" t="s">
        <v>58</v>
      </c>
      <c r="L450" t="s">
        <v>58</v>
      </c>
      <c r="M450" t="s">
        <v>58</v>
      </c>
      <c r="N450" t="s">
        <v>61</v>
      </c>
      <c r="Q450" t="s">
        <v>58</v>
      </c>
      <c r="R450" s="11" t="str">
        <f>HYPERLINK("\\imagefiles.bcgov\imagery\scanned_maps\moe_terrain_maps\Scanned_T_maps_all\C03\C03-780","\\imagefiles.bcgov\imagery\scanned_maps\moe_terrain_maps\Scanned_T_maps_all\C03\C03-780")</f>
        <v>\\imagefiles.bcgov\imagery\scanned_maps\moe_terrain_maps\Scanned_T_maps_all\C03\C03-780</v>
      </c>
      <c r="S450" t="s">
        <v>62</v>
      </c>
      <c r="T450" s="11" t="str">
        <f>HYPERLINK("http://www.env.gov.bc.ca/esd/distdata/ecosystems/TEI_Scanned_Maps/C03/C03-780","http://www.env.gov.bc.ca/esd/distdata/ecosystems/TEI_Scanned_Maps/C03/C03-780")</f>
        <v>http://www.env.gov.bc.ca/esd/distdata/ecosystems/TEI_Scanned_Maps/C03/C03-780</v>
      </c>
      <c r="U450" t="s">
        <v>58</v>
      </c>
      <c r="V450" t="s">
        <v>58</v>
      </c>
      <c r="W450" t="s">
        <v>58</v>
      </c>
      <c r="X450" t="s">
        <v>58</v>
      </c>
      <c r="Y450" t="s">
        <v>58</v>
      </c>
      <c r="Z450" t="s">
        <v>58</v>
      </c>
      <c r="AA450" t="s">
        <v>58</v>
      </c>
      <c r="AC450" t="s">
        <v>58</v>
      </c>
      <c r="AE450" t="s">
        <v>58</v>
      </c>
      <c r="AG450" t="s">
        <v>63</v>
      </c>
      <c r="AH450" s="11" t="str">
        <f t="shared" ref="AH450:AH513" si="10">HYPERLINK("mailto: soilterrain@victoria1.gov.bc.ca","mailto: soilterrain@victoria1.gov.bc.ca")</f>
        <v>mailto: soilterrain@victoria1.gov.bc.ca</v>
      </c>
    </row>
    <row r="451" spans="1:34">
      <c r="A451" t="s">
        <v>1170</v>
      </c>
      <c r="B451" t="s">
        <v>56</v>
      </c>
      <c r="C451" s="10" t="s">
        <v>1171</v>
      </c>
      <c r="D451" t="s">
        <v>58</v>
      </c>
      <c r="E451" t="s">
        <v>497</v>
      </c>
      <c r="F451" t="s">
        <v>502</v>
      </c>
      <c r="G451">
        <v>50000</v>
      </c>
      <c r="H451">
        <v>1986</v>
      </c>
      <c r="I451" t="s">
        <v>58</v>
      </c>
      <c r="J451" t="s">
        <v>58</v>
      </c>
      <c r="K451" t="s">
        <v>58</v>
      </c>
      <c r="L451" t="s">
        <v>58</v>
      </c>
      <c r="M451" t="s">
        <v>58</v>
      </c>
      <c r="N451" t="s">
        <v>61</v>
      </c>
      <c r="Q451" t="s">
        <v>58</v>
      </c>
      <c r="R451" s="11" t="str">
        <f>HYPERLINK("\\imagefiles.bcgov\imagery\scanned_maps\moe_terrain_maps\Scanned_T_maps_all\C03\C03-783","\\imagefiles.bcgov\imagery\scanned_maps\moe_terrain_maps\Scanned_T_maps_all\C03\C03-783")</f>
        <v>\\imagefiles.bcgov\imagery\scanned_maps\moe_terrain_maps\Scanned_T_maps_all\C03\C03-783</v>
      </c>
      <c r="S451" t="s">
        <v>62</v>
      </c>
      <c r="T451" s="11" t="str">
        <f>HYPERLINK("http://www.env.gov.bc.ca/esd/distdata/ecosystems/TEI_Scanned_Maps/C03/C03-783","http://www.env.gov.bc.ca/esd/distdata/ecosystems/TEI_Scanned_Maps/C03/C03-783")</f>
        <v>http://www.env.gov.bc.ca/esd/distdata/ecosystems/TEI_Scanned_Maps/C03/C03-783</v>
      </c>
      <c r="U451" t="s">
        <v>58</v>
      </c>
      <c r="V451" t="s">
        <v>58</v>
      </c>
      <c r="W451" t="s">
        <v>58</v>
      </c>
      <c r="X451" t="s">
        <v>58</v>
      </c>
      <c r="Y451" t="s">
        <v>58</v>
      </c>
      <c r="Z451" t="s">
        <v>58</v>
      </c>
      <c r="AA451" t="s">
        <v>58</v>
      </c>
      <c r="AC451" t="s">
        <v>58</v>
      </c>
      <c r="AE451" t="s">
        <v>58</v>
      </c>
      <c r="AG451" t="s">
        <v>63</v>
      </c>
      <c r="AH451" s="11" t="str">
        <f t="shared" si="10"/>
        <v>mailto: soilterrain@victoria1.gov.bc.ca</v>
      </c>
    </row>
    <row r="452" spans="1:34">
      <c r="A452" t="s">
        <v>1172</v>
      </c>
      <c r="B452" t="s">
        <v>56</v>
      </c>
      <c r="C452" s="10" t="s">
        <v>1173</v>
      </c>
      <c r="D452" t="s">
        <v>58</v>
      </c>
      <c r="E452" t="s">
        <v>497</v>
      </c>
      <c r="F452" t="s">
        <v>502</v>
      </c>
      <c r="G452">
        <v>50000</v>
      </c>
      <c r="H452">
        <v>1989</v>
      </c>
      <c r="I452" t="s">
        <v>58</v>
      </c>
      <c r="J452" t="s">
        <v>58</v>
      </c>
      <c r="K452" t="s">
        <v>58</v>
      </c>
      <c r="L452" t="s">
        <v>58</v>
      </c>
      <c r="M452" t="s">
        <v>58</v>
      </c>
      <c r="N452" t="s">
        <v>61</v>
      </c>
      <c r="Q452" t="s">
        <v>58</v>
      </c>
      <c r="R452" s="11" t="str">
        <f>HYPERLINK("\\imagefiles.bcgov\imagery\scanned_maps\moe_terrain_maps\Scanned_T_maps_all\C03\C03-785","\\imagefiles.bcgov\imagery\scanned_maps\moe_terrain_maps\Scanned_T_maps_all\C03\C03-785")</f>
        <v>\\imagefiles.bcgov\imagery\scanned_maps\moe_terrain_maps\Scanned_T_maps_all\C03\C03-785</v>
      </c>
      <c r="S452" t="s">
        <v>62</v>
      </c>
      <c r="T452" s="11" t="str">
        <f>HYPERLINK("http://www.env.gov.bc.ca/esd/distdata/ecosystems/TEI_Scanned_Maps/C03/C03-785","http://www.env.gov.bc.ca/esd/distdata/ecosystems/TEI_Scanned_Maps/C03/C03-785")</f>
        <v>http://www.env.gov.bc.ca/esd/distdata/ecosystems/TEI_Scanned_Maps/C03/C03-785</v>
      </c>
      <c r="U452" t="s">
        <v>58</v>
      </c>
      <c r="V452" t="s">
        <v>58</v>
      </c>
      <c r="W452" t="s">
        <v>58</v>
      </c>
      <c r="X452" t="s">
        <v>58</v>
      </c>
      <c r="Y452" t="s">
        <v>58</v>
      </c>
      <c r="Z452" t="s">
        <v>58</v>
      </c>
      <c r="AA452" t="s">
        <v>58</v>
      </c>
      <c r="AC452" t="s">
        <v>58</v>
      </c>
      <c r="AE452" t="s">
        <v>58</v>
      </c>
      <c r="AG452" t="s">
        <v>63</v>
      </c>
      <c r="AH452" s="11" t="str">
        <f t="shared" si="10"/>
        <v>mailto: soilterrain@victoria1.gov.bc.ca</v>
      </c>
    </row>
    <row r="453" spans="1:34">
      <c r="A453" t="s">
        <v>1174</v>
      </c>
      <c r="B453" t="s">
        <v>56</v>
      </c>
      <c r="C453" s="10" t="s">
        <v>923</v>
      </c>
      <c r="D453" t="s">
        <v>58</v>
      </c>
      <c r="E453" t="s">
        <v>497</v>
      </c>
      <c r="F453" t="s">
        <v>508</v>
      </c>
      <c r="G453">
        <v>50000</v>
      </c>
      <c r="H453">
        <v>1988</v>
      </c>
      <c r="I453" t="s">
        <v>58</v>
      </c>
      <c r="J453" t="s">
        <v>58</v>
      </c>
      <c r="K453" t="s">
        <v>58</v>
      </c>
      <c r="L453" t="s">
        <v>58</v>
      </c>
      <c r="M453" t="s">
        <v>58</v>
      </c>
      <c r="N453" t="s">
        <v>61</v>
      </c>
      <c r="Q453" t="s">
        <v>58</v>
      </c>
      <c r="R453" s="11" t="str">
        <f>HYPERLINK("\\imagefiles.bcgov\imagery\scanned_maps\moe_terrain_maps\Scanned_T_maps_all\C03\C03-806","\\imagefiles.bcgov\imagery\scanned_maps\moe_terrain_maps\Scanned_T_maps_all\C03\C03-806")</f>
        <v>\\imagefiles.bcgov\imagery\scanned_maps\moe_terrain_maps\Scanned_T_maps_all\C03\C03-806</v>
      </c>
      <c r="S453" t="s">
        <v>62</v>
      </c>
      <c r="T453" s="11" t="str">
        <f>HYPERLINK("http://www.env.gov.bc.ca/esd/distdata/ecosystems/TEI_Scanned_Maps/C03/C03-806","http://www.env.gov.bc.ca/esd/distdata/ecosystems/TEI_Scanned_Maps/C03/C03-806")</f>
        <v>http://www.env.gov.bc.ca/esd/distdata/ecosystems/TEI_Scanned_Maps/C03/C03-806</v>
      </c>
      <c r="U453" t="s">
        <v>58</v>
      </c>
      <c r="V453" t="s">
        <v>58</v>
      </c>
      <c r="W453" t="s">
        <v>58</v>
      </c>
      <c r="X453" t="s">
        <v>58</v>
      </c>
      <c r="Y453" t="s">
        <v>58</v>
      </c>
      <c r="Z453" t="s">
        <v>58</v>
      </c>
      <c r="AA453" t="s">
        <v>58</v>
      </c>
      <c r="AC453" t="s">
        <v>58</v>
      </c>
      <c r="AE453" t="s">
        <v>58</v>
      </c>
      <c r="AG453" t="s">
        <v>63</v>
      </c>
      <c r="AH453" s="11" t="str">
        <f t="shared" si="10"/>
        <v>mailto: soilterrain@victoria1.gov.bc.ca</v>
      </c>
    </row>
    <row r="454" spans="1:34">
      <c r="A454" t="s">
        <v>1175</v>
      </c>
      <c r="B454" t="s">
        <v>56</v>
      </c>
      <c r="C454" s="10" t="s">
        <v>1176</v>
      </c>
      <c r="D454" t="s">
        <v>58</v>
      </c>
      <c r="E454" t="s">
        <v>497</v>
      </c>
      <c r="F454" t="s">
        <v>508</v>
      </c>
      <c r="G454">
        <v>50000</v>
      </c>
      <c r="H454">
        <v>1988</v>
      </c>
      <c r="I454" t="s">
        <v>58</v>
      </c>
      <c r="J454" t="s">
        <v>58</v>
      </c>
      <c r="K454" t="s">
        <v>58</v>
      </c>
      <c r="L454" t="s">
        <v>58</v>
      </c>
      <c r="M454" t="s">
        <v>58</v>
      </c>
      <c r="N454" t="s">
        <v>61</v>
      </c>
      <c r="Q454" t="s">
        <v>58</v>
      </c>
      <c r="R454" s="11" t="str">
        <f>HYPERLINK("\\imagefiles.bcgov\imagery\scanned_maps\moe_terrain_maps\Scanned_T_maps_all\C03\C03-808","\\imagefiles.bcgov\imagery\scanned_maps\moe_terrain_maps\Scanned_T_maps_all\C03\C03-808")</f>
        <v>\\imagefiles.bcgov\imagery\scanned_maps\moe_terrain_maps\Scanned_T_maps_all\C03\C03-808</v>
      </c>
      <c r="S454" t="s">
        <v>62</v>
      </c>
      <c r="T454" s="11" t="str">
        <f>HYPERLINK("http://www.env.gov.bc.ca/esd/distdata/ecosystems/TEI_Scanned_Maps/C03/C03-808","http://www.env.gov.bc.ca/esd/distdata/ecosystems/TEI_Scanned_Maps/C03/C03-808")</f>
        <v>http://www.env.gov.bc.ca/esd/distdata/ecosystems/TEI_Scanned_Maps/C03/C03-808</v>
      </c>
      <c r="U454" t="s">
        <v>58</v>
      </c>
      <c r="V454" t="s">
        <v>58</v>
      </c>
      <c r="W454" t="s">
        <v>58</v>
      </c>
      <c r="X454" t="s">
        <v>58</v>
      </c>
      <c r="Y454" t="s">
        <v>58</v>
      </c>
      <c r="Z454" t="s">
        <v>58</v>
      </c>
      <c r="AA454" t="s">
        <v>58</v>
      </c>
      <c r="AC454" t="s">
        <v>58</v>
      </c>
      <c r="AE454" t="s">
        <v>58</v>
      </c>
      <c r="AG454" t="s">
        <v>63</v>
      </c>
      <c r="AH454" s="11" t="str">
        <f t="shared" si="10"/>
        <v>mailto: soilterrain@victoria1.gov.bc.ca</v>
      </c>
    </row>
    <row r="455" spans="1:34">
      <c r="A455" t="s">
        <v>1177</v>
      </c>
      <c r="B455" t="s">
        <v>56</v>
      </c>
      <c r="C455" s="10" t="s">
        <v>927</v>
      </c>
      <c r="D455" t="s">
        <v>58</v>
      </c>
      <c r="E455" t="s">
        <v>497</v>
      </c>
      <c r="F455" t="s">
        <v>508</v>
      </c>
      <c r="G455">
        <v>50000</v>
      </c>
      <c r="H455">
        <v>1987</v>
      </c>
      <c r="I455" t="s">
        <v>58</v>
      </c>
      <c r="J455" t="s">
        <v>58</v>
      </c>
      <c r="K455" t="s">
        <v>58</v>
      </c>
      <c r="L455" t="s">
        <v>58</v>
      </c>
      <c r="M455" t="s">
        <v>58</v>
      </c>
      <c r="N455" t="s">
        <v>61</v>
      </c>
      <c r="Q455" t="s">
        <v>58</v>
      </c>
      <c r="R455" s="11" t="str">
        <f>HYPERLINK("\\imagefiles.bcgov\imagery\scanned_maps\moe_terrain_maps\Scanned_T_maps_all\C03\C03-810","\\imagefiles.bcgov\imagery\scanned_maps\moe_terrain_maps\Scanned_T_maps_all\C03\C03-810")</f>
        <v>\\imagefiles.bcgov\imagery\scanned_maps\moe_terrain_maps\Scanned_T_maps_all\C03\C03-810</v>
      </c>
      <c r="S455" t="s">
        <v>62</v>
      </c>
      <c r="T455" s="11" t="str">
        <f>HYPERLINK("http://www.env.gov.bc.ca/esd/distdata/ecosystems/TEI_Scanned_Maps/C03/C03-810","http://www.env.gov.bc.ca/esd/distdata/ecosystems/TEI_Scanned_Maps/C03/C03-810")</f>
        <v>http://www.env.gov.bc.ca/esd/distdata/ecosystems/TEI_Scanned_Maps/C03/C03-810</v>
      </c>
      <c r="U455" t="s">
        <v>58</v>
      </c>
      <c r="V455" t="s">
        <v>58</v>
      </c>
      <c r="W455" t="s">
        <v>58</v>
      </c>
      <c r="X455" t="s">
        <v>58</v>
      </c>
      <c r="Y455" t="s">
        <v>58</v>
      </c>
      <c r="Z455" t="s">
        <v>58</v>
      </c>
      <c r="AA455" t="s">
        <v>58</v>
      </c>
      <c r="AC455" t="s">
        <v>58</v>
      </c>
      <c r="AE455" t="s">
        <v>58</v>
      </c>
      <c r="AG455" t="s">
        <v>63</v>
      </c>
      <c r="AH455" s="11" t="str">
        <f t="shared" si="10"/>
        <v>mailto: soilterrain@victoria1.gov.bc.ca</v>
      </c>
    </row>
    <row r="456" spans="1:34">
      <c r="A456" t="s">
        <v>1178</v>
      </c>
      <c r="B456" t="s">
        <v>56</v>
      </c>
      <c r="C456" s="10" t="s">
        <v>1179</v>
      </c>
      <c r="D456" t="s">
        <v>58</v>
      </c>
      <c r="E456" t="s">
        <v>497</v>
      </c>
      <c r="F456" t="s">
        <v>508</v>
      </c>
      <c r="G456">
        <v>50000</v>
      </c>
      <c r="H456">
        <v>1987</v>
      </c>
      <c r="I456" t="s">
        <v>58</v>
      </c>
      <c r="J456" t="s">
        <v>58</v>
      </c>
      <c r="K456" t="s">
        <v>58</v>
      </c>
      <c r="L456" t="s">
        <v>58</v>
      </c>
      <c r="M456" t="s">
        <v>58</v>
      </c>
      <c r="N456" t="s">
        <v>61</v>
      </c>
      <c r="Q456" t="s">
        <v>58</v>
      </c>
      <c r="R456" s="11" t="str">
        <f>HYPERLINK("\\imagefiles.bcgov\imagery\scanned_maps\moe_terrain_maps\Scanned_T_maps_all\C03\C03-812","\\imagefiles.bcgov\imagery\scanned_maps\moe_terrain_maps\Scanned_T_maps_all\C03\C03-812")</f>
        <v>\\imagefiles.bcgov\imagery\scanned_maps\moe_terrain_maps\Scanned_T_maps_all\C03\C03-812</v>
      </c>
      <c r="S456" t="s">
        <v>62</v>
      </c>
      <c r="T456" s="11" t="str">
        <f>HYPERLINK("http://www.env.gov.bc.ca/esd/distdata/ecosystems/TEI_Scanned_Maps/C03/C03-812","http://www.env.gov.bc.ca/esd/distdata/ecosystems/TEI_Scanned_Maps/C03/C03-812")</f>
        <v>http://www.env.gov.bc.ca/esd/distdata/ecosystems/TEI_Scanned_Maps/C03/C03-812</v>
      </c>
      <c r="U456" t="s">
        <v>58</v>
      </c>
      <c r="V456" t="s">
        <v>58</v>
      </c>
      <c r="W456" t="s">
        <v>58</v>
      </c>
      <c r="X456" t="s">
        <v>58</v>
      </c>
      <c r="Y456" t="s">
        <v>58</v>
      </c>
      <c r="Z456" t="s">
        <v>58</v>
      </c>
      <c r="AA456" t="s">
        <v>58</v>
      </c>
      <c r="AC456" t="s">
        <v>58</v>
      </c>
      <c r="AE456" t="s">
        <v>58</v>
      </c>
      <c r="AG456" t="s">
        <v>63</v>
      </c>
      <c r="AH456" s="11" t="str">
        <f t="shared" si="10"/>
        <v>mailto: soilterrain@victoria1.gov.bc.ca</v>
      </c>
    </row>
    <row r="457" spans="1:34">
      <c r="A457" t="s">
        <v>1180</v>
      </c>
      <c r="B457" t="s">
        <v>56</v>
      </c>
      <c r="C457" s="10" t="s">
        <v>930</v>
      </c>
      <c r="D457" t="s">
        <v>58</v>
      </c>
      <c r="E457" t="s">
        <v>497</v>
      </c>
      <c r="F457" t="s">
        <v>508</v>
      </c>
      <c r="G457">
        <v>50000</v>
      </c>
      <c r="H457">
        <v>1986</v>
      </c>
      <c r="I457" t="s">
        <v>58</v>
      </c>
      <c r="J457" t="s">
        <v>58</v>
      </c>
      <c r="K457" t="s">
        <v>58</v>
      </c>
      <c r="L457" t="s">
        <v>58</v>
      </c>
      <c r="M457" t="s">
        <v>58</v>
      </c>
      <c r="N457" t="s">
        <v>61</v>
      </c>
      <c r="Q457" t="s">
        <v>58</v>
      </c>
      <c r="R457" s="11" t="str">
        <f>HYPERLINK("\\imagefiles.bcgov\imagery\scanned_maps\moe_terrain_maps\Scanned_T_maps_all\C03\C03-814","\\imagefiles.bcgov\imagery\scanned_maps\moe_terrain_maps\Scanned_T_maps_all\C03\C03-814")</f>
        <v>\\imagefiles.bcgov\imagery\scanned_maps\moe_terrain_maps\Scanned_T_maps_all\C03\C03-814</v>
      </c>
      <c r="S457" t="s">
        <v>62</v>
      </c>
      <c r="T457" s="11" t="str">
        <f>HYPERLINK("http://www.env.gov.bc.ca/esd/distdata/ecosystems/TEI_Scanned_Maps/C03/C03-814","http://www.env.gov.bc.ca/esd/distdata/ecosystems/TEI_Scanned_Maps/C03/C03-814")</f>
        <v>http://www.env.gov.bc.ca/esd/distdata/ecosystems/TEI_Scanned_Maps/C03/C03-814</v>
      </c>
      <c r="U457" t="s">
        <v>58</v>
      </c>
      <c r="V457" t="s">
        <v>58</v>
      </c>
      <c r="W457" t="s">
        <v>58</v>
      </c>
      <c r="X457" t="s">
        <v>58</v>
      </c>
      <c r="Y457" t="s">
        <v>58</v>
      </c>
      <c r="Z457" t="s">
        <v>58</v>
      </c>
      <c r="AA457" t="s">
        <v>58</v>
      </c>
      <c r="AC457" t="s">
        <v>58</v>
      </c>
      <c r="AE457" t="s">
        <v>58</v>
      </c>
      <c r="AG457" t="s">
        <v>63</v>
      </c>
      <c r="AH457" s="11" t="str">
        <f t="shared" si="10"/>
        <v>mailto: soilterrain@victoria1.gov.bc.ca</v>
      </c>
    </row>
    <row r="458" spans="1:34">
      <c r="A458" t="s">
        <v>1181</v>
      </c>
      <c r="B458" t="s">
        <v>56</v>
      </c>
      <c r="C458" s="10" t="s">
        <v>933</v>
      </c>
      <c r="D458" t="s">
        <v>58</v>
      </c>
      <c r="E458" t="s">
        <v>497</v>
      </c>
      <c r="F458" t="s">
        <v>508</v>
      </c>
      <c r="G458">
        <v>50000</v>
      </c>
      <c r="H458">
        <v>1989</v>
      </c>
      <c r="I458" t="s">
        <v>58</v>
      </c>
      <c r="J458" t="s">
        <v>58</v>
      </c>
      <c r="K458" t="s">
        <v>58</v>
      </c>
      <c r="L458" t="s">
        <v>58</v>
      </c>
      <c r="M458" t="s">
        <v>58</v>
      </c>
      <c r="N458" t="s">
        <v>61</v>
      </c>
      <c r="Q458" t="s">
        <v>58</v>
      </c>
      <c r="R458" s="11" t="str">
        <f>HYPERLINK("\\imagefiles.bcgov\imagery\scanned_maps\moe_terrain_maps\Scanned_T_maps_all\C03\C03-816","\\imagefiles.bcgov\imagery\scanned_maps\moe_terrain_maps\Scanned_T_maps_all\C03\C03-816")</f>
        <v>\\imagefiles.bcgov\imagery\scanned_maps\moe_terrain_maps\Scanned_T_maps_all\C03\C03-816</v>
      </c>
      <c r="S458" t="s">
        <v>62</v>
      </c>
      <c r="T458" s="11" t="str">
        <f>HYPERLINK("http://www.env.gov.bc.ca/esd/distdata/ecosystems/TEI_Scanned_Maps/C03/C03-816","http://www.env.gov.bc.ca/esd/distdata/ecosystems/TEI_Scanned_Maps/C03/C03-816")</f>
        <v>http://www.env.gov.bc.ca/esd/distdata/ecosystems/TEI_Scanned_Maps/C03/C03-816</v>
      </c>
      <c r="U458" t="s">
        <v>58</v>
      </c>
      <c r="V458" t="s">
        <v>58</v>
      </c>
      <c r="W458" t="s">
        <v>58</v>
      </c>
      <c r="X458" t="s">
        <v>58</v>
      </c>
      <c r="Y458" t="s">
        <v>58</v>
      </c>
      <c r="Z458" t="s">
        <v>58</v>
      </c>
      <c r="AA458" t="s">
        <v>58</v>
      </c>
      <c r="AC458" t="s">
        <v>58</v>
      </c>
      <c r="AE458" t="s">
        <v>58</v>
      </c>
      <c r="AG458" t="s">
        <v>63</v>
      </c>
      <c r="AH458" s="11" t="str">
        <f t="shared" si="10"/>
        <v>mailto: soilterrain@victoria1.gov.bc.ca</v>
      </c>
    </row>
    <row r="459" spans="1:34">
      <c r="A459" t="s">
        <v>1182</v>
      </c>
      <c r="B459" t="s">
        <v>56</v>
      </c>
      <c r="C459" s="10" t="s">
        <v>936</v>
      </c>
      <c r="D459" t="s">
        <v>58</v>
      </c>
      <c r="E459" t="s">
        <v>497</v>
      </c>
      <c r="F459" t="s">
        <v>508</v>
      </c>
      <c r="G459">
        <v>50000</v>
      </c>
      <c r="H459">
        <v>1988</v>
      </c>
      <c r="I459" t="s">
        <v>58</v>
      </c>
      <c r="J459" t="s">
        <v>58</v>
      </c>
      <c r="K459" t="s">
        <v>58</v>
      </c>
      <c r="L459" t="s">
        <v>58</v>
      </c>
      <c r="M459" t="s">
        <v>58</v>
      </c>
      <c r="N459" t="s">
        <v>61</v>
      </c>
      <c r="Q459" t="s">
        <v>58</v>
      </c>
      <c r="R459" s="11" t="str">
        <f>HYPERLINK("\\imagefiles.bcgov\imagery\scanned_maps\moe_terrain_maps\Scanned_T_maps_all\C03\C03-818","\\imagefiles.bcgov\imagery\scanned_maps\moe_terrain_maps\Scanned_T_maps_all\C03\C03-818")</f>
        <v>\\imagefiles.bcgov\imagery\scanned_maps\moe_terrain_maps\Scanned_T_maps_all\C03\C03-818</v>
      </c>
      <c r="S459" t="s">
        <v>62</v>
      </c>
      <c r="T459" s="11" t="str">
        <f>HYPERLINK("http://www.env.gov.bc.ca/esd/distdata/ecosystems/TEI_Scanned_Maps/C03/C03-818","http://www.env.gov.bc.ca/esd/distdata/ecosystems/TEI_Scanned_Maps/C03/C03-818")</f>
        <v>http://www.env.gov.bc.ca/esd/distdata/ecosystems/TEI_Scanned_Maps/C03/C03-818</v>
      </c>
      <c r="U459" t="s">
        <v>58</v>
      </c>
      <c r="V459" t="s">
        <v>58</v>
      </c>
      <c r="W459" t="s">
        <v>58</v>
      </c>
      <c r="X459" t="s">
        <v>58</v>
      </c>
      <c r="Y459" t="s">
        <v>58</v>
      </c>
      <c r="Z459" t="s">
        <v>58</v>
      </c>
      <c r="AA459" t="s">
        <v>58</v>
      </c>
      <c r="AC459" t="s">
        <v>58</v>
      </c>
      <c r="AE459" t="s">
        <v>58</v>
      </c>
      <c r="AG459" t="s">
        <v>63</v>
      </c>
      <c r="AH459" s="11" t="str">
        <f t="shared" si="10"/>
        <v>mailto: soilterrain@victoria1.gov.bc.ca</v>
      </c>
    </row>
    <row r="460" spans="1:34">
      <c r="A460" t="s">
        <v>1183</v>
      </c>
      <c r="B460" t="s">
        <v>56</v>
      </c>
      <c r="C460" s="10" t="s">
        <v>939</v>
      </c>
      <c r="D460" t="s">
        <v>58</v>
      </c>
      <c r="E460" t="s">
        <v>497</v>
      </c>
      <c r="F460" t="s">
        <v>508</v>
      </c>
      <c r="G460">
        <v>50000</v>
      </c>
      <c r="H460" t="s">
        <v>187</v>
      </c>
      <c r="I460" t="s">
        <v>58</v>
      </c>
      <c r="J460" t="s">
        <v>58</v>
      </c>
      <c r="K460" t="s">
        <v>58</v>
      </c>
      <c r="L460" t="s">
        <v>58</v>
      </c>
      <c r="M460" t="s">
        <v>58</v>
      </c>
      <c r="N460" t="s">
        <v>61</v>
      </c>
      <c r="Q460" t="s">
        <v>58</v>
      </c>
      <c r="R460" s="11" t="str">
        <f>HYPERLINK("\\imagefiles.bcgov\imagery\scanned_maps\moe_terrain_maps\Scanned_T_maps_all\C03\C03-820","\\imagefiles.bcgov\imagery\scanned_maps\moe_terrain_maps\Scanned_T_maps_all\C03\C03-820")</f>
        <v>\\imagefiles.bcgov\imagery\scanned_maps\moe_terrain_maps\Scanned_T_maps_all\C03\C03-820</v>
      </c>
      <c r="S460" t="s">
        <v>62</v>
      </c>
      <c r="T460" s="11" t="str">
        <f>HYPERLINK("http://www.env.gov.bc.ca/esd/distdata/ecosystems/TEI_Scanned_Maps/C03/C03-820","http://www.env.gov.bc.ca/esd/distdata/ecosystems/TEI_Scanned_Maps/C03/C03-820")</f>
        <v>http://www.env.gov.bc.ca/esd/distdata/ecosystems/TEI_Scanned_Maps/C03/C03-820</v>
      </c>
      <c r="U460" t="s">
        <v>58</v>
      </c>
      <c r="V460" t="s">
        <v>58</v>
      </c>
      <c r="W460" t="s">
        <v>58</v>
      </c>
      <c r="X460" t="s">
        <v>58</v>
      </c>
      <c r="Y460" t="s">
        <v>58</v>
      </c>
      <c r="Z460" t="s">
        <v>58</v>
      </c>
      <c r="AA460" t="s">
        <v>58</v>
      </c>
      <c r="AC460" t="s">
        <v>58</v>
      </c>
      <c r="AE460" t="s">
        <v>58</v>
      </c>
      <c r="AG460" t="s">
        <v>63</v>
      </c>
      <c r="AH460" s="11" t="str">
        <f t="shared" si="10"/>
        <v>mailto: soilterrain@victoria1.gov.bc.ca</v>
      </c>
    </row>
    <row r="461" spans="1:34">
      <c r="A461" t="s">
        <v>1184</v>
      </c>
      <c r="B461" t="s">
        <v>56</v>
      </c>
      <c r="C461" s="10" t="s">
        <v>1185</v>
      </c>
      <c r="D461" t="s">
        <v>58</v>
      </c>
      <c r="E461" t="s">
        <v>497</v>
      </c>
      <c r="F461" t="s">
        <v>508</v>
      </c>
      <c r="G461">
        <v>50000</v>
      </c>
      <c r="H461">
        <v>1988</v>
      </c>
      <c r="I461" t="s">
        <v>58</v>
      </c>
      <c r="J461" t="s">
        <v>58</v>
      </c>
      <c r="K461" t="s">
        <v>58</v>
      </c>
      <c r="L461" t="s">
        <v>58</v>
      </c>
      <c r="M461" t="s">
        <v>58</v>
      </c>
      <c r="N461" t="s">
        <v>61</v>
      </c>
      <c r="Q461" t="s">
        <v>58</v>
      </c>
      <c r="R461" s="11" t="str">
        <f>HYPERLINK("\\imagefiles.bcgov\imagery\scanned_maps\moe_terrain_maps\Scanned_T_maps_all\C03\C03-822","\\imagefiles.bcgov\imagery\scanned_maps\moe_terrain_maps\Scanned_T_maps_all\C03\C03-822")</f>
        <v>\\imagefiles.bcgov\imagery\scanned_maps\moe_terrain_maps\Scanned_T_maps_all\C03\C03-822</v>
      </c>
      <c r="S461" t="s">
        <v>62</v>
      </c>
      <c r="T461" s="11" t="str">
        <f>HYPERLINK("http://www.env.gov.bc.ca/esd/distdata/ecosystems/TEI_Scanned_Maps/C03/C03-822","http://www.env.gov.bc.ca/esd/distdata/ecosystems/TEI_Scanned_Maps/C03/C03-822")</f>
        <v>http://www.env.gov.bc.ca/esd/distdata/ecosystems/TEI_Scanned_Maps/C03/C03-822</v>
      </c>
      <c r="U461" t="s">
        <v>58</v>
      </c>
      <c r="V461" t="s">
        <v>58</v>
      </c>
      <c r="W461" t="s">
        <v>58</v>
      </c>
      <c r="X461" t="s">
        <v>58</v>
      </c>
      <c r="Y461" t="s">
        <v>58</v>
      </c>
      <c r="Z461" t="s">
        <v>58</v>
      </c>
      <c r="AA461" t="s">
        <v>58</v>
      </c>
      <c r="AC461" t="s">
        <v>58</v>
      </c>
      <c r="AE461" t="s">
        <v>58</v>
      </c>
      <c r="AG461" t="s">
        <v>63</v>
      </c>
      <c r="AH461" s="11" t="str">
        <f t="shared" si="10"/>
        <v>mailto: soilterrain@victoria1.gov.bc.ca</v>
      </c>
    </row>
    <row r="462" spans="1:34">
      <c r="A462" t="s">
        <v>1186</v>
      </c>
      <c r="B462" t="s">
        <v>56</v>
      </c>
      <c r="C462" s="10" t="s">
        <v>1187</v>
      </c>
      <c r="D462" t="s">
        <v>58</v>
      </c>
      <c r="E462" t="s">
        <v>497</v>
      </c>
      <c r="F462" t="s">
        <v>508</v>
      </c>
      <c r="G462">
        <v>50000</v>
      </c>
      <c r="H462">
        <v>1987</v>
      </c>
      <c r="I462" t="s">
        <v>58</v>
      </c>
      <c r="J462" t="s">
        <v>58</v>
      </c>
      <c r="K462" t="s">
        <v>58</v>
      </c>
      <c r="L462" t="s">
        <v>58</v>
      </c>
      <c r="M462" t="s">
        <v>58</v>
      </c>
      <c r="N462" t="s">
        <v>61</v>
      </c>
      <c r="Q462" t="s">
        <v>58</v>
      </c>
      <c r="R462" s="11" t="str">
        <f>HYPERLINK("\\imagefiles.bcgov\imagery\scanned_maps\moe_terrain_maps\Scanned_T_maps_all\C03\C03-824","\\imagefiles.bcgov\imagery\scanned_maps\moe_terrain_maps\Scanned_T_maps_all\C03\C03-824")</f>
        <v>\\imagefiles.bcgov\imagery\scanned_maps\moe_terrain_maps\Scanned_T_maps_all\C03\C03-824</v>
      </c>
      <c r="S462" t="s">
        <v>62</v>
      </c>
      <c r="T462" s="11" t="str">
        <f>HYPERLINK("http://www.env.gov.bc.ca/esd/distdata/ecosystems/TEI_Scanned_Maps/C03/C03-824","http://www.env.gov.bc.ca/esd/distdata/ecosystems/TEI_Scanned_Maps/C03/C03-824")</f>
        <v>http://www.env.gov.bc.ca/esd/distdata/ecosystems/TEI_Scanned_Maps/C03/C03-824</v>
      </c>
      <c r="U462" t="s">
        <v>58</v>
      </c>
      <c r="V462" t="s">
        <v>58</v>
      </c>
      <c r="W462" t="s">
        <v>58</v>
      </c>
      <c r="X462" t="s">
        <v>58</v>
      </c>
      <c r="Y462" t="s">
        <v>58</v>
      </c>
      <c r="Z462" t="s">
        <v>58</v>
      </c>
      <c r="AA462" t="s">
        <v>58</v>
      </c>
      <c r="AC462" t="s">
        <v>58</v>
      </c>
      <c r="AE462" t="s">
        <v>58</v>
      </c>
      <c r="AG462" t="s">
        <v>63</v>
      </c>
      <c r="AH462" s="11" t="str">
        <f t="shared" si="10"/>
        <v>mailto: soilterrain@victoria1.gov.bc.ca</v>
      </c>
    </row>
    <row r="463" spans="1:34">
      <c r="A463" t="s">
        <v>1188</v>
      </c>
      <c r="B463" t="s">
        <v>56</v>
      </c>
      <c r="C463" s="10" t="s">
        <v>1189</v>
      </c>
      <c r="D463" t="s">
        <v>58</v>
      </c>
      <c r="E463" t="s">
        <v>497</v>
      </c>
      <c r="F463" t="s">
        <v>508</v>
      </c>
      <c r="G463">
        <v>50000</v>
      </c>
      <c r="H463">
        <v>1987</v>
      </c>
      <c r="I463" t="s">
        <v>58</v>
      </c>
      <c r="J463" t="s">
        <v>58</v>
      </c>
      <c r="K463" t="s">
        <v>58</v>
      </c>
      <c r="L463" t="s">
        <v>58</v>
      </c>
      <c r="M463" t="s">
        <v>58</v>
      </c>
      <c r="N463" t="s">
        <v>61</v>
      </c>
      <c r="Q463" t="s">
        <v>58</v>
      </c>
      <c r="R463" s="11" t="str">
        <f>HYPERLINK("\\imagefiles.bcgov\imagery\scanned_maps\moe_terrain_maps\Scanned_T_maps_all\C03\C03-826","\\imagefiles.bcgov\imagery\scanned_maps\moe_terrain_maps\Scanned_T_maps_all\C03\C03-826")</f>
        <v>\\imagefiles.bcgov\imagery\scanned_maps\moe_terrain_maps\Scanned_T_maps_all\C03\C03-826</v>
      </c>
      <c r="S463" t="s">
        <v>62</v>
      </c>
      <c r="T463" s="11" t="str">
        <f>HYPERLINK("http://www.env.gov.bc.ca/esd/distdata/ecosystems/TEI_Scanned_Maps/C03/C03-826","http://www.env.gov.bc.ca/esd/distdata/ecosystems/TEI_Scanned_Maps/C03/C03-826")</f>
        <v>http://www.env.gov.bc.ca/esd/distdata/ecosystems/TEI_Scanned_Maps/C03/C03-826</v>
      </c>
      <c r="U463" t="s">
        <v>58</v>
      </c>
      <c r="V463" t="s">
        <v>58</v>
      </c>
      <c r="W463" t="s">
        <v>58</v>
      </c>
      <c r="X463" t="s">
        <v>58</v>
      </c>
      <c r="Y463" t="s">
        <v>58</v>
      </c>
      <c r="Z463" t="s">
        <v>58</v>
      </c>
      <c r="AA463" t="s">
        <v>58</v>
      </c>
      <c r="AC463" t="s">
        <v>58</v>
      </c>
      <c r="AE463" t="s">
        <v>58</v>
      </c>
      <c r="AG463" t="s">
        <v>63</v>
      </c>
      <c r="AH463" s="11" t="str">
        <f t="shared" si="10"/>
        <v>mailto: soilterrain@victoria1.gov.bc.ca</v>
      </c>
    </row>
    <row r="464" spans="1:34">
      <c r="A464" t="s">
        <v>1190</v>
      </c>
      <c r="B464" t="s">
        <v>56</v>
      </c>
      <c r="C464" s="10" t="s">
        <v>1191</v>
      </c>
      <c r="D464" t="s">
        <v>58</v>
      </c>
      <c r="E464" t="s">
        <v>497</v>
      </c>
      <c r="F464" t="s">
        <v>508</v>
      </c>
      <c r="G464">
        <v>50000</v>
      </c>
      <c r="H464">
        <v>1986</v>
      </c>
      <c r="I464" t="s">
        <v>58</v>
      </c>
      <c r="J464" t="s">
        <v>58</v>
      </c>
      <c r="K464" t="s">
        <v>58</v>
      </c>
      <c r="L464" t="s">
        <v>58</v>
      </c>
      <c r="M464" t="s">
        <v>58</v>
      </c>
      <c r="N464" t="s">
        <v>61</v>
      </c>
      <c r="Q464" t="s">
        <v>58</v>
      </c>
      <c r="R464" s="11" t="str">
        <f>HYPERLINK("\\imagefiles.bcgov\imagery\scanned_maps\moe_terrain_maps\Scanned_T_maps_all\C03\C03-828","\\imagefiles.bcgov\imagery\scanned_maps\moe_terrain_maps\Scanned_T_maps_all\C03\C03-828")</f>
        <v>\\imagefiles.bcgov\imagery\scanned_maps\moe_terrain_maps\Scanned_T_maps_all\C03\C03-828</v>
      </c>
      <c r="S464" t="s">
        <v>62</v>
      </c>
      <c r="T464" s="11" t="str">
        <f>HYPERLINK("http://www.env.gov.bc.ca/esd/distdata/ecosystems/TEI_Scanned_Maps/C03/C03-828","http://www.env.gov.bc.ca/esd/distdata/ecosystems/TEI_Scanned_Maps/C03/C03-828")</f>
        <v>http://www.env.gov.bc.ca/esd/distdata/ecosystems/TEI_Scanned_Maps/C03/C03-828</v>
      </c>
      <c r="U464" t="s">
        <v>58</v>
      </c>
      <c r="V464" t="s">
        <v>58</v>
      </c>
      <c r="W464" t="s">
        <v>58</v>
      </c>
      <c r="X464" t="s">
        <v>58</v>
      </c>
      <c r="Y464" t="s">
        <v>58</v>
      </c>
      <c r="Z464" t="s">
        <v>58</v>
      </c>
      <c r="AA464" t="s">
        <v>58</v>
      </c>
      <c r="AC464" t="s">
        <v>58</v>
      </c>
      <c r="AE464" t="s">
        <v>58</v>
      </c>
      <c r="AG464" t="s">
        <v>63</v>
      </c>
      <c r="AH464" s="11" t="str">
        <f t="shared" si="10"/>
        <v>mailto: soilterrain@victoria1.gov.bc.ca</v>
      </c>
    </row>
    <row r="465" spans="1:34">
      <c r="A465" t="s">
        <v>1192</v>
      </c>
      <c r="B465" t="s">
        <v>56</v>
      </c>
      <c r="C465" s="10" t="s">
        <v>1193</v>
      </c>
      <c r="D465" t="s">
        <v>58</v>
      </c>
      <c r="E465" t="s">
        <v>497</v>
      </c>
      <c r="F465" t="s">
        <v>508</v>
      </c>
      <c r="G465">
        <v>50000</v>
      </c>
      <c r="H465">
        <v>1989</v>
      </c>
      <c r="I465" t="s">
        <v>58</v>
      </c>
      <c r="J465" t="s">
        <v>58</v>
      </c>
      <c r="K465" t="s">
        <v>58</v>
      </c>
      <c r="L465" t="s">
        <v>58</v>
      </c>
      <c r="M465" t="s">
        <v>58</v>
      </c>
      <c r="N465" t="s">
        <v>61</v>
      </c>
      <c r="Q465" t="s">
        <v>58</v>
      </c>
      <c r="R465" s="11" t="str">
        <f>HYPERLINK("\\imagefiles.bcgov\imagery\scanned_maps\moe_terrain_maps\Scanned_T_maps_all\C03\C03-830","\\imagefiles.bcgov\imagery\scanned_maps\moe_terrain_maps\Scanned_T_maps_all\C03\C03-830")</f>
        <v>\\imagefiles.bcgov\imagery\scanned_maps\moe_terrain_maps\Scanned_T_maps_all\C03\C03-830</v>
      </c>
      <c r="S465" t="s">
        <v>62</v>
      </c>
      <c r="T465" s="11" t="str">
        <f>HYPERLINK("http://www.env.gov.bc.ca/esd/distdata/ecosystems/TEI_Scanned_Maps/C03/C03-830","http://www.env.gov.bc.ca/esd/distdata/ecosystems/TEI_Scanned_Maps/C03/C03-830")</f>
        <v>http://www.env.gov.bc.ca/esd/distdata/ecosystems/TEI_Scanned_Maps/C03/C03-830</v>
      </c>
      <c r="U465" t="s">
        <v>58</v>
      </c>
      <c r="V465" t="s">
        <v>58</v>
      </c>
      <c r="W465" t="s">
        <v>58</v>
      </c>
      <c r="X465" t="s">
        <v>58</v>
      </c>
      <c r="Y465" t="s">
        <v>58</v>
      </c>
      <c r="Z465" t="s">
        <v>58</v>
      </c>
      <c r="AA465" t="s">
        <v>58</v>
      </c>
      <c r="AC465" t="s">
        <v>58</v>
      </c>
      <c r="AE465" t="s">
        <v>58</v>
      </c>
      <c r="AG465" t="s">
        <v>63</v>
      </c>
      <c r="AH465" s="11" t="str">
        <f t="shared" si="10"/>
        <v>mailto: soilterrain@victoria1.gov.bc.ca</v>
      </c>
    </row>
    <row r="466" spans="1:34">
      <c r="A466" t="s">
        <v>1194</v>
      </c>
      <c r="B466" t="s">
        <v>56</v>
      </c>
      <c r="C466" s="10" t="s">
        <v>1195</v>
      </c>
      <c r="D466" t="s">
        <v>58</v>
      </c>
      <c r="E466" t="s">
        <v>497</v>
      </c>
      <c r="F466" t="s">
        <v>508</v>
      </c>
      <c r="G466">
        <v>50000</v>
      </c>
      <c r="H466">
        <v>1988</v>
      </c>
      <c r="I466" t="s">
        <v>58</v>
      </c>
      <c r="J466" t="s">
        <v>58</v>
      </c>
      <c r="K466" t="s">
        <v>58</v>
      </c>
      <c r="L466" t="s">
        <v>58</v>
      </c>
      <c r="M466" t="s">
        <v>58</v>
      </c>
      <c r="N466" t="s">
        <v>61</v>
      </c>
      <c r="Q466" t="s">
        <v>58</v>
      </c>
      <c r="R466" s="11" t="str">
        <f>HYPERLINK("\\imagefiles.bcgov\imagery\scanned_maps\moe_terrain_maps\Scanned_T_maps_all\C03\C03-832","\\imagefiles.bcgov\imagery\scanned_maps\moe_terrain_maps\Scanned_T_maps_all\C03\C03-832")</f>
        <v>\\imagefiles.bcgov\imagery\scanned_maps\moe_terrain_maps\Scanned_T_maps_all\C03\C03-832</v>
      </c>
      <c r="S466" t="s">
        <v>62</v>
      </c>
      <c r="T466" s="11" t="str">
        <f>HYPERLINK("http://www.env.gov.bc.ca/esd/distdata/ecosystems/TEI_Scanned_Maps/C03/C03-832","http://www.env.gov.bc.ca/esd/distdata/ecosystems/TEI_Scanned_Maps/C03/C03-832")</f>
        <v>http://www.env.gov.bc.ca/esd/distdata/ecosystems/TEI_Scanned_Maps/C03/C03-832</v>
      </c>
      <c r="U466" t="s">
        <v>58</v>
      </c>
      <c r="V466" t="s">
        <v>58</v>
      </c>
      <c r="W466" t="s">
        <v>58</v>
      </c>
      <c r="X466" t="s">
        <v>58</v>
      </c>
      <c r="Y466" t="s">
        <v>58</v>
      </c>
      <c r="Z466" t="s">
        <v>58</v>
      </c>
      <c r="AA466" t="s">
        <v>58</v>
      </c>
      <c r="AC466" t="s">
        <v>58</v>
      </c>
      <c r="AE466" t="s">
        <v>58</v>
      </c>
      <c r="AG466" t="s">
        <v>63</v>
      </c>
      <c r="AH466" s="11" t="str">
        <f t="shared" si="10"/>
        <v>mailto: soilterrain@victoria1.gov.bc.ca</v>
      </c>
    </row>
    <row r="467" spans="1:34">
      <c r="A467" t="s">
        <v>1196</v>
      </c>
      <c r="B467" t="s">
        <v>56</v>
      </c>
      <c r="C467" s="10" t="s">
        <v>1197</v>
      </c>
      <c r="D467" t="s">
        <v>58</v>
      </c>
      <c r="E467" t="s">
        <v>497</v>
      </c>
      <c r="F467" t="s">
        <v>508</v>
      </c>
      <c r="G467">
        <v>50000</v>
      </c>
      <c r="H467">
        <v>1988</v>
      </c>
      <c r="I467" t="s">
        <v>58</v>
      </c>
      <c r="J467" t="s">
        <v>58</v>
      </c>
      <c r="K467" t="s">
        <v>58</v>
      </c>
      <c r="L467" t="s">
        <v>58</v>
      </c>
      <c r="M467" t="s">
        <v>58</v>
      </c>
      <c r="N467" t="s">
        <v>61</v>
      </c>
      <c r="Q467" t="s">
        <v>58</v>
      </c>
      <c r="R467" s="11" t="str">
        <f>HYPERLINK("\\imagefiles.bcgov\imagery\scanned_maps\moe_terrain_maps\Scanned_T_maps_all\C03\C03-834","\\imagefiles.bcgov\imagery\scanned_maps\moe_terrain_maps\Scanned_T_maps_all\C03\C03-834")</f>
        <v>\\imagefiles.bcgov\imagery\scanned_maps\moe_terrain_maps\Scanned_T_maps_all\C03\C03-834</v>
      </c>
      <c r="S467" t="s">
        <v>62</v>
      </c>
      <c r="T467" s="11" t="str">
        <f>HYPERLINK("http://www.env.gov.bc.ca/esd/distdata/ecosystems/TEI_Scanned_Maps/C03/C03-834","http://www.env.gov.bc.ca/esd/distdata/ecosystems/TEI_Scanned_Maps/C03/C03-834")</f>
        <v>http://www.env.gov.bc.ca/esd/distdata/ecosystems/TEI_Scanned_Maps/C03/C03-834</v>
      </c>
      <c r="U467" t="s">
        <v>58</v>
      </c>
      <c r="V467" t="s">
        <v>58</v>
      </c>
      <c r="W467" t="s">
        <v>58</v>
      </c>
      <c r="X467" t="s">
        <v>58</v>
      </c>
      <c r="Y467" t="s">
        <v>58</v>
      </c>
      <c r="Z467" t="s">
        <v>58</v>
      </c>
      <c r="AA467" t="s">
        <v>58</v>
      </c>
      <c r="AC467" t="s">
        <v>58</v>
      </c>
      <c r="AE467" t="s">
        <v>58</v>
      </c>
      <c r="AG467" t="s">
        <v>63</v>
      </c>
      <c r="AH467" s="11" t="str">
        <f t="shared" si="10"/>
        <v>mailto: soilterrain@victoria1.gov.bc.ca</v>
      </c>
    </row>
    <row r="468" spans="1:34">
      <c r="A468" t="s">
        <v>1198</v>
      </c>
      <c r="B468" t="s">
        <v>56</v>
      </c>
      <c r="C468" s="10" t="s">
        <v>1199</v>
      </c>
      <c r="D468" t="s">
        <v>58</v>
      </c>
      <c r="E468" t="s">
        <v>497</v>
      </c>
      <c r="F468" t="s">
        <v>508</v>
      </c>
      <c r="G468">
        <v>50000</v>
      </c>
      <c r="H468">
        <v>1987</v>
      </c>
      <c r="I468" t="s">
        <v>58</v>
      </c>
      <c r="J468" t="s">
        <v>58</v>
      </c>
      <c r="K468" t="s">
        <v>58</v>
      </c>
      <c r="L468" t="s">
        <v>58</v>
      </c>
      <c r="M468" t="s">
        <v>58</v>
      </c>
      <c r="N468" t="s">
        <v>61</v>
      </c>
      <c r="Q468" t="s">
        <v>58</v>
      </c>
      <c r="R468" s="11" t="str">
        <f>HYPERLINK("\\imagefiles.bcgov\imagery\scanned_maps\moe_terrain_maps\Scanned_T_maps_all\C03\C03-836","\\imagefiles.bcgov\imagery\scanned_maps\moe_terrain_maps\Scanned_T_maps_all\C03\C03-836")</f>
        <v>\\imagefiles.bcgov\imagery\scanned_maps\moe_terrain_maps\Scanned_T_maps_all\C03\C03-836</v>
      </c>
      <c r="S468" t="s">
        <v>62</v>
      </c>
      <c r="T468" s="11" t="str">
        <f>HYPERLINK("http://www.env.gov.bc.ca/esd/distdata/ecosystems/TEI_Scanned_Maps/C03/C03-836","http://www.env.gov.bc.ca/esd/distdata/ecosystems/TEI_Scanned_Maps/C03/C03-836")</f>
        <v>http://www.env.gov.bc.ca/esd/distdata/ecosystems/TEI_Scanned_Maps/C03/C03-836</v>
      </c>
      <c r="U468" t="s">
        <v>58</v>
      </c>
      <c r="V468" t="s">
        <v>58</v>
      </c>
      <c r="W468" t="s">
        <v>58</v>
      </c>
      <c r="X468" t="s">
        <v>58</v>
      </c>
      <c r="Y468" t="s">
        <v>58</v>
      </c>
      <c r="Z468" t="s">
        <v>58</v>
      </c>
      <c r="AA468" t="s">
        <v>58</v>
      </c>
      <c r="AC468" t="s">
        <v>58</v>
      </c>
      <c r="AE468" t="s">
        <v>58</v>
      </c>
      <c r="AG468" t="s">
        <v>63</v>
      </c>
      <c r="AH468" s="11" t="str">
        <f t="shared" si="10"/>
        <v>mailto: soilterrain@victoria1.gov.bc.ca</v>
      </c>
    </row>
    <row r="469" spans="1:34">
      <c r="A469" t="s">
        <v>1200</v>
      </c>
      <c r="B469" t="s">
        <v>56</v>
      </c>
      <c r="C469" s="10" t="s">
        <v>1201</v>
      </c>
      <c r="D469" t="s">
        <v>58</v>
      </c>
      <c r="E469" t="s">
        <v>497</v>
      </c>
      <c r="F469" t="s">
        <v>498</v>
      </c>
      <c r="G469">
        <v>50000</v>
      </c>
      <c r="H469">
        <v>1987</v>
      </c>
      <c r="I469" t="s">
        <v>58</v>
      </c>
      <c r="J469" t="s">
        <v>58</v>
      </c>
      <c r="K469" t="s">
        <v>58</v>
      </c>
      <c r="L469" t="s">
        <v>58</v>
      </c>
      <c r="M469" t="s">
        <v>58</v>
      </c>
      <c r="N469" t="s">
        <v>61</v>
      </c>
      <c r="Q469" t="s">
        <v>58</v>
      </c>
      <c r="R469" s="11" t="str">
        <f>HYPERLINK("\\imagefiles.bcgov\imagery\scanned_maps\moe_terrain_maps\Scanned_T_maps_all\C03\C03-870","\\imagefiles.bcgov\imagery\scanned_maps\moe_terrain_maps\Scanned_T_maps_all\C03\C03-870")</f>
        <v>\\imagefiles.bcgov\imagery\scanned_maps\moe_terrain_maps\Scanned_T_maps_all\C03\C03-870</v>
      </c>
      <c r="S469" t="s">
        <v>62</v>
      </c>
      <c r="T469" s="11" t="str">
        <f>HYPERLINK("http://www.env.gov.bc.ca/esd/distdata/ecosystems/TEI_Scanned_Maps/C03/C03-870","http://www.env.gov.bc.ca/esd/distdata/ecosystems/TEI_Scanned_Maps/C03/C03-870")</f>
        <v>http://www.env.gov.bc.ca/esd/distdata/ecosystems/TEI_Scanned_Maps/C03/C03-870</v>
      </c>
      <c r="U469" t="s">
        <v>58</v>
      </c>
      <c r="V469" t="s">
        <v>58</v>
      </c>
      <c r="W469" t="s">
        <v>58</v>
      </c>
      <c r="X469" t="s">
        <v>58</v>
      </c>
      <c r="Y469" t="s">
        <v>58</v>
      </c>
      <c r="Z469" t="s">
        <v>58</v>
      </c>
      <c r="AA469" t="s">
        <v>58</v>
      </c>
      <c r="AC469" t="s">
        <v>58</v>
      </c>
      <c r="AE469" t="s">
        <v>58</v>
      </c>
      <c r="AG469" t="s">
        <v>63</v>
      </c>
      <c r="AH469" s="11" t="str">
        <f t="shared" si="10"/>
        <v>mailto: soilterrain@victoria1.gov.bc.ca</v>
      </c>
    </row>
    <row r="470" spans="1:34">
      <c r="A470" t="s">
        <v>1202</v>
      </c>
      <c r="B470" t="s">
        <v>56</v>
      </c>
      <c r="C470" s="10" t="s">
        <v>1203</v>
      </c>
      <c r="D470" t="s">
        <v>58</v>
      </c>
      <c r="E470" t="s">
        <v>497</v>
      </c>
      <c r="F470" t="s">
        <v>502</v>
      </c>
      <c r="G470">
        <v>50000</v>
      </c>
      <c r="H470">
        <v>1986</v>
      </c>
      <c r="I470" t="s">
        <v>58</v>
      </c>
      <c r="J470" t="s">
        <v>58</v>
      </c>
      <c r="K470" t="s">
        <v>58</v>
      </c>
      <c r="L470" t="s">
        <v>58</v>
      </c>
      <c r="M470" t="s">
        <v>58</v>
      </c>
      <c r="N470" t="s">
        <v>61</v>
      </c>
      <c r="Q470" t="s">
        <v>58</v>
      </c>
      <c r="R470" s="11" t="str">
        <f>HYPERLINK("\\imagefiles.bcgov\imagery\scanned_maps\moe_terrain_maps\Scanned_T_maps_all\C03\C03-872","\\imagefiles.bcgov\imagery\scanned_maps\moe_terrain_maps\Scanned_T_maps_all\C03\C03-872")</f>
        <v>\\imagefiles.bcgov\imagery\scanned_maps\moe_terrain_maps\Scanned_T_maps_all\C03\C03-872</v>
      </c>
      <c r="S470" t="s">
        <v>62</v>
      </c>
      <c r="T470" s="11" t="str">
        <f>HYPERLINK("http://www.env.gov.bc.ca/esd/distdata/ecosystems/TEI_Scanned_Maps/C03/C03-872","http://www.env.gov.bc.ca/esd/distdata/ecosystems/TEI_Scanned_Maps/C03/C03-872")</f>
        <v>http://www.env.gov.bc.ca/esd/distdata/ecosystems/TEI_Scanned_Maps/C03/C03-872</v>
      </c>
      <c r="U470" t="s">
        <v>58</v>
      </c>
      <c r="V470" t="s">
        <v>58</v>
      </c>
      <c r="W470" t="s">
        <v>58</v>
      </c>
      <c r="X470" t="s">
        <v>58</v>
      </c>
      <c r="Y470" t="s">
        <v>58</v>
      </c>
      <c r="Z470" t="s">
        <v>58</v>
      </c>
      <c r="AA470" t="s">
        <v>58</v>
      </c>
      <c r="AC470" t="s">
        <v>58</v>
      </c>
      <c r="AE470" t="s">
        <v>58</v>
      </c>
      <c r="AG470" t="s">
        <v>63</v>
      </c>
      <c r="AH470" s="11" t="str">
        <f t="shared" si="10"/>
        <v>mailto: soilterrain@victoria1.gov.bc.ca</v>
      </c>
    </row>
    <row r="471" spans="1:34">
      <c r="A471" t="s">
        <v>1204</v>
      </c>
      <c r="B471" t="s">
        <v>56</v>
      </c>
      <c r="C471" s="10" t="s">
        <v>1205</v>
      </c>
      <c r="D471" t="s">
        <v>58</v>
      </c>
      <c r="E471" t="s">
        <v>497</v>
      </c>
      <c r="F471" t="s">
        <v>508</v>
      </c>
      <c r="G471">
        <v>50000</v>
      </c>
      <c r="H471">
        <v>1987</v>
      </c>
      <c r="I471" t="s">
        <v>58</v>
      </c>
      <c r="J471" t="s">
        <v>58</v>
      </c>
      <c r="K471" t="s">
        <v>58</v>
      </c>
      <c r="L471" t="s">
        <v>58</v>
      </c>
      <c r="M471" t="s">
        <v>58</v>
      </c>
      <c r="N471" t="s">
        <v>61</v>
      </c>
      <c r="Q471" t="s">
        <v>58</v>
      </c>
      <c r="R471" s="11" t="str">
        <f>HYPERLINK("\\imagefiles.bcgov\imagery\scanned_maps\moe_terrain_maps\Scanned_T_maps_all\C03\C03-890","\\imagefiles.bcgov\imagery\scanned_maps\moe_terrain_maps\Scanned_T_maps_all\C03\C03-890")</f>
        <v>\\imagefiles.bcgov\imagery\scanned_maps\moe_terrain_maps\Scanned_T_maps_all\C03\C03-890</v>
      </c>
      <c r="S471" t="s">
        <v>62</v>
      </c>
      <c r="T471" s="11" t="str">
        <f>HYPERLINK("http://www.env.gov.bc.ca/esd/distdata/ecosystems/TEI_Scanned_Maps/C03/C03-890","http://www.env.gov.bc.ca/esd/distdata/ecosystems/TEI_Scanned_Maps/C03/C03-890")</f>
        <v>http://www.env.gov.bc.ca/esd/distdata/ecosystems/TEI_Scanned_Maps/C03/C03-890</v>
      </c>
      <c r="U471" t="s">
        <v>58</v>
      </c>
      <c r="V471" t="s">
        <v>58</v>
      </c>
      <c r="W471" t="s">
        <v>58</v>
      </c>
      <c r="X471" t="s">
        <v>58</v>
      </c>
      <c r="Y471" t="s">
        <v>58</v>
      </c>
      <c r="Z471" t="s">
        <v>58</v>
      </c>
      <c r="AA471" t="s">
        <v>58</v>
      </c>
      <c r="AC471" t="s">
        <v>58</v>
      </c>
      <c r="AE471" t="s">
        <v>58</v>
      </c>
      <c r="AG471" t="s">
        <v>63</v>
      </c>
      <c r="AH471" s="11" t="str">
        <f t="shared" si="10"/>
        <v>mailto: soilterrain@victoria1.gov.bc.ca</v>
      </c>
    </row>
    <row r="472" spans="1:34">
      <c r="A472" t="s">
        <v>1206</v>
      </c>
      <c r="B472" t="s">
        <v>56</v>
      </c>
      <c r="C472" s="10" t="s">
        <v>1207</v>
      </c>
      <c r="D472" t="s">
        <v>58</v>
      </c>
      <c r="E472" t="s">
        <v>497</v>
      </c>
      <c r="F472" t="s">
        <v>508</v>
      </c>
      <c r="G472">
        <v>50000</v>
      </c>
      <c r="H472">
        <v>1987</v>
      </c>
      <c r="I472" t="s">
        <v>58</v>
      </c>
      <c r="J472" t="s">
        <v>58</v>
      </c>
      <c r="K472" t="s">
        <v>58</v>
      </c>
      <c r="L472" t="s">
        <v>58</v>
      </c>
      <c r="M472" t="s">
        <v>58</v>
      </c>
      <c r="N472" t="s">
        <v>61</v>
      </c>
      <c r="Q472" t="s">
        <v>58</v>
      </c>
      <c r="R472" s="11" t="str">
        <f>HYPERLINK("\\imagefiles.bcgov\imagery\scanned_maps\moe_terrain_maps\Scanned_T_maps_all\C03\C03-892","\\imagefiles.bcgov\imagery\scanned_maps\moe_terrain_maps\Scanned_T_maps_all\C03\C03-892")</f>
        <v>\\imagefiles.bcgov\imagery\scanned_maps\moe_terrain_maps\Scanned_T_maps_all\C03\C03-892</v>
      </c>
      <c r="S472" t="s">
        <v>62</v>
      </c>
      <c r="T472" s="11" t="str">
        <f>HYPERLINK("http://www.env.gov.bc.ca/esd/distdata/ecosystems/TEI_Scanned_Maps/C03/C03-892","http://www.env.gov.bc.ca/esd/distdata/ecosystems/TEI_Scanned_Maps/C03/C03-892")</f>
        <v>http://www.env.gov.bc.ca/esd/distdata/ecosystems/TEI_Scanned_Maps/C03/C03-892</v>
      </c>
      <c r="U472" t="s">
        <v>58</v>
      </c>
      <c r="V472" t="s">
        <v>58</v>
      </c>
      <c r="W472" t="s">
        <v>58</v>
      </c>
      <c r="X472" t="s">
        <v>58</v>
      </c>
      <c r="Y472" t="s">
        <v>58</v>
      </c>
      <c r="Z472" t="s">
        <v>58</v>
      </c>
      <c r="AA472" t="s">
        <v>58</v>
      </c>
      <c r="AC472" t="s">
        <v>58</v>
      </c>
      <c r="AE472" t="s">
        <v>58</v>
      </c>
      <c r="AG472" t="s">
        <v>63</v>
      </c>
      <c r="AH472" s="11" t="str">
        <f t="shared" si="10"/>
        <v>mailto: soilterrain@victoria1.gov.bc.ca</v>
      </c>
    </row>
    <row r="473" spans="1:34">
      <c r="A473" t="s">
        <v>1208</v>
      </c>
      <c r="B473" t="s">
        <v>56</v>
      </c>
      <c r="C473" s="10" t="s">
        <v>1209</v>
      </c>
      <c r="D473" t="s">
        <v>58</v>
      </c>
      <c r="E473" t="s">
        <v>497</v>
      </c>
      <c r="F473" t="s">
        <v>502</v>
      </c>
      <c r="G473">
        <v>50000</v>
      </c>
      <c r="H473">
        <v>1986</v>
      </c>
      <c r="I473" t="s">
        <v>58</v>
      </c>
      <c r="J473" t="s">
        <v>58</v>
      </c>
      <c r="K473" t="s">
        <v>58</v>
      </c>
      <c r="L473" t="s">
        <v>58</v>
      </c>
      <c r="M473" t="s">
        <v>58</v>
      </c>
      <c r="N473" t="s">
        <v>61</v>
      </c>
      <c r="Q473" t="s">
        <v>58</v>
      </c>
      <c r="R473" s="11" t="str">
        <f>HYPERLINK("\\imagefiles.bcgov\imagery\scanned_maps\moe_terrain_maps\Scanned_T_maps_all\C03\C03-902","\\imagefiles.bcgov\imagery\scanned_maps\moe_terrain_maps\Scanned_T_maps_all\C03\C03-902")</f>
        <v>\\imagefiles.bcgov\imagery\scanned_maps\moe_terrain_maps\Scanned_T_maps_all\C03\C03-902</v>
      </c>
      <c r="S473" t="s">
        <v>62</v>
      </c>
      <c r="T473" s="11" t="str">
        <f>HYPERLINK("http://www.env.gov.bc.ca/esd/distdata/ecosystems/TEI_Scanned_Maps/C03/C03-902","http://www.env.gov.bc.ca/esd/distdata/ecosystems/TEI_Scanned_Maps/C03/C03-902")</f>
        <v>http://www.env.gov.bc.ca/esd/distdata/ecosystems/TEI_Scanned_Maps/C03/C03-902</v>
      </c>
      <c r="U473" t="s">
        <v>58</v>
      </c>
      <c r="V473" t="s">
        <v>58</v>
      </c>
      <c r="W473" t="s">
        <v>58</v>
      </c>
      <c r="X473" t="s">
        <v>58</v>
      </c>
      <c r="Y473" t="s">
        <v>58</v>
      </c>
      <c r="Z473" t="s">
        <v>58</v>
      </c>
      <c r="AA473" t="s">
        <v>58</v>
      </c>
      <c r="AC473" t="s">
        <v>58</v>
      </c>
      <c r="AE473" t="s">
        <v>58</v>
      </c>
      <c r="AG473" t="s">
        <v>63</v>
      </c>
      <c r="AH473" s="11" t="str">
        <f t="shared" si="10"/>
        <v>mailto: soilterrain@victoria1.gov.bc.ca</v>
      </c>
    </row>
    <row r="474" spans="1:34">
      <c r="A474" t="s">
        <v>1210</v>
      </c>
      <c r="B474" t="s">
        <v>56</v>
      </c>
      <c r="C474" s="10" t="s">
        <v>1211</v>
      </c>
      <c r="D474" t="s">
        <v>58</v>
      </c>
      <c r="E474" t="s">
        <v>497</v>
      </c>
      <c r="F474" t="s">
        <v>502</v>
      </c>
      <c r="G474">
        <v>50000</v>
      </c>
      <c r="H474">
        <v>1989</v>
      </c>
      <c r="I474" t="s">
        <v>58</v>
      </c>
      <c r="J474" t="s">
        <v>58</v>
      </c>
      <c r="K474" t="s">
        <v>58</v>
      </c>
      <c r="L474" t="s">
        <v>58</v>
      </c>
      <c r="M474" t="s">
        <v>58</v>
      </c>
      <c r="N474" t="s">
        <v>61</v>
      </c>
      <c r="Q474" t="s">
        <v>58</v>
      </c>
      <c r="R474" s="11" t="str">
        <f>HYPERLINK("\\imagefiles.bcgov\imagery\scanned_maps\moe_terrain_maps\Scanned_T_maps_all\C04\C04-1056","\\imagefiles.bcgov\imagery\scanned_maps\moe_terrain_maps\Scanned_T_maps_all\C04\C04-1056")</f>
        <v>\\imagefiles.bcgov\imagery\scanned_maps\moe_terrain_maps\Scanned_T_maps_all\C04\C04-1056</v>
      </c>
      <c r="S474" t="s">
        <v>62</v>
      </c>
      <c r="T474" s="11" t="str">
        <f>HYPERLINK("http://www.env.gov.bc.ca/esd/distdata/ecosystems/TEI_Scanned_Maps/C04/C04-1056","http://www.env.gov.bc.ca/esd/distdata/ecosystems/TEI_Scanned_Maps/C04/C04-1056")</f>
        <v>http://www.env.gov.bc.ca/esd/distdata/ecosystems/TEI_Scanned_Maps/C04/C04-1056</v>
      </c>
      <c r="U474" t="s">
        <v>58</v>
      </c>
      <c r="V474" t="s">
        <v>58</v>
      </c>
      <c r="W474" t="s">
        <v>58</v>
      </c>
      <c r="X474" t="s">
        <v>58</v>
      </c>
      <c r="Y474" t="s">
        <v>58</v>
      </c>
      <c r="Z474" t="s">
        <v>58</v>
      </c>
      <c r="AA474" t="s">
        <v>58</v>
      </c>
      <c r="AC474" t="s">
        <v>58</v>
      </c>
      <c r="AE474" t="s">
        <v>58</v>
      </c>
      <c r="AG474" t="s">
        <v>63</v>
      </c>
      <c r="AH474" s="11" t="str">
        <f t="shared" si="10"/>
        <v>mailto: soilterrain@victoria1.gov.bc.ca</v>
      </c>
    </row>
    <row r="475" spans="1:34">
      <c r="A475" t="s">
        <v>1212</v>
      </c>
      <c r="B475" t="s">
        <v>56</v>
      </c>
      <c r="C475" s="10" t="s">
        <v>1213</v>
      </c>
      <c r="D475" t="s">
        <v>61</v>
      </c>
      <c r="E475" t="s">
        <v>497</v>
      </c>
      <c r="F475" t="s">
        <v>1139</v>
      </c>
      <c r="G475">
        <v>50000</v>
      </c>
      <c r="H475">
        <v>1988</v>
      </c>
      <c r="I475" t="s">
        <v>58</v>
      </c>
      <c r="J475" t="s">
        <v>58</v>
      </c>
      <c r="K475" t="s">
        <v>58</v>
      </c>
      <c r="L475" t="s">
        <v>58</v>
      </c>
      <c r="M475" t="s">
        <v>58</v>
      </c>
      <c r="N475" t="s">
        <v>61</v>
      </c>
      <c r="Q475" t="s">
        <v>58</v>
      </c>
      <c r="R475" s="11" t="str">
        <f>HYPERLINK("\\imagefiles.bcgov\imagery\scanned_maps\moe_terrain_maps\Scanned_T_maps_all\C04\C04-1060","\\imagefiles.bcgov\imagery\scanned_maps\moe_terrain_maps\Scanned_T_maps_all\C04\C04-1060")</f>
        <v>\\imagefiles.bcgov\imagery\scanned_maps\moe_terrain_maps\Scanned_T_maps_all\C04\C04-1060</v>
      </c>
      <c r="S475" t="s">
        <v>62</v>
      </c>
      <c r="T475" s="11" t="str">
        <f>HYPERLINK("http://www.env.gov.bc.ca/esd/distdata/ecosystems/TEI_Scanned_Maps/C04/C04-1060","http://www.env.gov.bc.ca/esd/distdata/ecosystems/TEI_Scanned_Maps/C04/C04-1060")</f>
        <v>http://www.env.gov.bc.ca/esd/distdata/ecosystems/TEI_Scanned_Maps/C04/C04-1060</v>
      </c>
      <c r="U475" t="s">
        <v>58</v>
      </c>
      <c r="V475" t="s">
        <v>58</v>
      </c>
      <c r="W475" t="s">
        <v>58</v>
      </c>
      <c r="X475" t="s">
        <v>58</v>
      </c>
      <c r="Y475" t="s">
        <v>58</v>
      </c>
      <c r="Z475" t="s">
        <v>58</v>
      </c>
      <c r="AA475" t="s">
        <v>58</v>
      </c>
      <c r="AC475" t="s">
        <v>58</v>
      </c>
      <c r="AE475" t="s">
        <v>58</v>
      </c>
      <c r="AG475" t="s">
        <v>63</v>
      </c>
      <c r="AH475" s="11" t="str">
        <f t="shared" si="10"/>
        <v>mailto: soilterrain@victoria1.gov.bc.ca</v>
      </c>
    </row>
    <row r="476" spans="1:34">
      <c r="A476" t="s">
        <v>1214</v>
      </c>
      <c r="B476" t="s">
        <v>56</v>
      </c>
      <c r="C476" s="10" t="s">
        <v>1215</v>
      </c>
      <c r="D476" t="s">
        <v>58</v>
      </c>
      <c r="E476" t="s">
        <v>497</v>
      </c>
      <c r="F476" t="s">
        <v>1216</v>
      </c>
      <c r="G476">
        <v>50000</v>
      </c>
      <c r="H476" t="s">
        <v>187</v>
      </c>
      <c r="I476" t="s">
        <v>58</v>
      </c>
      <c r="J476" t="s">
        <v>58</v>
      </c>
      <c r="K476" t="s">
        <v>58</v>
      </c>
      <c r="L476" t="s">
        <v>58</v>
      </c>
      <c r="M476" t="s">
        <v>58</v>
      </c>
      <c r="N476" t="s">
        <v>61</v>
      </c>
      <c r="Q476" t="s">
        <v>58</v>
      </c>
      <c r="R476" s="11" t="str">
        <f>HYPERLINK("\\imagefiles.bcgov\imagery\scanned_maps\moe_terrain_maps\Scanned_T_maps_all\C04\C04-1062","\\imagefiles.bcgov\imagery\scanned_maps\moe_terrain_maps\Scanned_T_maps_all\C04\C04-1062")</f>
        <v>\\imagefiles.bcgov\imagery\scanned_maps\moe_terrain_maps\Scanned_T_maps_all\C04\C04-1062</v>
      </c>
      <c r="S476" t="s">
        <v>62</v>
      </c>
      <c r="T476" s="11" t="str">
        <f>HYPERLINK("http://www.env.gov.bc.ca/esd/distdata/ecosystems/TEI_Scanned_Maps/C04/C04-1062","http://www.env.gov.bc.ca/esd/distdata/ecosystems/TEI_Scanned_Maps/C04/C04-1062")</f>
        <v>http://www.env.gov.bc.ca/esd/distdata/ecosystems/TEI_Scanned_Maps/C04/C04-1062</v>
      </c>
      <c r="U476" t="s">
        <v>58</v>
      </c>
      <c r="V476" t="s">
        <v>58</v>
      </c>
      <c r="W476" t="s">
        <v>58</v>
      </c>
      <c r="X476" t="s">
        <v>58</v>
      </c>
      <c r="Y476" t="s">
        <v>58</v>
      </c>
      <c r="Z476" t="s">
        <v>58</v>
      </c>
      <c r="AA476" t="s">
        <v>58</v>
      </c>
      <c r="AC476" t="s">
        <v>58</v>
      </c>
      <c r="AE476" t="s">
        <v>58</v>
      </c>
      <c r="AG476" t="s">
        <v>63</v>
      </c>
      <c r="AH476" s="11" t="str">
        <f t="shared" si="10"/>
        <v>mailto: soilterrain@victoria1.gov.bc.ca</v>
      </c>
    </row>
    <row r="477" spans="1:34">
      <c r="A477" t="s">
        <v>1217</v>
      </c>
      <c r="B477" t="s">
        <v>56</v>
      </c>
      <c r="C477" s="10" t="s">
        <v>1218</v>
      </c>
      <c r="D477" t="s">
        <v>58</v>
      </c>
      <c r="E477" t="s">
        <v>497</v>
      </c>
      <c r="F477" t="s">
        <v>502</v>
      </c>
      <c r="G477">
        <v>50000</v>
      </c>
      <c r="H477">
        <v>1988</v>
      </c>
      <c r="I477" t="s">
        <v>58</v>
      </c>
      <c r="J477" t="s">
        <v>58</v>
      </c>
      <c r="K477" t="s">
        <v>58</v>
      </c>
      <c r="L477" t="s">
        <v>58</v>
      </c>
      <c r="M477" t="s">
        <v>58</v>
      </c>
      <c r="N477" t="s">
        <v>61</v>
      </c>
      <c r="Q477" t="s">
        <v>58</v>
      </c>
      <c r="R477" s="11" t="str">
        <f>HYPERLINK("\\imagefiles.bcgov\imagery\scanned_maps\moe_terrain_maps\Scanned_T_maps_all\C04\C04-1065","\\imagefiles.bcgov\imagery\scanned_maps\moe_terrain_maps\Scanned_T_maps_all\C04\C04-1065")</f>
        <v>\\imagefiles.bcgov\imagery\scanned_maps\moe_terrain_maps\Scanned_T_maps_all\C04\C04-1065</v>
      </c>
      <c r="S477" t="s">
        <v>62</v>
      </c>
      <c r="T477" s="11" t="str">
        <f>HYPERLINK("http://www.env.gov.bc.ca/esd/distdata/ecosystems/TEI_Scanned_Maps/C04/C04-1065","http://www.env.gov.bc.ca/esd/distdata/ecosystems/TEI_Scanned_Maps/C04/C04-1065")</f>
        <v>http://www.env.gov.bc.ca/esd/distdata/ecosystems/TEI_Scanned_Maps/C04/C04-1065</v>
      </c>
      <c r="U477" t="s">
        <v>58</v>
      </c>
      <c r="V477" t="s">
        <v>58</v>
      </c>
      <c r="W477" t="s">
        <v>58</v>
      </c>
      <c r="X477" t="s">
        <v>58</v>
      </c>
      <c r="Y477" t="s">
        <v>58</v>
      </c>
      <c r="Z477" t="s">
        <v>58</v>
      </c>
      <c r="AA477" t="s">
        <v>58</v>
      </c>
      <c r="AC477" t="s">
        <v>58</v>
      </c>
      <c r="AE477" t="s">
        <v>58</v>
      </c>
      <c r="AG477" t="s">
        <v>63</v>
      </c>
      <c r="AH477" s="11" t="str">
        <f t="shared" si="10"/>
        <v>mailto: soilterrain@victoria1.gov.bc.ca</v>
      </c>
    </row>
    <row r="478" spans="1:34">
      <c r="A478" t="s">
        <v>1219</v>
      </c>
      <c r="B478" t="s">
        <v>56</v>
      </c>
      <c r="C478" s="10" t="s">
        <v>1220</v>
      </c>
      <c r="D478" t="s">
        <v>58</v>
      </c>
      <c r="E478" t="s">
        <v>497</v>
      </c>
      <c r="F478" t="s">
        <v>1139</v>
      </c>
      <c r="G478">
        <v>50000</v>
      </c>
      <c r="H478">
        <v>1987</v>
      </c>
      <c r="I478" t="s">
        <v>58</v>
      </c>
      <c r="J478" t="s">
        <v>58</v>
      </c>
      <c r="K478" t="s">
        <v>58</v>
      </c>
      <c r="L478" t="s">
        <v>58</v>
      </c>
      <c r="M478" t="s">
        <v>58</v>
      </c>
      <c r="N478" t="s">
        <v>61</v>
      </c>
      <c r="Q478" t="s">
        <v>58</v>
      </c>
      <c r="R478" s="11" t="str">
        <f>HYPERLINK("\\imagefiles.bcgov\imagery\scanned_maps\moe_terrain_maps\Scanned_T_maps_all\C04\C04-1068","\\imagefiles.bcgov\imagery\scanned_maps\moe_terrain_maps\Scanned_T_maps_all\C04\C04-1068")</f>
        <v>\\imagefiles.bcgov\imagery\scanned_maps\moe_terrain_maps\Scanned_T_maps_all\C04\C04-1068</v>
      </c>
      <c r="S478" t="s">
        <v>62</v>
      </c>
      <c r="T478" s="11" t="str">
        <f>HYPERLINK("http://www.env.gov.bc.ca/esd/distdata/ecosystems/TEI_Scanned_Maps/C04/C04-1068","http://www.env.gov.bc.ca/esd/distdata/ecosystems/TEI_Scanned_Maps/C04/C04-1068")</f>
        <v>http://www.env.gov.bc.ca/esd/distdata/ecosystems/TEI_Scanned_Maps/C04/C04-1068</v>
      </c>
      <c r="U478" t="s">
        <v>58</v>
      </c>
      <c r="V478" t="s">
        <v>58</v>
      </c>
      <c r="W478" t="s">
        <v>58</v>
      </c>
      <c r="X478" t="s">
        <v>58</v>
      </c>
      <c r="Y478" t="s">
        <v>58</v>
      </c>
      <c r="Z478" t="s">
        <v>58</v>
      </c>
      <c r="AA478" t="s">
        <v>58</v>
      </c>
      <c r="AC478" t="s">
        <v>58</v>
      </c>
      <c r="AE478" t="s">
        <v>58</v>
      </c>
      <c r="AG478" t="s">
        <v>63</v>
      </c>
      <c r="AH478" s="11" t="str">
        <f t="shared" si="10"/>
        <v>mailto: soilterrain@victoria1.gov.bc.ca</v>
      </c>
    </row>
    <row r="479" spans="1:34">
      <c r="A479" t="s">
        <v>1221</v>
      </c>
      <c r="B479" t="s">
        <v>56</v>
      </c>
      <c r="C479" s="10" t="s">
        <v>1222</v>
      </c>
      <c r="D479" t="s">
        <v>58</v>
      </c>
      <c r="E479" t="s">
        <v>497</v>
      </c>
      <c r="F479" t="s">
        <v>498</v>
      </c>
      <c r="G479">
        <v>50000</v>
      </c>
      <c r="H479">
        <v>1987</v>
      </c>
      <c r="I479" t="s">
        <v>58</v>
      </c>
      <c r="J479" t="s">
        <v>58</v>
      </c>
      <c r="K479" t="s">
        <v>58</v>
      </c>
      <c r="L479" t="s">
        <v>58</v>
      </c>
      <c r="M479" t="s">
        <v>58</v>
      </c>
      <c r="N479" t="s">
        <v>61</v>
      </c>
      <c r="Q479" t="s">
        <v>58</v>
      </c>
      <c r="R479" s="11" t="str">
        <f>HYPERLINK("\\imagefiles.bcgov\imagery\scanned_maps\moe_terrain_maps\Scanned_T_maps_all\C04\C04-1078","\\imagefiles.bcgov\imagery\scanned_maps\moe_terrain_maps\Scanned_T_maps_all\C04\C04-1078")</f>
        <v>\\imagefiles.bcgov\imagery\scanned_maps\moe_terrain_maps\Scanned_T_maps_all\C04\C04-1078</v>
      </c>
      <c r="S479" t="s">
        <v>62</v>
      </c>
      <c r="T479" s="11" t="str">
        <f>HYPERLINK("http://www.env.gov.bc.ca/esd/distdata/ecosystems/TEI_Scanned_Maps/C04/C04-1078","http://www.env.gov.bc.ca/esd/distdata/ecosystems/TEI_Scanned_Maps/C04/C04-1078")</f>
        <v>http://www.env.gov.bc.ca/esd/distdata/ecosystems/TEI_Scanned_Maps/C04/C04-1078</v>
      </c>
      <c r="U479" t="s">
        <v>58</v>
      </c>
      <c r="V479" t="s">
        <v>58</v>
      </c>
      <c r="W479" t="s">
        <v>58</v>
      </c>
      <c r="X479" t="s">
        <v>58</v>
      </c>
      <c r="Y479" t="s">
        <v>58</v>
      </c>
      <c r="Z479" t="s">
        <v>58</v>
      </c>
      <c r="AA479" t="s">
        <v>58</v>
      </c>
      <c r="AC479" t="s">
        <v>58</v>
      </c>
      <c r="AE479" t="s">
        <v>58</v>
      </c>
      <c r="AG479" t="s">
        <v>63</v>
      </c>
      <c r="AH479" s="11" t="str">
        <f t="shared" si="10"/>
        <v>mailto: soilterrain@victoria1.gov.bc.ca</v>
      </c>
    </row>
    <row r="480" spans="1:34">
      <c r="A480" t="s">
        <v>1223</v>
      </c>
      <c r="B480" t="s">
        <v>56</v>
      </c>
      <c r="C480" s="10" t="s">
        <v>1224</v>
      </c>
      <c r="D480" t="s">
        <v>58</v>
      </c>
      <c r="E480" t="s">
        <v>497</v>
      </c>
      <c r="F480" t="s">
        <v>502</v>
      </c>
      <c r="G480">
        <v>50000</v>
      </c>
      <c r="H480">
        <v>1986</v>
      </c>
      <c r="I480" t="s">
        <v>58</v>
      </c>
      <c r="J480" t="s">
        <v>58</v>
      </c>
      <c r="K480" t="s">
        <v>58</v>
      </c>
      <c r="L480" t="s">
        <v>58</v>
      </c>
      <c r="M480" t="s">
        <v>58</v>
      </c>
      <c r="N480" t="s">
        <v>61</v>
      </c>
      <c r="Q480" t="s">
        <v>58</v>
      </c>
      <c r="R480" s="11" t="str">
        <f>HYPERLINK("\\imagefiles.bcgov\imagery\scanned_maps\moe_terrain_maps\Scanned_T_maps_all\C04\C04-1080","\\imagefiles.bcgov\imagery\scanned_maps\moe_terrain_maps\Scanned_T_maps_all\C04\C04-1080")</f>
        <v>\\imagefiles.bcgov\imagery\scanned_maps\moe_terrain_maps\Scanned_T_maps_all\C04\C04-1080</v>
      </c>
      <c r="S480" t="s">
        <v>62</v>
      </c>
      <c r="T480" s="11" t="str">
        <f>HYPERLINK("http://www.env.gov.bc.ca/esd/distdata/ecosystems/TEI_Scanned_Maps/C04/C04-1080","http://www.env.gov.bc.ca/esd/distdata/ecosystems/TEI_Scanned_Maps/C04/C04-1080")</f>
        <v>http://www.env.gov.bc.ca/esd/distdata/ecosystems/TEI_Scanned_Maps/C04/C04-1080</v>
      </c>
      <c r="U480" t="s">
        <v>58</v>
      </c>
      <c r="V480" t="s">
        <v>58</v>
      </c>
      <c r="W480" t="s">
        <v>58</v>
      </c>
      <c r="X480" t="s">
        <v>58</v>
      </c>
      <c r="Y480" t="s">
        <v>58</v>
      </c>
      <c r="Z480" t="s">
        <v>58</v>
      </c>
      <c r="AA480" t="s">
        <v>58</v>
      </c>
      <c r="AC480" t="s">
        <v>58</v>
      </c>
      <c r="AE480" t="s">
        <v>58</v>
      </c>
      <c r="AG480" t="s">
        <v>63</v>
      </c>
      <c r="AH480" s="11" t="str">
        <f t="shared" si="10"/>
        <v>mailto: soilterrain@victoria1.gov.bc.ca</v>
      </c>
    </row>
    <row r="481" spans="1:34">
      <c r="A481" t="s">
        <v>1225</v>
      </c>
      <c r="B481" t="s">
        <v>56</v>
      </c>
      <c r="C481" s="10" t="s">
        <v>1226</v>
      </c>
      <c r="D481" t="s">
        <v>58</v>
      </c>
      <c r="E481" t="s">
        <v>497</v>
      </c>
      <c r="F481" t="s">
        <v>1227</v>
      </c>
      <c r="G481">
        <v>50000</v>
      </c>
      <c r="H481">
        <v>1989</v>
      </c>
      <c r="I481" t="s">
        <v>58</v>
      </c>
      <c r="J481" t="s">
        <v>58</v>
      </c>
      <c r="K481" t="s">
        <v>58</v>
      </c>
      <c r="L481" t="s">
        <v>58</v>
      </c>
      <c r="M481" t="s">
        <v>58</v>
      </c>
      <c r="N481" t="s">
        <v>61</v>
      </c>
      <c r="Q481" t="s">
        <v>58</v>
      </c>
      <c r="R481" s="11" t="str">
        <f>HYPERLINK("\\imagefiles.bcgov\imagery\scanned_maps\moe_terrain_maps\Scanned_T_maps_all\C04\C04-1087","\\imagefiles.bcgov\imagery\scanned_maps\moe_terrain_maps\Scanned_T_maps_all\C04\C04-1087")</f>
        <v>\\imagefiles.bcgov\imagery\scanned_maps\moe_terrain_maps\Scanned_T_maps_all\C04\C04-1087</v>
      </c>
      <c r="S481" t="s">
        <v>62</v>
      </c>
      <c r="T481" s="11" t="str">
        <f>HYPERLINK("http://www.env.gov.bc.ca/esd/distdata/ecosystems/TEI_Scanned_Maps/C04/C04-1087","http://www.env.gov.bc.ca/esd/distdata/ecosystems/TEI_Scanned_Maps/C04/C04-1087")</f>
        <v>http://www.env.gov.bc.ca/esd/distdata/ecosystems/TEI_Scanned_Maps/C04/C04-1087</v>
      </c>
      <c r="U481" t="s">
        <v>58</v>
      </c>
      <c r="V481" t="s">
        <v>58</v>
      </c>
      <c r="W481" t="s">
        <v>58</v>
      </c>
      <c r="X481" t="s">
        <v>58</v>
      </c>
      <c r="Y481" t="s">
        <v>58</v>
      </c>
      <c r="Z481" t="s">
        <v>58</v>
      </c>
      <c r="AA481" t="s">
        <v>58</v>
      </c>
      <c r="AC481" t="s">
        <v>58</v>
      </c>
      <c r="AE481" t="s">
        <v>58</v>
      </c>
      <c r="AG481" t="s">
        <v>63</v>
      </c>
      <c r="AH481" s="11" t="str">
        <f t="shared" si="10"/>
        <v>mailto: soilterrain@victoria1.gov.bc.ca</v>
      </c>
    </row>
    <row r="482" spans="1:34">
      <c r="A482" t="s">
        <v>1228</v>
      </c>
      <c r="B482" t="s">
        <v>56</v>
      </c>
      <c r="C482" s="10" t="s">
        <v>141</v>
      </c>
      <c r="D482" t="s">
        <v>58</v>
      </c>
      <c r="E482" t="s">
        <v>497</v>
      </c>
      <c r="F482" t="s">
        <v>1229</v>
      </c>
      <c r="G482">
        <v>50000</v>
      </c>
      <c r="H482">
        <v>1988</v>
      </c>
      <c r="I482" t="s">
        <v>58</v>
      </c>
      <c r="J482" t="s">
        <v>58</v>
      </c>
      <c r="K482" t="s">
        <v>58</v>
      </c>
      <c r="L482" t="s">
        <v>58</v>
      </c>
      <c r="M482" t="s">
        <v>58</v>
      </c>
      <c r="N482" t="s">
        <v>61</v>
      </c>
      <c r="Q482" t="s">
        <v>58</v>
      </c>
      <c r="R482" s="11" t="str">
        <f>HYPERLINK("\\imagefiles.bcgov\imagery\scanned_maps\moe_terrain_maps\Scanned_T_maps_all\C04\C04-1302","\\imagefiles.bcgov\imagery\scanned_maps\moe_terrain_maps\Scanned_T_maps_all\C04\C04-1302")</f>
        <v>\\imagefiles.bcgov\imagery\scanned_maps\moe_terrain_maps\Scanned_T_maps_all\C04\C04-1302</v>
      </c>
      <c r="S482" t="s">
        <v>62</v>
      </c>
      <c r="T482" s="11" t="str">
        <f>HYPERLINK("http://www.env.gov.bc.ca/esd/distdata/ecosystems/TEI_Scanned_Maps/C04/C04-1302","http://www.env.gov.bc.ca/esd/distdata/ecosystems/TEI_Scanned_Maps/C04/C04-1302")</f>
        <v>http://www.env.gov.bc.ca/esd/distdata/ecosystems/TEI_Scanned_Maps/C04/C04-1302</v>
      </c>
      <c r="U482" t="s">
        <v>58</v>
      </c>
      <c r="V482" t="s">
        <v>58</v>
      </c>
      <c r="W482" t="s">
        <v>58</v>
      </c>
      <c r="X482" t="s">
        <v>58</v>
      </c>
      <c r="Y482" t="s">
        <v>58</v>
      </c>
      <c r="Z482" t="s">
        <v>58</v>
      </c>
      <c r="AA482" t="s">
        <v>58</v>
      </c>
      <c r="AC482" t="s">
        <v>58</v>
      </c>
      <c r="AE482" t="s">
        <v>58</v>
      </c>
      <c r="AG482" t="s">
        <v>63</v>
      </c>
      <c r="AH482" s="11" t="str">
        <f t="shared" si="10"/>
        <v>mailto: soilterrain@victoria1.gov.bc.ca</v>
      </c>
    </row>
    <row r="483" spans="1:34">
      <c r="A483" t="s">
        <v>1230</v>
      </c>
      <c r="B483" t="s">
        <v>56</v>
      </c>
      <c r="C483" s="10" t="s">
        <v>580</v>
      </c>
      <c r="D483" t="s">
        <v>58</v>
      </c>
      <c r="E483" t="s">
        <v>497</v>
      </c>
      <c r="F483" t="s">
        <v>1231</v>
      </c>
      <c r="G483">
        <v>50000</v>
      </c>
      <c r="H483" t="s">
        <v>187</v>
      </c>
      <c r="I483" t="s">
        <v>58</v>
      </c>
      <c r="J483" t="s">
        <v>58</v>
      </c>
      <c r="K483" t="s">
        <v>58</v>
      </c>
      <c r="L483" t="s">
        <v>58</v>
      </c>
      <c r="M483" t="s">
        <v>58</v>
      </c>
      <c r="N483" t="s">
        <v>61</v>
      </c>
      <c r="Q483" t="s">
        <v>58</v>
      </c>
      <c r="R483" s="11" t="str">
        <f>HYPERLINK("\\imagefiles.bcgov\imagery\scanned_maps\moe_terrain_maps\Scanned_T_maps_all\C04\C04-1304","\\imagefiles.bcgov\imagery\scanned_maps\moe_terrain_maps\Scanned_T_maps_all\C04\C04-1304")</f>
        <v>\\imagefiles.bcgov\imagery\scanned_maps\moe_terrain_maps\Scanned_T_maps_all\C04\C04-1304</v>
      </c>
      <c r="S483" t="s">
        <v>62</v>
      </c>
      <c r="T483" s="11" t="str">
        <f>HYPERLINK("http://www.env.gov.bc.ca/esd/distdata/ecosystems/TEI_Scanned_Maps/C04/C04-1304","http://www.env.gov.bc.ca/esd/distdata/ecosystems/TEI_Scanned_Maps/C04/C04-1304")</f>
        <v>http://www.env.gov.bc.ca/esd/distdata/ecosystems/TEI_Scanned_Maps/C04/C04-1304</v>
      </c>
      <c r="U483" t="s">
        <v>58</v>
      </c>
      <c r="V483" t="s">
        <v>58</v>
      </c>
      <c r="W483" t="s">
        <v>58</v>
      </c>
      <c r="X483" t="s">
        <v>58</v>
      </c>
      <c r="Y483" t="s">
        <v>58</v>
      </c>
      <c r="Z483" t="s">
        <v>58</v>
      </c>
      <c r="AA483" t="s">
        <v>58</v>
      </c>
      <c r="AC483" t="s">
        <v>58</v>
      </c>
      <c r="AE483" t="s">
        <v>58</v>
      </c>
      <c r="AG483" t="s">
        <v>63</v>
      </c>
      <c r="AH483" s="11" t="str">
        <f t="shared" si="10"/>
        <v>mailto: soilterrain@victoria1.gov.bc.ca</v>
      </c>
    </row>
    <row r="484" spans="1:34">
      <c r="A484" t="s">
        <v>1232</v>
      </c>
      <c r="B484" t="s">
        <v>56</v>
      </c>
      <c r="C484" s="10" t="s">
        <v>1233</v>
      </c>
      <c r="D484" t="s">
        <v>58</v>
      </c>
      <c r="E484" t="s">
        <v>497</v>
      </c>
      <c r="F484" t="s">
        <v>502</v>
      </c>
      <c r="G484">
        <v>50000</v>
      </c>
      <c r="H484">
        <v>1988</v>
      </c>
      <c r="I484" t="s">
        <v>58</v>
      </c>
      <c r="J484" t="s">
        <v>58</v>
      </c>
      <c r="K484" t="s">
        <v>58</v>
      </c>
      <c r="L484" t="s">
        <v>58</v>
      </c>
      <c r="M484" t="s">
        <v>58</v>
      </c>
      <c r="N484" t="s">
        <v>61</v>
      </c>
      <c r="Q484" t="s">
        <v>58</v>
      </c>
      <c r="R484" s="11" t="str">
        <f>HYPERLINK("\\imagefiles.bcgov\imagery\scanned_maps\moe_terrain_maps\Scanned_T_maps_all\C04\C04-1310","\\imagefiles.bcgov\imagery\scanned_maps\moe_terrain_maps\Scanned_T_maps_all\C04\C04-1310")</f>
        <v>\\imagefiles.bcgov\imagery\scanned_maps\moe_terrain_maps\Scanned_T_maps_all\C04\C04-1310</v>
      </c>
      <c r="S484" t="s">
        <v>62</v>
      </c>
      <c r="T484" s="11" t="str">
        <f>HYPERLINK("http://www.env.gov.bc.ca/esd/distdata/ecosystems/TEI_Scanned_Maps/C04/C04-1310","http://www.env.gov.bc.ca/esd/distdata/ecosystems/TEI_Scanned_Maps/C04/C04-1310")</f>
        <v>http://www.env.gov.bc.ca/esd/distdata/ecosystems/TEI_Scanned_Maps/C04/C04-1310</v>
      </c>
      <c r="U484" t="s">
        <v>58</v>
      </c>
      <c r="V484" t="s">
        <v>58</v>
      </c>
      <c r="W484" t="s">
        <v>58</v>
      </c>
      <c r="X484" t="s">
        <v>58</v>
      </c>
      <c r="Y484" t="s">
        <v>58</v>
      </c>
      <c r="Z484" t="s">
        <v>58</v>
      </c>
      <c r="AA484" t="s">
        <v>58</v>
      </c>
      <c r="AC484" t="s">
        <v>58</v>
      </c>
      <c r="AE484" t="s">
        <v>58</v>
      </c>
      <c r="AG484" t="s">
        <v>63</v>
      </c>
      <c r="AH484" s="11" t="str">
        <f t="shared" si="10"/>
        <v>mailto: soilterrain@victoria1.gov.bc.ca</v>
      </c>
    </row>
    <row r="485" spans="1:34">
      <c r="A485" t="s">
        <v>1234</v>
      </c>
      <c r="B485" t="s">
        <v>56</v>
      </c>
      <c r="C485" s="10" t="s">
        <v>161</v>
      </c>
      <c r="D485" t="s">
        <v>58</v>
      </c>
      <c r="E485" t="s">
        <v>497</v>
      </c>
      <c r="F485" t="s">
        <v>502</v>
      </c>
      <c r="G485">
        <v>50000</v>
      </c>
      <c r="H485">
        <v>1987</v>
      </c>
      <c r="I485" t="s">
        <v>58</v>
      </c>
      <c r="J485" t="s">
        <v>58</v>
      </c>
      <c r="K485" t="s">
        <v>58</v>
      </c>
      <c r="L485" t="s">
        <v>58</v>
      </c>
      <c r="M485" t="s">
        <v>58</v>
      </c>
      <c r="N485" t="s">
        <v>61</v>
      </c>
      <c r="Q485" t="s">
        <v>58</v>
      </c>
      <c r="R485" s="11" t="str">
        <f>HYPERLINK("\\imagefiles.bcgov\imagery\scanned_maps\moe_terrain_maps\Scanned_T_maps_all\C04\C04-1312","\\imagefiles.bcgov\imagery\scanned_maps\moe_terrain_maps\Scanned_T_maps_all\C04\C04-1312")</f>
        <v>\\imagefiles.bcgov\imagery\scanned_maps\moe_terrain_maps\Scanned_T_maps_all\C04\C04-1312</v>
      </c>
      <c r="S485" t="s">
        <v>62</v>
      </c>
      <c r="T485" s="11" t="str">
        <f>HYPERLINK("http://www.env.gov.bc.ca/esd/distdata/ecosystems/TEI_Scanned_Maps/C04/C04-1312","http://www.env.gov.bc.ca/esd/distdata/ecosystems/TEI_Scanned_Maps/C04/C04-1312")</f>
        <v>http://www.env.gov.bc.ca/esd/distdata/ecosystems/TEI_Scanned_Maps/C04/C04-1312</v>
      </c>
      <c r="U485" t="s">
        <v>58</v>
      </c>
      <c r="V485" t="s">
        <v>58</v>
      </c>
      <c r="W485" t="s">
        <v>58</v>
      </c>
      <c r="X485" t="s">
        <v>58</v>
      </c>
      <c r="Y485" t="s">
        <v>58</v>
      </c>
      <c r="Z485" t="s">
        <v>58</v>
      </c>
      <c r="AA485" t="s">
        <v>58</v>
      </c>
      <c r="AC485" t="s">
        <v>58</v>
      </c>
      <c r="AE485" t="s">
        <v>58</v>
      </c>
      <c r="AG485" t="s">
        <v>63</v>
      </c>
      <c r="AH485" s="11" t="str">
        <f t="shared" si="10"/>
        <v>mailto: soilterrain@victoria1.gov.bc.ca</v>
      </c>
    </row>
    <row r="486" spans="1:34">
      <c r="A486" t="s">
        <v>1235</v>
      </c>
      <c r="B486" t="s">
        <v>56</v>
      </c>
      <c r="C486" s="10" t="s">
        <v>656</v>
      </c>
      <c r="D486" t="s">
        <v>58</v>
      </c>
      <c r="E486" t="s">
        <v>497</v>
      </c>
      <c r="F486" t="s">
        <v>502</v>
      </c>
      <c r="G486">
        <v>50000</v>
      </c>
      <c r="H486">
        <v>1987</v>
      </c>
      <c r="I486" t="s">
        <v>58</v>
      </c>
      <c r="J486" t="s">
        <v>58</v>
      </c>
      <c r="K486" t="s">
        <v>58</v>
      </c>
      <c r="L486" t="s">
        <v>58</v>
      </c>
      <c r="M486" t="s">
        <v>58</v>
      </c>
      <c r="N486" t="s">
        <v>61</v>
      </c>
      <c r="Q486" t="s">
        <v>58</v>
      </c>
      <c r="R486" s="11" t="str">
        <f>HYPERLINK("\\imagefiles.bcgov\imagery\scanned_maps\moe_terrain_maps\Scanned_T_maps_all\C04\C04-1314","\\imagefiles.bcgov\imagery\scanned_maps\moe_terrain_maps\Scanned_T_maps_all\C04\C04-1314")</f>
        <v>\\imagefiles.bcgov\imagery\scanned_maps\moe_terrain_maps\Scanned_T_maps_all\C04\C04-1314</v>
      </c>
      <c r="S486" t="s">
        <v>62</v>
      </c>
      <c r="T486" s="11" t="str">
        <f>HYPERLINK("http://www.env.gov.bc.ca/esd/distdata/ecosystems/TEI_Scanned_Maps/C04/C04-1314","http://www.env.gov.bc.ca/esd/distdata/ecosystems/TEI_Scanned_Maps/C04/C04-1314")</f>
        <v>http://www.env.gov.bc.ca/esd/distdata/ecosystems/TEI_Scanned_Maps/C04/C04-1314</v>
      </c>
      <c r="U486" t="s">
        <v>58</v>
      </c>
      <c r="V486" t="s">
        <v>58</v>
      </c>
      <c r="W486" t="s">
        <v>58</v>
      </c>
      <c r="X486" t="s">
        <v>58</v>
      </c>
      <c r="Y486" t="s">
        <v>58</v>
      </c>
      <c r="Z486" t="s">
        <v>58</v>
      </c>
      <c r="AA486" t="s">
        <v>58</v>
      </c>
      <c r="AC486" t="s">
        <v>58</v>
      </c>
      <c r="AE486" t="s">
        <v>58</v>
      </c>
      <c r="AG486" t="s">
        <v>63</v>
      </c>
      <c r="AH486" s="11" t="str">
        <f t="shared" si="10"/>
        <v>mailto: soilterrain@victoria1.gov.bc.ca</v>
      </c>
    </row>
    <row r="487" spans="1:34">
      <c r="A487" t="s">
        <v>1236</v>
      </c>
      <c r="B487" t="s">
        <v>56</v>
      </c>
      <c r="C487" s="10" t="s">
        <v>653</v>
      </c>
      <c r="D487" t="s">
        <v>58</v>
      </c>
      <c r="E487" t="s">
        <v>497</v>
      </c>
      <c r="F487" t="s">
        <v>502</v>
      </c>
      <c r="G487">
        <v>50000</v>
      </c>
      <c r="H487">
        <v>1986</v>
      </c>
      <c r="I487" t="s">
        <v>58</v>
      </c>
      <c r="J487" t="s">
        <v>58</v>
      </c>
      <c r="K487" t="s">
        <v>58</v>
      </c>
      <c r="L487" t="s">
        <v>58</v>
      </c>
      <c r="M487" t="s">
        <v>58</v>
      </c>
      <c r="N487" t="s">
        <v>61</v>
      </c>
      <c r="Q487" t="s">
        <v>58</v>
      </c>
      <c r="R487" s="11" t="str">
        <f>HYPERLINK("\\imagefiles.bcgov\imagery\scanned_maps\moe_terrain_maps\Scanned_T_maps_all\C04\C04-1315","\\imagefiles.bcgov\imagery\scanned_maps\moe_terrain_maps\Scanned_T_maps_all\C04\C04-1315")</f>
        <v>\\imagefiles.bcgov\imagery\scanned_maps\moe_terrain_maps\Scanned_T_maps_all\C04\C04-1315</v>
      </c>
      <c r="S487" t="s">
        <v>62</v>
      </c>
      <c r="T487" s="11" t="str">
        <f>HYPERLINK("http://www.env.gov.bc.ca/esd/distdata/ecosystems/TEI_Scanned_Maps/C04/C04-1315","http://www.env.gov.bc.ca/esd/distdata/ecosystems/TEI_Scanned_Maps/C04/C04-1315")</f>
        <v>http://www.env.gov.bc.ca/esd/distdata/ecosystems/TEI_Scanned_Maps/C04/C04-1315</v>
      </c>
      <c r="U487" t="s">
        <v>58</v>
      </c>
      <c r="V487" t="s">
        <v>58</v>
      </c>
      <c r="W487" t="s">
        <v>58</v>
      </c>
      <c r="X487" t="s">
        <v>58</v>
      </c>
      <c r="Y487" t="s">
        <v>58</v>
      </c>
      <c r="Z487" t="s">
        <v>58</v>
      </c>
      <c r="AA487" t="s">
        <v>58</v>
      </c>
      <c r="AC487" t="s">
        <v>58</v>
      </c>
      <c r="AE487" t="s">
        <v>58</v>
      </c>
      <c r="AG487" t="s">
        <v>63</v>
      </c>
      <c r="AH487" s="11" t="str">
        <f t="shared" si="10"/>
        <v>mailto: soilterrain@victoria1.gov.bc.ca</v>
      </c>
    </row>
    <row r="488" spans="1:34">
      <c r="A488" t="s">
        <v>1237</v>
      </c>
      <c r="B488" t="s">
        <v>56</v>
      </c>
      <c r="C488" s="10" t="s">
        <v>1238</v>
      </c>
      <c r="D488" t="s">
        <v>58</v>
      </c>
      <c r="E488" t="s">
        <v>497</v>
      </c>
      <c r="F488" t="s">
        <v>1239</v>
      </c>
      <c r="G488">
        <v>50000</v>
      </c>
      <c r="H488">
        <v>1989</v>
      </c>
      <c r="I488" t="s">
        <v>58</v>
      </c>
      <c r="J488" t="s">
        <v>58</v>
      </c>
      <c r="K488" t="s">
        <v>58</v>
      </c>
      <c r="L488" t="s">
        <v>58</v>
      </c>
      <c r="M488" t="s">
        <v>58</v>
      </c>
      <c r="N488" t="s">
        <v>61</v>
      </c>
      <c r="Q488" t="s">
        <v>58</v>
      </c>
      <c r="R488" s="11" t="str">
        <f>HYPERLINK("\\imagefiles.bcgov\imagery\scanned_maps\moe_terrain_maps\Scanned_T_maps_all\C04\C04-1318","\\imagefiles.bcgov\imagery\scanned_maps\moe_terrain_maps\Scanned_T_maps_all\C04\C04-1318")</f>
        <v>\\imagefiles.bcgov\imagery\scanned_maps\moe_terrain_maps\Scanned_T_maps_all\C04\C04-1318</v>
      </c>
      <c r="S488" t="s">
        <v>62</v>
      </c>
      <c r="T488" s="11" t="str">
        <f>HYPERLINK("http://www.env.gov.bc.ca/esd/distdata/ecosystems/TEI_Scanned_Maps/C04/C04-1318","http://www.env.gov.bc.ca/esd/distdata/ecosystems/TEI_Scanned_Maps/C04/C04-1318")</f>
        <v>http://www.env.gov.bc.ca/esd/distdata/ecosystems/TEI_Scanned_Maps/C04/C04-1318</v>
      </c>
      <c r="U488" t="s">
        <v>58</v>
      </c>
      <c r="V488" t="s">
        <v>58</v>
      </c>
      <c r="W488" t="s">
        <v>58</v>
      </c>
      <c r="X488" t="s">
        <v>58</v>
      </c>
      <c r="Y488" t="s">
        <v>58</v>
      </c>
      <c r="Z488" t="s">
        <v>58</v>
      </c>
      <c r="AA488" t="s">
        <v>58</v>
      </c>
      <c r="AC488" t="s">
        <v>58</v>
      </c>
      <c r="AE488" t="s">
        <v>58</v>
      </c>
      <c r="AG488" t="s">
        <v>63</v>
      </c>
      <c r="AH488" s="11" t="str">
        <f t="shared" si="10"/>
        <v>mailto: soilterrain@victoria1.gov.bc.ca</v>
      </c>
    </row>
    <row r="489" spans="1:34">
      <c r="A489" t="s">
        <v>1240</v>
      </c>
      <c r="B489" t="s">
        <v>56</v>
      </c>
      <c r="C489" s="10" t="s">
        <v>1241</v>
      </c>
      <c r="D489" t="s">
        <v>58</v>
      </c>
      <c r="E489" t="s">
        <v>497</v>
      </c>
      <c r="F489" t="s">
        <v>502</v>
      </c>
      <c r="G489">
        <v>50000</v>
      </c>
      <c r="H489">
        <v>1988</v>
      </c>
      <c r="I489" t="s">
        <v>58</v>
      </c>
      <c r="J489" t="s">
        <v>58</v>
      </c>
      <c r="K489" t="s">
        <v>58</v>
      </c>
      <c r="L489" t="s">
        <v>58</v>
      </c>
      <c r="M489" t="s">
        <v>58</v>
      </c>
      <c r="N489" t="s">
        <v>61</v>
      </c>
      <c r="Q489" t="s">
        <v>58</v>
      </c>
      <c r="R489" s="11" t="str">
        <f>HYPERLINK("\\imagefiles.bcgov\imagery\scanned_maps\moe_terrain_maps\Scanned_T_maps_all\C04\C04-1324","\\imagefiles.bcgov\imagery\scanned_maps\moe_terrain_maps\Scanned_T_maps_all\C04\C04-1324")</f>
        <v>\\imagefiles.bcgov\imagery\scanned_maps\moe_terrain_maps\Scanned_T_maps_all\C04\C04-1324</v>
      </c>
      <c r="S489" t="s">
        <v>62</v>
      </c>
      <c r="T489" s="11" t="str">
        <f>HYPERLINK("http://www.env.gov.bc.ca/esd/distdata/ecosystems/TEI_Scanned_Maps/C04/C04-1324","http://www.env.gov.bc.ca/esd/distdata/ecosystems/TEI_Scanned_Maps/C04/C04-1324")</f>
        <v>http://www.env.gov.bc.ca/esd/distdata/ecosystems/TEI_Scanned_Maps/C04/C04-1324</v>
      </c>
      <c r="U489" t="s">
        <v>58</v>
      </c>
      <c r="V489" t="s">
        <v>58</v>
      </c>
      <c r="W489" t="s">
        <v>58</v>
      </c>
      <c r="X489" t="s">
        <v>58</v>
      </c>
      <c r="Y489" t="s">
        <v>58</v>
      </c>
      <c r="Z489" t="s">
        <v>58</v>
      </c>
      <c r="AA489" t="s">
        <v>58</v>
      </c>
      <c r="AC489" t="s">
        <v>58</v>
      </c>
      <c r="AE489" t="s">
        <v>58</v>
      </c>
      <c r="AG489" t="s">
        <v>63</v>
      </c>
      <c r="AH489" s="11" t="str">
        <f t="shared" si="10"/>
        <v>mailto: soilterrain@victoria1.gov.bc.ca</v>
      </c>
    </row>
    <row r="490" spans="1:34">
      <c r="A490" t="s">
        <v>1242</v>
      </c>
      <c r="B490" t="s">
        <v>56</v>
      </c>
      <c r="C490" s="10" t="s">
        <v>647</v>
      </c>
      <c r="D490" t="s">
        <v>58</v>
      </c>
      <c r="E490" t="s">
        <v>497</v>
      </c>
      <c r="F490" t="s">
        <v>502</v>
      </c>
      <c r="G490">
        <v>50000</v>
      </c>
      <c r="H490" t="s">
        <v>187</v>
      </c>
      <c r="I490" t="s">
        <v>58</v>
      </c>
      <c r="J490" t="s">
        <v>58</v>
      </c>
      <c r="K490" t="s">
        <v>58</v>
      </c>
      <c r="L490" t="s">
        <v>58</v>
      </c>
      <c r="M490" t="s">
        <v>58</v>
      </c>
      <c r="N490" t="s">
        <v>61</v>
      </c>
      <c r="Q490" t="s">
        <v>58</v>
      </c>
      <c r="R490" s="11" t="str">
        <f>HYPERLINK("\\imagefiles.bcgov\imagery\scanned_maps\moe_terrain_maps\Scanned_T_maps_all\C04\C04-1327","\\imagefiles.bcgov\imagery\scanned_maps\moe_terrain_maps\Scanned_T_maps_all\C04\C04-1327")</f>
        <v>\\imagefiles.bcgov\imagery\scanned_maps\moe_terrain_maps\Scanned_T_maps_all\C04\C04-1327</v>
      </c>
      <c r="S490" t="s">
        <v>62</v>
      </c>
      <c r="T490" s="11" t="str">
        <f>HYPERLINK("http://www.env.gov.bc.ca/esd/distdata/ecosystems/TEI_Scanned_Maps/C04/C04-1327","http://www.env.gov.bc.ca/esd/distdata/ecosystems/TEI_Scanned_Maps/C04/C04-1327")</f>
        <v>http://www.env.gov.bc.ca/esd/distdata/ecosystems/TEI_Scanned_Maps/C04/C04-1327</v>
      </c>
      <c r="U490" t="s">
        <v>58</v>
      </c>
      <c r="V490" t="s">
        <v>58</v>
      </c>
      <c r="W490" t="s">
        <v>58</v>
      </c>
      <c r="X490" t="s">
        <v>58</v>
      </c>
      <c r="Y490" t="s">
        <v>58</v>
      </c>
      <c r="Z490" t="s">
        <v>58</v>
      </c>
      <c r="AA490" t="s">
        <v>58</v>
      </c>
      <c r="AC490" t="s">
        <v>58</v>
      </c>
      <c r="AE490" t="s">
        <v>58</v>
      </c>
      <c r="AG490" t="s">
        <v>63</v>
      </c>
      <c r="AH490" s="11" t="str">
        <f t="shared" si="10"/>
        <v>mailto: soilterrain@victoria1.gov.bc.ca</v>
      </c>
    </row>
    <row r="491" spans="1:34">
      <c r="A491" t="s">
        <v>1243</v>
      </c>
      <c r="B491" t="s">
        <v>56</v>
      </c>
      <c r="C491" s="10" t="s">
        <v>165</v>
      </c>
      <c r="D491" t="s">
        <v>58</v>
      </c>
      <c r="E491" t="s">
        <v>497</v>
      </c>
      <c r="F491" t="s">
        <v>1244</v>
      </c>
      <c r="G491">
        <v>50000</v>
      </c>
      <c r="H491">
        <v>1988</v>
      </c>
      <c r="I491" t="s">
        <v>58</v>
      </c>
      <c r="J491" t="s">
        <v>58</v>
      </c>
      <c r="K491" t="s">
        <v>58</v>
      </c>
      <c r="L491" t="s">
        <v>58</v>
      </c>
      <c r="M491" t="s">
        <v>58</v>
      </c>
      <c r="N491" t="s">
        <v>61</v>
      </c>
      <c r="Q491" t="s">
        <v>58</v>
      </c>
      <c r="R491" s="11" t="str">
        <f>HYPERLINK("\\imagefiles.bcgov\imagery\scanned_maps\moe_terrain_maps\Scanned_T_maps_all\C04\C04-1330","\\imagefiles.bcgov\imagery\scanned_maps\moe_terrain_maps\Scanned_T_maps_all\C04\C04-1330")</f>
        <v>\\imagefiles.bcgov\imagery\scanned_maps\moe_terrain_maps\Scanned_T_maps_all\C04\C04-1330</v>
      </c>
      <c r="S491" t="s">
        <v>62</v>
      </c>
      <c r="T491" s="11" t="str">
        <f>HYPERLINK("http://www.env.gov.bc.ca/esd/distdata/ecosystems/TEI_Scanned_Maps/C04/C04-1330","http://www.env.gov.bc.ca/esd/distdata/ecosystems/TEI_Scanned_Maps/C04/C04-1330")</f>
        <v>http://www.env.gov.bc.ca/esd/distdata/ecosystems/TEI_Scanned_Maps/C04/C04-1330</v>
      </c>
      <c r="U491" t="s">
        <v>58</v>
      </c>
      <c r="V491" t="s">
        <v>58</v>
      </c>
      <c r="W491" t="s">
        <v>58</v>
      </c>
      <c r="X491" t="s">
        <v>58</v>
      </c>
      <c r="Y491" t="s">
        <v>58</v>
      </c>
      <c r="Z491" t="s">
        <v>58</v>
      </c>
      <c r="AA491" t="s">
        <v>58</v>
      </c>
      <c r="AC491" t="s">
        <v>58</v>
      </c>
      <c r="AE491" t="s">
        <v>58</v>
      </c>
      <c r="AG491" t="s">
        <v>63</v>
      </c>
      <c r="AH491" s="11" t="str">
        <f t="shared" si="10"/>
        <v>mailto: soilterrain@victoria1.gov.bc.ca</v>
      </c>
    </row>
    <row r="492" spans="1:34">
      <c r="A492" t="s">
        <v>1245</v>
      </c>
      <c r="B492" t="s">
        <v>56</v>
      </c>
      <c r="C492" s="10" t="s">
        <v>1246</v>
      </c>
      <c r="D492" t="s">
        <v>58</v>
      </c>
      <c r="E492" t="s">
        <v>497</v>
      </c>
      <c r="F492" t="s">
        <v>502</v>
      </c>
      <c r="G492">
        <v>50000</v>
      </c>
      <c r="H492">
        <v>1987</v>
      </c>
      <c r="I492" t="s">
        <v>58</v>
      </c>
      <c r="J492" t="s">
        <v>58</v>
      </c>
      <c r="K492" t="s">
        <v>58</v>
      </c>
      <c r="L492" t="s">
        <v>58</v>
      </c>
      <c r="M492" t="s">
        <v>58</v>
      </c>
      <c r="N492" t="s">
        <v>61</v>
      </c>
      <c r="Q492" t="s">
        <v>58</v>
      </c>
      <c r="R492" s="11" t="str">
        <f>HYPERLINK("\\imagefiles.bcgov\imagery\scanned_maps\moe_terrain_maps\Scanned_T_maps_all\C04\C04-1479","\\imagefiles.bcgov\imagery\scanned_maps\moe_terrain_maps\Scanned_T_maps_all\C04\C04-1479")</f>
        <v>\\imagefiles.bcgov\imagery\scanned_maps\moe_terrain_maps\Scanned_T_maps_all\C04\C04-1479</v>
      </c>
      <c r="S492" t="s">
        <v>62</v>
      </c>
      <c r="T492" s="11" t="str">
        <f>HYPERLINK("http://www.env.gov.bc.ca/esd/distdata/ecosystems/TEI_Scanned_Maps/C04/C04-1479","http://www.env.gov.bc.ca/esd/distdata/ecosystems/TEI_Scanned_Maps/C04/C04-1479")</f>
        <v>http://www.env.gov.bc.ca/esd/distdata/ecosystems/TEI_Scanned_Maps/C04/C04-1479</v>
      </c>
      <c r="U492" t="s">
        <v>58</v>
      </c>
      <c r="V492" t="s">
        <v>58</v>
      </c>
      <c r="W492" t="s">
        <v>58</v>
      </c>
      <c r="X492" t="s">
        <v>58</v>
      </c>
      <c r="Y492" t="s">
        <v>58</v>
      </c>
      <c r="Z492" t="s">
        <v>58</v>
      </c>
      <c r="AA492" t="s">
        <v>58</v>
      </c>
      <c r="AC492" t="s">
        <v>58</v>
      </c>
      <c r="AE492" t="s">
        <v>58</v>
      </c>
      <c r="AG492" t="s">
        <v>63</v>
      </c>
      <c r="AH492" s="11" t="str">
        <f t="shared" si="10"/>
        <v>mailto: soilterrain@victoria1.gov.bc.ca</v>
      </c>
    </row>
    <row r="493" spans="1:34">
      <c r="A493" t="s">
        <v>1247</v>
      </c>
      <c r="B493" t="s">
        <v>56</v>
      </c>
      <c r="C493" s="10" t="s">
        <v>1248</v>
      </c>
      <c r="D493" t="s">
        <v>58</v>
      </c>
      <c r="E493" t="s">
        <v>497</v>
      </c>
      <c r="F493" t="s">
        <v>502</v>
      </c>
      <c r="G493">
        <v>50000</v>
      </c>
      <c r="H493">
        <v>1987</v>
      </c>
      <c r="I493" t="s">
        <v>58</v>
      </c>
      <c r="J493" t="s">
        <v>58</v>
      </c>
      <c r="K493" t="s">
        <v>58</v>
      </c>
      <c r="L493" t="s">
        <v>58</v>
      </c>
      <c r="M493" t="s">
        <v>58</v>
      </c>
      <c r="N493" t="s">
        <v>61</v>
      </c>
      <c r="Q493" t="s">
        <v>58</v>
      </c>
      <c r="R493" s="11" t="str">
        <f>HYPERLINK("\\imagefiles.bcgov\imagery\scanned_maps\moe_terrain_maps\Scanned_T_maps_all\C04\C04-1480","\\imagefiles.bcgov\imagery\scanned_maps\moe_terrain_maps\Scanned_T_maps_all\C04\C04-1480")</f>
        <v>\\imagefiles.bcgov\imagery\scanned_maps\moe_terrain_maps\Scanned_T_maps_all\C04\C04-1480</v>
      </c>
      <c r="S493" t="s">
        <v>62</v>
      </c>
      <c r="T493" s="11" t="str">
        <f>HYPERLINK("http://www.env.gov.bc.ca/esd/distdata/ecosystems/TEI_Scanned_Maps/C04/C04-1480","http://www.env.gov.bc.ca/esd/distdata/ecosystems/TEI_Scanned_Maps/C04/C04-1480")</f>
        <v>http://www.env.gov.bc.ca/esd/distdata/ecosystems/TEI_Scanned_Maps/C04/C04-1480</v>
      </c>
      <c r="U493" t="s">
        <v>58</v>
      </c>
      <c r="V493" t="s">
        <v>58</v>
      </c>
      <c r="W493" t="s">
        <v>58</v>
      </c>
      <c r="X493" t="s">
        <v>58</v>
      </c>
      <c r="Y493" t="s">
        <v>58</v>
      </c>
      <c r="Z493" t="s">
        <v>58</v>
      </c>
      <c r="AA493" t="s">
        <v>58</v>
      </c>
      <c r="AC493" t="s">
        <v>58</v>
      </c>
      <c r="AE493" t="s">
        <v>58</v>
      </c>
      <c r="AG493" t="s">
        <v>63</v>
      </c>
      <c r="AH493" s="11" t="str">
        <f t="shared" si="10"/>
        <v>mailto: soilterrain@victoria1.gov.bc.ca</v>
      </c>
    </row>
    <row r="494" spans="1:34">
      <c r="A494" t="s">
        <v>1249</v>
      </c>
      <c r="B494" t="s">
        <v>56</v>
      </c>
      <c r="C494" s="10" t="s">
        <v>1250</v>
      </c>
      <c r="D494" t="s">
        <v>61</v>
      </c>
      <c r="E494" t="s">
        <v>497</v>
      </c>
      <c r="F494" t="s">
        <v>502</v>
      </c>
      <c r="G494">
        <v>50000</v>
      </c>
      <c r="H494">
        <v>1986</v>
      </c>
      <c r="I494" t="s">
        <v>58</v>
      </c>
      <c r="J494" t="s">
        <v>58</v>
      </c>
      <c r="K494" t="s">
        <v>58</v>
      </c>
      <c r="L494" t="s">
        <v>58</v>
      </c>
      <c r="M494" t="s">
        <v>58</v>
      </c>
      <c r="N494" t="s">
        <v>61</v>
      </c>
      <c r="Q494" t="s">
        <v>58</v>
      </c>
      <c r="R494" s="11" t="str">
        <f>HYPERLINK("\\imagefiles.bcgov\imagery\scanned_maps\moe_terrain_maps\Scanned_T_maps_all\C04\C04-1481","\\imagefiles.bcgov\imagery\scanned_maps\moe_terrain_maps\Scanned_T_maps_all\C04\C04-1481")</f>
        <v>\\imagefiles.bcgov\imagery\scanned_maps\moe_terrain_maps\Scanned_T_maps_all\C04\C04-1481</v>
      </c>
      <c r="S494" t="s">
        <v>62</v>
      </c>
      <c r="T494" s="11" t="str">
        <f>HYPERLINK("http://www.env.gov.bc.ca/esd/distdata/ecosystems/TEI_Scanned_Maps/C04/C04-1481","http://www.env.gov.bc.ca/esd/distdata/ecosystems/TEI_Scanned_Maps/C04/C04-1481")</f>
        <v>http://www.env.gov.bc.ca/esd/distdata/ecosystems/TEI_Scanned_Maps/C04/C04-1481</v>
      </c>
      <c r="U494" t="s">
        <v>58</v>
      </c>
      <c r="V494" t="s">
        <v>58</v>
      </c>
      <c r="W494" t="s">
        <v>58</v>
      </c>
      <c r="X494" t="s">
        <v>58</v>
      </c>
      <c r="Y494" t="s">
        <v>58</v>
      </c>
      <c r="Z494" t="s">
        <v>58</v>
      </c>
      <c r="AA494" t="s">
        <v>58</v>
      </c>
      <c r="AC494" t="s">
        <v>58</v>
      </c>
      <c r="AE494" t="s">
        <v>58</v>
      </c>
      <c r="AG494" t="s">
        <v>63</v>
      </c>
      <c r="AH494" s="11" t="str">
        <f t="shared" si="10"/>
        <v>mailto: soilterrain@victoria1.gov.bc.ca</v>
      </c>
    </row>
    <row r="495" spans="1:34">
      <c r="A495" t="s">
        <v>1251</v>
      </c>
      <c r="B495" t="s">
        <v>56</v>
      </c>
      <c r="C495" s="10" t="s">
        <v>1252</v>
      </c>
      <c r="D495" t="s">
        <v>58</v>
      </c>
      <c r="E495" t="s">
        <v>497</v>
      </c>
      <c r="F495" t="s">
        <v>502</v>
      </c>
      <c r="G495">
        <v>50000</v>
      </c>
      <c r="H495">
        <v>1989</v>
      </c>
      <c r="I495" t="s">
        <v>58</v>
      </c>
      <c r="J495" t="s">
        <v>58</v>
      </c>
      <c r="K495" t="s">
        <v>58</v>
      </c>
      <c r="L495" t="s">
        <v>58</v>
      </c>
      <c r="M495" t="s">
        <v>58</v>
      </c>
      <c r="N495" t="s">
        <v>61</v>
      </c>
      <c r="Q495" t="s">
        <v>58</v>
      </c>
      <c r="R495" s="11" t="str">
        <f>HYPERLINK("\\imagefiles.bcgov\imagery\scanned_maps\moe_terrain_maps\Scanned_T_maps_all\C04\C04-1482","\\imagefiles.bcgov\imagery\scanned_maps\moe_terrain_maps\Scanned_T_maps_all\C04\C04-1482")</f>
        <v>\\imagefiles.bcgov\imagery\scanned_maps\moe_terrain_maps\Scanned_T_maps_all\C04\C04-1482</v>
      </c>
      <c r="S495" t="s">
        <v>62</v>
      </c>
      <c r="T495" s="11" t="str">
        <f>HYPERLINK("http://www.env.gov.bc.ca/esd/distdata/ecosystems/TEI_Scanned_Maps/C04/C04-1482","http://www.env.gov.bc.ca/esd/distdata/ecosystems/TEI_Scanned_Maps/C04/C04-1482")</f>
        <v>http://www.env.gov.bc.ca/esd/distdata/ecosystems/TEI_Scanned_Maps/C04/C04-1482</v>
      </c>
      <c r="U495" t="s">
        <v>58</v>
      </c>
      <c r="V495" t="s">
        <v>58</v>
      </c>
      <c r="W495" t="s">
        <v>58</v>
      </c>
      <c r="X495" t="s">
        <v>58</v>
      </c>
      <c r="Y495" t="s">
        <v>58</v>
      </c>
      <c r="Z495" t="s">
        <v>58</v>
      </c>
      <c r="AA495" t="s">
        <v>58</v>
      </c>
      <c r="AC495" t="s">
        <v>58</v>
      </c>
      <c r="AE495" t="s">
        <v>58</v>
      </c>
      <c r="AG495" t="s">
        <v>63</v>
      </c>
      <c r="AH495" s="11" t="str">
        <f t="shared" si="10"/>
        <v>mailto: soilterrain@victoria1.gov.bc.ca</v>
      </c>
    </row>
    <row r="496" spans="1:34">
      <c r="A496" t="s">
        <v>1253</v>
      </c>
      <c r="B496" t="s">
        <v>56</v>
      </c>
      <c r="C496" s="10" t="s">
        <v>170</v>
      </c>
      <c r="D496" t="s">
        <v>58</v>
      </c>
      <c r="E496" t="s">
        <v>497</v>
      </c>
      <c r="F496" t="s">
        <v>502</v>
      </c>
      <c r="G496">
        <v>50000</v>
      </c>
      <c r="H496">
        <v>1988</v>
      </c>
      <c r="I496" t="s">
        <v>58</v>
      </c>
      <c r="J496" t="s">
        <v>58</v>
      </c>
      <c r="K496" t="s">
        <v>58</v>
      </c>
      <c r="L496" t="s">
        <v>58</v>
      </c>
      <c r="M496" t="s">
        <v>58</v>
      </c>
      <c r="N496" t="s">
        <v>61</v>
      </c>
      <c r="Q496" t="s">
        <v>58</v>
      </c>
      <c r="R496" s="11" t="str">
        <f>HYPERLINK("\\imagefiles.bcgov\imagery\scanned_maps\moe_terrain_maps\Scanned_T_maps_all\C04\C04-1485","\\imagefiles.bcgov\imagery\scanned_maps\moe_terrain_maps\Scanned_T_maps_all\C04\C04-1485")</f>
        <v>\\imagefiles.bcgov\imagery\scanned_maps\moe_terrain_maps\Scanned_T_maps_all\C04\C04-1485</v>
      </c>
      <c r="S496" t="s">
        <v>62</v>
      </c>
      <c r="T496" s="11" t="str">
        <f>HYPERLINK("http://www.env.gov.bc.ca/esd/distdata/ecosystems/TEI_Scanned_Maps/C04/C04-1485","http://www.env.gov.bc.ca/esd/distdata/ecosystems/TEI_Scanned_Maps/C04/C04-1485")</f>
        <v>http://www.env.gov.bc.ca/esd/distdata/ecosystems/TEI_Scanned_Maps/C04/C04-1485</v>
      </c>
      <c r="U496" t="s">
        <v>58</v>
      </c>
      <c r="V496" t="s">
        <v>58</v>
      </c>
      <c r="W496" t="s">
        <v>58</v>
      </c>
      <c r="X496" t="s">
        <v>58</v>
      </c>
      <c r="Y496" t="s">
        <v>58</v>
      </c>
      <c r="Z496" t="s">
        <v>58</v>
      </c>
      <c r="AA496" t="s">
        <v>58</v>
      </c>
      <c r="AC496" t="s">
        <v>58</v>
      </c>
      <c r="AE496" t="s">
        <v>58</v>
      </c>
      <c r="AG496" t="s">
        <v>63</v>
      </c>
      <c r="AH496" s="11" t="str">
        <f t="shared" si="10"/>
        <v>mailto: soilterrain@victoria1.gov.bc.ca</v>
      </c>
    </row>
    <row r="497" spans="1:34">
      <c r="A497" t="s">
        <v>1254</v>
      </c>
      <c r="B497" t="s">
        <v>56</v>
      </c>
      <c r="C497" s="10" t="s">
        <v>185</v>
      </c>
      <c r="D497" t="s">
        <v>58</v>
      </c>
      <c r="E497" t="s">
        <v>497</v>
      </c>
      <c r="F497" t="s">
        <v>502</v>
      </c>
      <c r="G497">
        <v>50000</v>
      </c>
      <c r="H497">
        <v>1988</v>
      </c>
      <c r="I497" t="s">
        <v>58</v>
      </c>
      <c r="J497" t="s">
        <v>58</v>
      </c>
      <c r="K497" t="s">
        <v>58</v>
      </c>
      <c r="L497" t="s">
        <v>58</v>
      </c>
      <c r="M497" t="s">
        <v>58</v>
      </c>
      <c r="N497" t="s">
        <v>61</v>
      </c>
      <c r="Q497" t="s">
        <v>58</v>
      </c>
      <c r="R497" s="11" t="str">
        <f>HYPERLINK("\\imagefiles.bcgov\imagery\scanned_maps\moe_terrain_maps\Scanned_T_maps_all\C04\C04-1488","\\imagefiles.bcgov\imagery\scanned_maps\moe_terrain_maps\Scanned_T_maps_all\C04\C04-1488")</f>
        <v>\\imagefiles.bcgov\imagery\scanned_maps\moe_terrain_maps\Scanned_T_maps_all\C04\C04-1488</v>
      </c>
      <c r="S497" t="s">
        <v>62</v>
      </c>
      <c r="T497" s="11" t="str">
        <f>HYPERLINK("http://www.env.gov.bc.ca/esd/distdata/ecosystems/TEI_Scanned_Maps/C04/C04-1488","http://www.env.gov.bc.ca/esd/distdata/ecosystems/TEI_Scanned_Maps/C04/C04-1488")</f>
        <v>http://www.env.gov.bc.ca/esd/distdata/ecosystems/TEI_Scanned_Maps/C04/C04-1488</v>
      </c>
      <c r="U497" t="s">
        <v>58</v>
      </c>
      <c r="V497" t="s">
        <v>58</v>
      </c>
      <c r="W497" t="s">
        <v>58</v>
      </c>
      <c r="X497" t="s">
        <v>58</v>
      </c>
      <c r="Y497" t="s">
        <v>58</v>
      </c>
      <c r="Z497" t="s">
        <v>58</v>
      </c>
      <c r="AA497" t="s">
        <v>58</v>
      </c>
      <c r="AC497" t="s">
        <v>58</v>
      </c>
      <c r="AE497" t="s">
        <v>58</v>
      </c>
      <c r="AG497" t="s">
        <v>63</v>
      </c>
      <c r="AH497" s="11" t="str">
        <f t="shared" si="10"/>
        <v>mailto: soilterrain@victoria1.gov.bc.ca</v>
      </c>
    </row>
    <row r="498" spans="1:34">
      <c r="A498" t="s">
        <v>1255</v>
      </c>
      <c r="B498" t="s">
        <v>56</v>
      </c>
      <c r="C498" s="10" t="s">
        <v>192</v>
      </c>
      <c r="D498" t="s">
        <v>58</v>
      </c>
      <c r="E498" t="s">
        <v>497</v>
      </c>
      <c r="F498" t="s">
        <v>502</v>
      </c>
      <c r="G498">
        <v>50000</v>
      </c>
      <c r="H498">
        <v>1987</v>
      </c>
      <c r="I498" t="s">
        <v>58</v>
      </c>
      <c r="J498" t="s">
        <v>58</v>
      </c>
      <c r="K498" t="s">
        <v>58</v>
      </c>
      <c r="L498" t="s">
        <v>58</v>
      </c>
      <c r="M498" t="s">
        <v>58</v>
      </c>
      <c r="N498" t="s">
        <v>61</v>
      </c>
      <c r="Q498" t="s">
        <v>58</v>
      </c>
      <c r="R498" s="11" t="str">
        <f>HYPERLINK("\\imagefiles.bcgov\imagery\scanned_maps\moe_terrain_maps\Scanned_T_maps_all\C04\C04-1489","\\imagefiles.bcgov\imagery\scanned_maps\moe_terrain_maps\Scanned_T_maps_all\C04\C04-1489")</f>
        <v>\\imagefiles.bcgov\imagery\scanned_maps\moe_terrain_maps\Scanned_T_maps_all\C04\C04-1489</v>
      </c>
      <c r="S498" t="s">
        <v>62</v>
      </c>
      <c r="T498" s="11" t="str">
        <f>HYPERLINK("http://www.env.gov.bc.ca/esd/distdata/ecosystems/TEI_Scanned_Maps/C04/C04-1489","http://www.env.gov.bc.ca/esd/distdata/ecosystems/TEI_Scanned_Maps/C04/C04-1489")</f>
        <v>http://www.env.gov.bc.ca/esd/distdata/ecosystems/TEI_Scanned_Maps/C04/C04-1489</v>
      </c>
      <c r="U498" t="s">
        <v>58</v>
      </c>
      <c r="V498" t="s">
        <v>58</v>
      </c>
      <c r="W498" t="s">
        <v>58</v>
      </c>
      <c r="X498" t="s">
        <v>58</v>
      </c>
      <c r="Y498" t="s">
        <v>58</v>
      </c>
      <c r="Z498" t="s">
        <v>58</v>
      </c>
      <c r="AA498" t="s">
        <v>58</v>
      </c>
      <c r="AC498" t="s">
        <v>58</v>
      </c>
      <c r="AE498" t="s">
        <v>58</v>
      </c>
      <c r="AG498" t="s">
        <v>63</v>
      </c>
      <c r="AH498" s="11" t="str">
        <f t="shared" si="10"/>
        <v>mailto: soilterrain@victoria1.gov.bc.ca</v>
      </c>
    </row>
    <row r="499" spans="1:34">
      <c r="A499" t="s">
        <v>1256</v>
      </c>
      <c r="B499" t="s">
        <v>56</v>
      </c>
      <c r="C499" s="10" t="s">
        <v>173</v>
      </c>
      <c r="D499" t="s">
        <v>58</v>
      </c>
      <c r="E499" t="s">
        <v>497</v>
      </c>
      <c r="F499" t="s">
        <v>1239</v>
      </c>
      <c r="G499">
        <v>50000</v>
      </c>
      <c r="H499">
        <v>1987</v>
      </c>
      <c r="I499" t="s">
        <v>58</v>
      </c>
      <c r="J499" t="s">
        <v>58</v>
      </c>
      <c r="K499" t="s">
        <v>58</v>
      </c>
      <c r="L499" t="s">
        <v>58</v>
      </c>
      <c r="M499" t="s">
        <v>58</v>
      </c>
      <c r="N499" t="s">
        <v>61</v>
      </c>
      <c r="Q499" t="s">
        <v>58</v>
      </c>
      <c r="R499" s="11" t="str">
        <f>HYPERLINK("\\imagefiles.bcgov\imagery\scanned_maps\moe_terrain_maps\Scanned_T_maps_all\C04\C04-1491","\\imagefiles.bcgov\imagery\scanned_maps\moe_terrain_maps\Scanned_T_maps_all\C04\C04-1491")</f>
        <v>\\imagefiles.bcgov\imagery\scanned_maps\moe_terrain_maps\Scanned_T_maps_all\C04\C04-1491</v>
      </c>
      <c r="S499" t="s">
        <v>62</v>
      </c>
      <c r="T499" s="11" t="str">
        <f>HYPERLINK("http://www.env.gov.bc.ca/esd/distdata/ecosystems/TEI_Scanned_Maps/C04/C04-1491","http://www.env.gov.bc.ca/esd/distdata/ecosystems/TEI_Scanned_Maps/C04/C04-1491")</f>
        <v>http://www.env.gov.bc.ca/esd/distdata/ecosystems/TEI_Scanned_Maps/C04/C04-1491</v>
      </c>
      <c r="U499" t="s">
        <v>58</v>
      </c>
      <c r="V499" t="s">
        <v>58</v>
      </c>
      <c r="W499" t="s">
        <v>58</v>
      </c>
      <c r="X499" t="s">
        <v>58</v>
      </c>
      <c r="Y499" t="s">
        <v>58</v>
      </c>
      <c r="Z499" t="s">
        <v>58</v>
      </c>
      <c r="AA499" t="s">
        <v>58</v>
      </c>
      <c r="AC499" t="s">
        <v>58</v>
      </c>
      <c r="AE499" t="s">
        <v>58</v>
      </c>
      <c r="AG499" t="s">
        <v>63</v>
      </c>
      <c r="AH499" s="11" t="str">
        <f t="shared" si="10"/>
        <v>mailto: soilterrain@victoria1.gov.bc.ca</v>
      </c>
    </row>
    <row r="500" spans="1:34">
      <c r="A500" t="s">
        <v>1257</v>
      </c>
      <c r="B500" t="s">
        <v>56</v>
      </c>
      <c r="C500" s="10" t="s">
        <v>176</v>
      </c>
      <c r="D500" t="s">
        <v>58</v>
      </c>
      <c r="E500" t="s">
        <v>497</v>
      </c>
      <c r="F500" t="s">
        <v>1258</v>
      </c>
      <c r="G500">
        <v>50000</v>
      </c>
      <c r="H500">
        <v>1986</v>
      </c>
      <c r="I500" t="s">
        <v>58</v>
      </c>
      <c r="J500" t="s">
        <v>58</v>
      </c>
      <c r="K500" t="s">
        <v>58</v>
      </c>
      <c r="L500" t="s">
        <v>58</v>
      </c>
      <c r="M500" t="s">
        <v>58</v>
      </c>
      <c r="N500" t="s">
        <v>61</v>
      </c>
      <c r="Q500" t="s">
        <v>58</v>
      </c>
      <c r="R500" s="11" t="str">
        <f>HYPERLINK("\\imagefiles.bcgov\imagery\scanned_maps\moe_terrain_maps\Scanned_T_maps_all\C04\C04-1493","\\imagefiles.bcgov\imagery\scanned_maps\moe_terrain_maps\Scanned_T_maps_all\C04\C04-1493")</f>
        <v>\\imagefiles.bcgov\imagery\scanned_maps\moe_terrain_maps\Scanned_T_maps_all\C04\C04-1493</v>
      </c>
      <c r="S500" t="s">
        <v>62</v>
      </c>
      <c r="T500" s="11" t="str">
        <f>HYPERLINK("http://www.env.gov.bc.ca/esd/distdata/ecosystems/TEI_Scanned_Maps/C04/C04-1493","http://www.env.gov.bc.ca/esd/distdata/ecosystems/TEI_Scanned_Maps/C04/C04-1493")</f>
        <v>http://www.env.gov.bc.ca/esd/distdata/ecosystems/TEI_Scanned_Maps/C04/C04-1493</v>
      </c>
      <c r="U500" t="s">
        <v>58</v>
      </c>
      <c r="V500" t="s">
        <v>58</v>
      </c>
      <c r="W500" t="s">
        <v>58</v>
      </c>
      <c r="X500" t="s">
        <v>58</v>
      </c>
      <c r="Y500" t="s">
        <v>58</v>
      </c>
      <c r="Z500" t="s">
        <v>58</v>
      </c>
      <c r="AA500" t="s">
        <v>58</v>
      </c>
      <c r="AC500" t="s">
        <v>58</v>
      </c>
      <c r="AE500" t="s">
        <v>58</v>
      </c>
      <c r="AG500" t="s">
        <v>63</v>
      </c>
      <c r="AH500" s="11" t="str">
        <f t="shared" si="10"/>
        <v>mailto: soilterrain@victoria1.gov.bc.ca</v>
      </c>
    </row>
    <row r="501" spans="1:34">
      <c r="A501" t="s">
        <v>1259</v>
      </c>
      <c r="B501" t="s">
        <v>56</v>
      </c>
      <c r="C501" s="10" t="s">
        <v>182</v>
      </c>
      <c r="D501" t="s">
        <v>58</v>
      </c>
      <c r="E501" t="s">
        <v>497</v>
      </c>
      <c r="F501" t="s">
        <v>502</v>
      </c>
      <c r="G501">
        <v>50000</v>
      </c>
      <c r="H501">
        <v>1974</v>
      </c>
      <c r="I501" t="s">
        <v>58</v>
      </c>
      <c r="J501" t="s">
        <v>58</v>
      </c>
      <c r="K501" t="s">
        <v>58</v>
      </c>
      <c r="L501" t="s">
        <v>58</v>
      </c>
      <c r="M501" t="s">
        <v>58</v>
      </c>
      <c r="N501" t="s">
        <v>61</v>
      </c>
      <c r="Q501" t="s">
        <v>58</v>
      </c>
      <c r="R501" s="11" t="str">
        <f>HYPERLINK("\\imagefiles.bcgov\imagery\scanned_maps\moe_terrain_maps\Scanned_T_maps_all\C04\C04-1495","\\imagefiles.bcgov\imagery\scanned_maps\moe_terrain_maps\Scanned_T_maps_all\C04\C04-1495")</f>
        <v>\\imagefiles.bcgov\imagery\scanned_maps\moe_terrain_maps\Scanned_T_maps_all\C04\C04-1495</v>
      </c>
      <c r="S501" t="s">
        <v>62</v>
      </c>
      <c r="T501" s="11" t="str">
        <f>HYPERLINK("http://www.env.gov.bc.ca/esd/distdata/ecosystems/TEI_Scanned_Maps/C04/C04-1495","http://www.env.gov.bc.ca/esd/distdata/ecosystems/TEI_Scanned_Maps/C04/C04-1495")</f>
        <v>http://www.env.gov.bc.ca/esd/distdata/ecosystems/TEI_Scanned_Maps/C04/C04-1495</v>
      </c>
      <c r="U501" t="s">
        <v>58</v>
      </c>
      <c r="V501" t="s">
        <v>58</v>
      </c>
      <c r="W501" t="s">
        <v>58</v>
      </c>
      <c r="X501" t="s">
        <v>58</v>
      </c>
      <c r="Y501" t="s">
        <v>58</v>
      </c>
      <c r="Z501" t="s">
        <v>58</v>
      </c>
      <c r="AA501" t="s">
        <v>58</v>
      </c>
      <c r="AC501" t="s">
        <v>58</v>
      </c>
      <c r="AE501" t="s">
        <v>58</v>
      </c>
      <c r="AG501" t="s">
        <v>63</v>
      </c>
      <c r="AH501" s="11" t="str">
        <f t="shared" si="10"/>
        <v>mailto: soilterrain@victoria1.gov.bc.ca</v>
      </c>
    </row>
    <row r="502" spans="1:34">
      <c r="A502" t="s">
        <v>1260</v>
      </c>
      <c r="B502" t="s">
        <v>56</v>
      </c>
      <c r="C502" s="10" t="s">
        <v>1261</v>
      </c>
      <c r="D502" t="s">
        <v>58</v>
      </c>
      <c r="E502" t="s">
        <v>497</v>
      </c>
      <c r="F502" t="s">
        <v>1139</v>
      </c>
      <c r="G502">
        <v>50000</v>
      </c>
      <c r="H502">
        <v>1988</v>
      </c>
      <c r="I502" t="s">
        <v>58</v>
      </c>
      <c r="J502" t="s">
        <v>58</v>
      </c>
      <c r="K502" t="s">
        <v>58</v>
      </c>
      <c r="L502" t="s">
        <v>58</v>
      </c>
      <c r="M502" t="s">
        <v>58</v>
      </c>
      <c r="N502" t="s">
        <v>61</v>
      </c>
      <c r="Q502" t="s">
        <v>58</v>
      </c>
      <c r="R502" s="11" t="str">
        <f>HYPERLINK("\\imagefiles.bcgov\imagery\scanned_maps\moe_terrain_maps\Scanned_T_maps_all\C04\C04-1498","\\imagefiles.bcgov\imagery\scanned_maps\moe_terrain_maps\Scanned_T_maps_all\C04\C04-1498")</f>
        <v>\\imagefiles.bcgov\imagery\scanned_maps\moe_terrain_maps\Scanned_T_maps_all\C04\C04-1498</v>
      </c>
      <c r="S502" t="s">
        <v>62</v>
      </c>
      <c r="T502" s="11" t="str">
        <f>HYPERLINK("http://www.env.gov.bc.ca/esd/distdata/ecosystems/TEI_Scanned_Maps/C04/C04-1498","http://www.env.gov.bc.ca/esd/distdata/ecosystems/TEI_Scanned_Maps/C04/C04-1498")</f>
        <v>http://www.env.gov.bc.ca/esd/distdata/ecosystems/TEI_Scanned_Maps/C04/C04-1498</v>
      </c>
      <c r="U502" t="s">
        <v>58</v>
      </c>
      <c r="V502" t="s">
        <v>58</v>
      </c>
      <c r="W502" t="s">
        <v>58</v>
      </c>
      <c r="X502" t="s">
        <v>58</v>
      </c>
      <c r="Y502" t="s">
        <v>58</v>
      </c>
      <c r="Z502" t="s">
        <v>58</v>
      </c>
      <c r="AA502" t="s">
        <v>58</v>
      </c>
      <c r="AC502" t="s">
        <v>58</v>
      </c>
      <c r="AE502" t="s">
        <v>58</v>
      </c>
      <c r="AG502" t="s">
        <v>63</v>
      </c>
      <c r="AH502" s="11" t="str">
        <f t="shared" si="10"/>
        <v>mailto: soilterrain@victoria1.gov.bc.ca</v>
      </c>
    </row>
    <row r="503" spans="1:34">
      <c r="A503" t="s">
        <v>1262</v>
      </c>
      <c r="B503" t="s">
        <v>56</v>
      </c>
      <c r="C503" s="10" t="s">
        <v>1263</v>
      </c>
      <c r="D503" t="s">
        <v>58</v>
      </c>
      <c r="E503" t="s">
        <v>497</v>
      </c>
      <c r="F503" t="s">
        <v>1264</v>
      </c>
      <c r="G503">
        <v>50000</v>
      </c>
      <c r="H503" t="s">
        <v>187</v>
      </c>
      <c r="I503" t="s">
        <v>58</v>
      </c>
      <c r="J503" t="s">
        <v>58</v>
      </c>
      <c r="K503" t="s">
        <v>58</v>
      </c>
      <c r="L503" t="s">
        <v>58</v>
      </c>
      <c r="M503" t="s">
        <v>58</v>
      </c>
      <c r="N503" t="s">
        <v>61</v>
      </c>
      <c r="Q503" t="s">
        <v>58</v>
      </c>
      <c r="R503" s="11" t="str">
        <f>HYPERLINK("\\imagefiles.bcgov\imagery\scanned_maps\moe_terrain_maps\Scanned_T_maps_all\C04\C04-1657","\\imagefiles.bcgov\imagery\scanned_maps\moe_terrain_maps\Scanned_T_maps_all\C04\C04-1657")</f>
        <v>\\imagefiles.bcgov\imagery\scanned_maps\moe_terrain_maps\Scanned_T_maps_all\C04\C04-1657</v>
      </c>
      <c r="S503" t="s">
        <v>62</v>
      </c>
      <c r="T503" s="11" t="str">
        <f>HYPERLINK("http://www.env.gov.bc.ca/esd/distdata/ecosystems/TEI_Scanned_Maps/C04/C04-1657","http://www.env.gov.bc.ca/esd/distdata/ecosystems/TEI_Scanned_Maps/C04/C04-1657")</f>
        <v>http://www.env.gov.bc.ca/esd/distdata/ecosystems/TEI_Scanned_Maps/C04/C04-1657</v>
      </c>
      <c r="U503" t="s">
        <v>58</v>
      </c>
      <c r="V503" t="s">
        <v>58</v>
      </c>
      <c r="W503" t="s">
        <v>58</v>
      </c>
      <c r="X503" t="s">
        <v>58</v>
      </c>
      <c r="Y503" t="s">
        <v>58</v>
      </c>
      <c r="Z503" t="s">
        <v>58</v>
      </c>
      <c r="AA503" t="s">
        <v>58</v>
      </c>
      <c r="AC503" t="s">
        <v>58</v>
      </c>
      <c r="AE503" t="s">
        <v>58</v>
      </c>
      <c r="AG503" t="s">
        <v>63</v>
      </c>
      <c r="AH503" s="11" t="str">
        <f t="shared" si="10"/>
        <v>mailto: soilterrain@victoria1.gov.bc.ca</v>
      </c>
    </row>
    <row r="504" spans="1:34">
      <c r="A504" t="s">
        <v>1265</v>
      </c>
      <c r="B504" t="s">
        <v>56</v>
      </c>
      <c r="C504" s="10" t="s">
        <v>1266</v>
      </c>
      <c r="D504" t="s">
        <v>58</v>
      </c>
      <c r="E504" t="s">
        <v>497</v>
      </c>
      <c r="F504" t="s">
        <v>502</v>
      </c>
      <c r="G504">
        <v>50000</v>
      </c>
      <c r="H504">
        <v>1988</v>
      </c>
      <c r="I504" t="s">
        <v>58</v>
      </c>
      <c r="J504" t="s">
        <v>58</v>
      </c>
      <c r="K504" t="s">
        <v>58</v>
      </c>
      <c r="L504" t="s">
        <v>58</v>
      </c>
      <c r="M504" t="s">
        <v>58</v>
      </c>
      <c r="N504" t="s">
        <v>61</v>
      </c>
      <c r="Q504" t="s">
        <v>58</v>
      </c>
      <c r="R504" s="11" t="str">
        <f>HYPERLINK("\\imagefiles.bcgov\imagery\scanned_maps\moe_terrain_maps\Scanned_T_maps_all\C04\C04-1658","\\imagefiles.bcgov\imagery\scanned_maps\moe_terrain_maps\Scanned_T_maps_all\C04\C04-1658")</f>
        <v>\\imagefiles.bcgov\imagery\scanned_maps\moe_terrain_maps\Scanned_T_maps_all\C04\C04-1658</v>
      </c>
      <c r="S504" t="s">
        <v>62</v>
      </c>
      <c r="T504" s="11" t="str">
        <f>HYPERLINK("http://www.env.gov.bc.ca/esd/distdata/ecosystems/TEI_Scanned_Maps/C04/C04-1658","http://www.env.gov.bc.ca/esd/distdata/ecosystems/TEI_Scanned_Maps/C04/C04-1658")</f>
        <v>http://www.env.gov.bc.ca/esd/distdata/ecosystems/TEI_Scanned_Maps/C04/C04-1658</v>
      </c>
      <c r="U504" t="s">
        <v>58</v>
      </c>
      <c r="V504" t="s">
        <v>58</v>
      </c>
      <c r="W504" t="s">
        <v>58</v>
      </c>
      <c r="X504" t="s">
        <v>58</v>
      </c>
      <c r="Y504" t="s">
        <v>58</v>
      </c>
      <c r="Z504" t="s">
        <v>58</v>
      </c>
      <c r="AA504" t="s">
        <v>58</v>
      </c>
      <c r="AC504" t="s">
        <v>58</v>
      </c>
      <c r="AE504" t="s">
        <v>58</v>
      </c>
      <c r="AG504" t="s">
        <v>63</v>
      </c>
      <c r="AH504" s="11" t="str">
        <f t="shared" si="10"/>
        <v>mailto: soilterrain@victoria1.gov.bc.ca</v>
      </c>
    </row>
    <row r="505" spans="1:34">
      <c r="A505" t="s">
        <v>1267</v>
      </c>
      <c r="B505" t="s">
        <v>56</v>
      </c>
      <c r="C505" s="10" t="s">
        <v>739</v>
      </c>
      <c r="D505" t="s">
        <v>58</v>
      </c>
      <c r="E505" t="s">
        <v>497</v>
      </c>
      <c r="F505" t="s">
        <v>502</v>
      </c>
      <c r="G505">
        <v>50000</v>
      </c>
      <c r="H505">
        <v>1987</v>
      </c>
      <c r="I505" t="s">
        <v>58</v>
      </c>
      <c r="J505" t="s">
        <v>58</v>
      </c>
      <c r="K505" t="s">
        <v>58</v>
      </c>
      <c r="L505" t="s">
        <v>58</v>
      </c>
      <c r="M505" t="s">
        <v>58</v>
      </c>
      <c r="N505" t="s">
        <v>61</v>
      </c>
      <c r="Q505" t="s">
        <v>58</v>
      </c>
      <c r="R505" s="11" t="str">
        <f>HYPERLINK("\\imagefiles.bcgov\imagery\scanned_maps\moe_terrain_maps\Scanned_T_maps_all\C04\C04-1659","\\imagefiles.bcgov\imagery\scanned_maps\moe_terrain_maps\Scanned_T_maps_all\C04\C04-1659")</f>
        <v>\\imagefiles.bcgov\imagery\scanned_maps\moe_terrain_maps\Scanned_T_maps_all\C04\C04-1659</v>
      </c>
      <c r="S505" t="s">
        <v>62</v>
      </c>
      <c r="T505" s="11" t="str">
        <f>HYPERLINK("http://www.env.gov.bc.ca/esd/distdata/ecosystems/TEI_Scanned_Maps/C04/C04-1659","http://www.env.gov.bc.ca/esd/distdata/ecosystems/TEI_Scanned_Maps/C04/C04-1659")</f>
        <v>http://www.env.gov.bc.ca/esd/distdata/ecosystems/TEI_Scanned_Maps/C04/C04-1659</v>
      </c>
      <c r="U505" t="s">
        <v>58</v>
      </c>
      <c r="V505" t="s">
        <v>58</v>
      </c>
      <c r="W505" t="s">
        <v>58</v>
      </c>
      <c r="X505" t="s">
        <v>58</v>
      </c>
      <c r="Y505" t="s">
        <v>58</v>
      </c>
      <c r="Z505" t="s">
        <v>58</v>
      </c>
      <c r="AA505" t="s">
        <v>58</v>
      </c>
      <c r="AC505" t="s">
        <v>58</v>
      </c>
      <c r="AE505" t="s">
        <v>58</v>
      </c>
      <c r="AG505" t="s">
        <v>63</v>
      </c>
      <c r="AH505" s="11" t="str">
        <f t="shared" si="10"/>
        <v>mailto: soilterrain@victoria1.gov.bc.ca</v>
      </c>
    </row>
    <row r="506" spans="1:34">
      <c r="A506" t="s">
        <v>1268</v>
      </c>
      <c r="B506" t="s">
        <v>56</v>
      </c>
      <c r="C506" s="10" t="s">
        <v>1269</v>
      </c>
      <c r="D506" t="s">
        <v>58</v>
      </c>
      <c r="E506" t="s">
        <v>497</v>
      </c>
      <c r="F506" t="s">
        <v>502</v>
      </c>
      <c r="G506">
        <v>50000</v>
      </c>
      <c r="H506">
        <v>1987</v>
      </c>
      <c r="I506" t="s">
        <v>58</v>
      </c>
      <c r="J506" t="s">
        <v>58</v>
      </c>
      <c r="K506" t="s">
        <v>58</v>
      </c>
      <c r="L506" t="s">
        <v>58</v>
      </c>
      <c r="M506" t="s">
        <v>58</v>
      </c>
      <c r="N506" t="s">
        <v>61</v>
      </c>
      <c r="Q506" t="s">
        <v>58</v>
      </c>
      <c r="R506" s="11" t="str">
        <f>HYPERLINK("\\imagefiles.bcgov\imagery\scanned_maps\moe_terrain_maps\Scanned_T_maps_all\C04\C04-1660","\\imagefiles.bcgov\imagery\scanned_maps\moe_terrain_maps\Scanned_T_maps_all\C04\C04-1660")</f>
        <v>\\imagefiles.bcgov\imagery\scanned_maps\moe_terrain_maps\Scanned_T_maps_all\C04\C04-1660</v>
      </c>
      <c r="S506" t="s">
        <v>62</v>
      </c>
      <c r="T506" s="11" t="str">
        <f>HYPERLINK("http://www.env.gov.bc.ca/esd/distdata/ecosystems/TEI_Scanned_Maps/C04/C04-1660","http://www.env.gov.bc.ca/esd/distdata/ecosystems/TEI_Scanned_Maps/C04/C04-1660")</f>
        <v>http://www.env.gov.bc.ca/esd/distdata/ecosystems/TEI_Scanned_Maps/C04/C04-1660</v>
      </c>
      <c r="U506" t="s">
        <v>58</v>
      </c>
      <c r="V506" t="s">
        <v>58</v>
      </c>
      <c r="W506" t="s">
        <v>58</v>
      </c>
      <c r="X506" t="s">
        <v>58</v>
      </c>
      <c r="Y506" t="s">
        <v>58</v>
      </c>
      <c r="Z506" t="s">
        <v>58</v>
      </c>
      <c r="AA506" t="s">
        <v>58</v>
      </c>
      <c r="AC506" t="s">
        <v>58</v>
      </c>
      <c r="AE506" t="s">
        <v>58</v>
      </c>
      <c r="AG506" t="s">
        <v>63</v>
      </c>
      <c r="AH506" s="11" t="str">
        <f t="shared" si="10"/>
        <v>mailto: soilterrain@victoria1.gov.bc.ca</v>
      </c>
    </row>
    <row r="507" spans="1:34">
      <c r="A507" t="s">
        <v>1270</v>
      </c>
      <c r="B507" t="s">
        <v>56</v>
      </c>
      <c r="C507" s="10" t="s">
        <v>1271</v>
      </c>
      <c r="D507" t="s">
        <v>58</v>
      </c>
      <c r="E507" t="s">
        <v>497</v>
      </c>
      <c r="F507" t="s">
        <v>502</v>
      </c>
      <c r="G507">
        <v>50000</v>
      </c>
      <c r="H507">
        <v>1986</v>
      </c>
      <c r="I507" t="s">
        <v>58</v>
      </c>
      <c r="J507" t="s">
        <v>58</v>
      </c>
      <c r="K507" t="s">
        <v>58</v>
      </c>
      <c r="L507" t="s">
        <v>58</v>
      </c>
      <c r="M507" t="s">
        <v>58</v>
      </c>
      <c r="N507" t="s">
        <v>61</v>
      </c>
      <c r="Q507" t="s">
        <v>58</v>
      </c>
      <c r="R507" s="11" t="str">
        <f>HYPERLINK("\\imagefiles.bcgov\imagery\scanned_maps\moe_terrain_maps\Scanned_T_maps_all\C04\C04-1661","\\imagefiles.bcgov\imagery\scanned_maps\moe_terrain_maps\Scanned_T_maps_all\C04\C04-1661")</f>
        <v>\\imagefiles.bcgov\imagery\scanned_maps\moe_terrain_maps\Scanned_T_maps_all\C04\C04-1661</v>
      </c>
      <c r="S507" t="s">
        <v>62</v>
      </c>
      <c r="T507" s="11" t="str">
        <f>HYPERLINK("http://www.env.gov.bc.ca/esd/distdata/ecosystems/TEI_Scanned_Maps/C04/C04-1661","http://www.env.gov.bc.ca/esd/distdata/ecosystems/TEI_Scanned_Maps/C04/C04-1661")</f>
        <v>http://www.env.gov.bc.ca/esd/distdata/ecosystems/TEI_Scanned_Maps/C04/C04-1661</v>
      </c>
      <c r="U507" t="s">
        <v>58</v>
      </c>
      <c r="V507" t="s">
        <v>58</v>
      </c>
      <c r="W507" t="s">
        <v>58</v>
      </c>
      <c r="X507" t="s">
        <v>58</v>
      </c>
      <c r="Y507" t="s">
        <v>58</v>
      </c>
      <c r="Z507" t="s">
        <v>58</v>
      </c>
      <c r="AA507" t="s">
        <v>58</v>
      </c>
      <c r="AC507" t="s">
        <v>58</v>
      </c>
      <c r="AE507" t="s">
        <v>58</v>
      </c>
      <c r="AG507" t="s">
        <v>63</v>
      </c>
      <c r="AH507" s="11" t="str">
        <f t="shared" si="10"/>
        <v>mailto: soilterrain@victoria1.gov.bc.ca</v>
      </c>
    </row>
    <row r="508" spans="1:34">
      <c r="A508" t="s">
        <v>1272</v>
      </c>
      <c r="B508" t="s">
        <v>56</v>
      </c>
      <c r="C508" s="10" t="s">
        <v>1273</v>
      </c>
      <c r="D508" t="s">
        <v>58</v>
      </c>
      <c r="E508" t="s">
        <v>497</v>
      </c>
      <c r="F508" t="s">
        <v>502</v>
      </c>
      <c r="G508">
        <v>50000</v>
      </c>
      <c r="H508">
        <v>1989</v>
      </c>
      <c r="I508" t="s">
        <v>58</v>
      </c>
      <c r="J508" t="s">
        <v>58</v>
      </c>
      <c r="K508" t="s">
        <v>58</v>
      </c>
      <c r="L508" t="s">
        <v>58</v>
      </c>
      <c r="M508" t="s">
        <v>58</v>
      </c>
      <c r="N508" t="s">
        <v>61</v>
      </c>
      <c r="Q508" t="s">
        <v>58</v>
      </c>
      <c r="R508" s="11" t="str">
        <f>HYPERLINK("\\imagefiles.bcgov\imagery\scanned_maps\moe_terrain_maps\Scanned_T_maps_all\C04\C04-1662","\\imagefiles.bcgov\imagery\scanned_maps\moe_terrain_maps\Scanned_T_maps_all\C04\C04-1662")</f>
        <v>\\imagefiles.bcgov\imagery\scanned_maps\moe_terrain_maps\Scanned_T_maps_all\C04\C04-1662</v>
      </c>
      <c r="S508" t="s">
        <v>62</v>
      </c>
      <c r="T508" s="11" t="str">
        <f>HYPERLINK("http://www.env.gov.bc.ca/esd/distdata/ecosystems/TEI_Scanned_Maps/C04/C04-1662","http://www.env.gov.bc.ca/esd/distdata/ecosystems/TEI_Scanned_Maps/C04/C04-1662")</f>
        <v>http://www.env.gov.bc.ca/esd/distdata/ecosystems/TEI_Scanned_Maps/C04/C04-1662</v>
      </c>
      <c r="U508" t="s">
        <v>58</v>
      </c>
      <c r="V508" t="s">
        <v>58</v>
      </c>
      <c r="W508" t="s">
        <v>58</v>
      </c>
      <c r="X508" t="s">
        <v>58</v>
      </c>
      <c r="Y508" t="s">
        <v>58</v>
      </c>
      <c r="Z508" t="s">
        <v>58</v>
      </c>
      <c r="AA508" t="s">
        <v>58</v>
      </c>
      <c r="AC508" t="s">
        <v>58</v>
      </c>
      <c r="AE508" t="s">
        <v>58</v>
      </c>
      <c r="AG508" t="s">
        <v>63</v>
      </c>
      <c r="AH508" s="11" t="str">
        <f t="shared" si="10"/>
        <v>mailto: soilterrain@victoria1.gov.bc.ca</v>
      </c>
    </row>
    <row r="509" spans="1:34">
      <c r="A509" t="s">
        <v>1274</v>
      </c>
      <c r="B509" t="s">
        <v>56</v>
      </c>
      <c r="C509" s="10" t="s">
        <v>1275</v>
      </c>
      <c r="D509" t="s">
        <v>58</v>
      </c>
      <c r="E509" t="s">
        <v>497</v>
      </c>
      <c r="F509" t="s">
        <v>502</v>
      </c>
      <c r="G509">
        <v>50000</v>
      </c>
      <c r="H509">
        <v>1988</v>
      </c>
      <c r="I509" t="s">
        <v>58</v>
      </c>
      <c r="J509" t="s">
        <v>58</v>
      </c>
      <c r="K509" t="s">
        <v>58</v>
      </c>
      <c r="L509" t="s">
        <v>58</v>
      </c>
      <c r="M509" t="s">
        <v>58</v>
      </c>
      <c r="N509" t="s">
        <v>61</v>
      </c>
      <c r="Q509" t="s">
        <v>58</v>
      </c>
      <c r="R509" s="11" t="str">
        <f>HYPERLINK("\\imagefiles.bcgov\imagery\scanned_maps\moe_terrain_maps\Scanned_T_maps_all\C04\C04-1663","\\imagefiles.bcgov\imagery\scanned_maps\moe_terrain_maps\Scanned_T_maps_all\C04\C04-1663")</f>
        <v>\\imagefiles.bcgov\imagery\scanned_maps\moe_terrain_maps\Scanned_T_maps_all\C04\C04-1663</v>
      </c>
      <c r="S509" t="s">
        <v>62</v>
      </c>
      <c r="T509" s="11" t="str">
        <f>HYPERLINK("http://www.env.gov.bc.ca/esd/distdata/ecosystems/TEI_Scanned_Maps/C04/C04-1663","http://www.env.gov.bc.ca/esd/distdata/ecosystems/TEI_Scanned_Maps/C04/C04-1663")</f>
        <v>http://www.env.gov.bc.ca/esd/distdata/ecosystems/TEI_Scanned_Maps/C04/C04-1663</v>
      </c>
      <c r="U509" t="s">
        <v>58</v>
      </c>
      <c r="V509" t="s">
        <v>58</v>
      </c>
      <c r="W509" t="s">
        <v>58</v>
      </c>
      <c r="X509" t="s">
        <v>58</v>
      </c>
      <c r="Y509" t="s">
        <v>58</v>
      </c>
      <c r="Z509" t="s">
        <v>58</v>
      </c>
      <c r="AA509" t="s">
        <v>58</v>
      </c>
      <c r="AC509" t="s">
        <v>58</v>
      </c>
      <c r="AE509" t="s">
        <v>58</v>
      </c>
      <c r="AG509" t="s">
        <v>63</v>
      </c>
      <c r="AH509" s="11" t="str">
        <f t="shared" si="10"/>
        <v>mailto: soilterrain@victoria1.gov.bc.ca</v>
      </c>
    </row>
    <row r="510" spans="1:34">
      <c r="A510" t="s">
        <v>1276</v>
      </c>
      <c r="B510" t="s">
        <v>56</v>
      </c>
      <c r="C510" s="10" t="s">
        <v>1277</v>
      </c>
      <c r="D510" t="s">
        <v>58</v>
      </c>
      <c r="E510" t="s">
        <v>497</v>
      </c>
      <c r="F510" t="s">
        <v>502</v>
      </c>
      <c r="G510">
        <v>50000</v>
      </c>
      <c r="H510" t="s">
        <v>187</v>
      </c>
      <c r="I510" t="s">
        <v>58</v>
      </c>
      <c r="J510" t="s">
        <v>58</v>
      </c>
      <c r="K510" t="s">
        <v>58</v>
      </c>
      <c r="L510" t="s">
        <v>58</v>
      </c>
      <c r="M510" t="s">
        <v>58</v>
      </c>
      <c r="N510" t="s">
        <v>61</v>
      </c>
      <c r="Q510" t="s">
        <v>58</v>
      </c>
      <c r="R510" s="11" t="str">
        <f>HYPERLINK("\\imagefiles.bcgov\imagery\scanned_maps\moe_terrain_maps\Scanned_T_maps_all\C04\C04-1664","\\imagefiles.bcgov\imagery\scanned_maps\moe_terrain_maps\Scanned_T_maps_all\C04\C04-1664")</f>
        <v>\\imagefiles.bcgov\imagery\scanned_maps\moe_terrain_maps\Scanned_T_maps_all\C04\C04-1664</v>
      </c>
      <c r="S510" t="s">
        <v>62</v>
      </c>
      <c r="T510" s="11" t="str">
        <f>HYPERLINK("http://www.env.gov.bc.ca/esd/distdata/ecosystems/TEI_Scanned_Maps/C04/C04-1664","http://www.env.gov.bc.ca/esd/distdata/ecosystems/TEI_Scanned_Maps/C04/C04-1664")</f>
        <v>http://www.env.gov.bc.ca/esd/distdata/ecosystems/TEI_Scanned_Maps/C04/C04-1664</v>
      </c>
      <c r="U510" t="s">
        <v>58</v>
      </c>
      <c r="V510" t="s">
        <v>58</v>
      </c>
      <c r="W510" t="s">
        <v>58</v>
      </c>
      <c r="X510" t="s">
        <v>58</v>
      </c>
      <c r="Y510" t="s">
        <v>58</v>
      </c>
      <c r="Z510" t="s">
        <v>58</v>
      </c>
      <c r="AA510" t="s">
        <v>58</v>
      </c>
      <c r="AC510" t="s">
        <v>58</v>
      </c>
      <c r="AE510" t="s">
        <v>58</v>
      </c>
      <c r="AG510" t="s">
        <v>63</v>
      </c>
      <c r="AH510" s="11" t="str">
        <f t="shared" si="10"/>
        <v>mailto: soilterrain@victoria1.gov.bc.ca</v>
      </c>
    </row>
    <row r="511" spans="1:34">
      <c r="A511" t="s">
        <v>1278</v>
      </c>
      <c r="B511" t="s">
        <v>56</v>
      </c>
      <c r="C511" s="10" t="s">
        <v>1279</v>
      </c>
      <c r="D511" t="s">
        <v>58</v>
      </c>
      <c r="E511" t="s">
        <v>497</v>
      </c>
      <c r="F511" t="s">
        <v>502</v>
      </c>
      <c r="G511">
        <v>50000</v>
      </c>
      <c r="H511">
        <v>1988</v>
      </c>
      <c r="I511" t="s">
        <v>58</v>
      </c>
      <c r="J511" t="s">
        <v>58</v>
      </c>
      <c r="K511" t="s">
        <v>58</v>
      </c>
      <c r="L511" t="s">
        <v>58</v>
      </c>
      <c r="M511" t="s">
        <v>58</v>
      </c>
      <c r="N511" t="s">
        <v>61</v>
      </c>
      <c r="Q511" t="s">
        <v>58</v>
      </c>
      <c r="R511" s="11" t="str">
        <f>HYPERLINK("\\imagefiles.bcgov\imagery\scanned_maps\moe_terrain_maps\Scanned_T_maps_all\C04\C04-1665","\\imagefiles.bcgov\imagery\scanned_maps\moe_terrain_maps\Scanned_T_maps_all\C04\C04-1665")</f>
        <v>\\imagefiles.bcgov\imagery\scanned_maps\moe_terrain_maps\Scanned_T_maps_all\C04\C04-1665</v>
      </c>
      <c r="S511" t="s">
        <v>62</v>
      </c>
      <c r="T511" s="11" t="str">
        <f>HYPERLINK("http://www.env.gov.bc.ca/esd/distdata/ecosystems/TEI_Scanned_Maps/C04/C04-1665","http://www.env.gov.bc.ca/esd/distdata/ecosystems/TEI_Scanned_Maps/C04/C04-1665")</f>
        <v>http://www.env.gov.bc.ca/esd/distdata/ecosystems/TEI_Scanned_Maps/C04/C04-1665</v>
      </c>
      <c r="U511" t="s">
        <v>58</v>
      </c>
      <c r="V511" t="s">
        <v>58</v>
      </c>
      <c r="W511" t="s">
        <v>58</v>
      </c>
      <c r="X511" t="s">
        <v>58</v>
      </c>
      <c r="Y511" t="s">
        <v>58</v>
      </c>
      <c r="Z511" t="s">
        <v>58</v>
      </c>
      <c r="AA511" t="s">
        <v>58</v>
      </c>
      <c r="AC511" t="s">
        <v>58</v>
      </c>
      <c r="AE511" t="s">
        <v>58</v>
      </c>
      <c r="AG511" t="s">
        <v>63</v>
      </c>
      <c r="AH511" s="11" t="str">
        <f t="shared" si="10"/>
        <v>mailto: soilterrain@victoria1.gov.bc.ca</v>
      </c>
    </row>
    <row r="512" spans="1:34">
      <c r="A512" t="s">
        <v>1280</v>
      </c>
      <c r="B512" t="s">
        <v>56</v>
      </c>
      <c r="C512" s="10" t="s">
        <v>1281</v>
      </c>
      <c r="D512" t="s">
        <v>58</v>
      </c>
      <c r="E512" t="s">
        <v>497</v>
      </c>
      <c r="F512" t="s">
        <v>502</v>
      </c>
      <c r="G512">
        <v>50000</v>
      </c>
      <c r="H512">
        <v>1987</v>
      </c>
      <c r="I512" t="s">
        <v>58</v>
      </c>
      <c r="J512" t="s">
        <v>58</v>
      </c>
      <c r="K512" t="s">
        <v>58</v>
      </c>
      <c r="L512" t="s">
        <v>58</v>
      </c>
      <c r="M512" t="s">
        <v>58</v>
      </c>
      <c r="N512" t="s">
        <v>61</v>
      </c>
      <c r="Q512" t="s">
        <v>58</v>
      </c>
      <c r="R512" s="11" t="str">
        <f>HYPERLINK("\\imagefiles.bcgov\imagery\scanned_maps\moe_terrain_maps\Scanned_T_maps_all\C04\C04-1666","\\imagefiles.bcgov\imagery\scanned_maps\moe_terrain_maps\Scanned_T_maps_all\C04\C04-1666")</f>
        <v>\\imagefiles.bcgov\imagery\scanned_maps\moe_terrain_maps\Scanned_T_maps_all\C04\C04-1666</v>
      </c>
      <c r="S512" t="s">
        <v>62</v>
      </c>
      <c r="T512" s="11" t="str">
        <f>HYPERLINK("http://www.env.gov.bc.ca/esd/distdata/ecosystems/TEI_Scanned_Maps/C04/C04-1666","http://www.env.gov.bc.ca/esd/distdata/ecosystems/TEI_Scanned_Maps/C04/C04-1666")</f>
        <v>http://www.env.gov.bc.ca/esd/distdata/ecosystems/TEI_Scanned_Maps/C04/C04-1666</v>
      </c>
      <c r="U512" t="s">
        <v>58</v>
      </c>
      <c r="V512" t="s">
        <v>58</v>
      </c>
      <c r="W512" t="s">
        <v>58</v>
      </c>
      <c r="X512" t="s">
        <v>58</v>
      </c>
      <c r="Y512" t="s">
        <v>58</v>
      </c>
      <c r="Z512" t="s">
        <v>58</v>
      </c>
      <c r="AA512" t="s">
        <v>58</v>
      </c>
      <c r="AC512" t="s">
        <v>58</v>
      </c>
      <c r="AE512" t="s">
        <v>58</v>
      </c>
      <c r="AG512" t="s">
        <v>63</v>
      </c>
      <c r="AH512" s="11" t="str">
        <f t="shared" si="10"/>
        <v>mailto: soilterrain@victoria1.gov.bc.ca</v>
      </c>
    </row>
    <row r="513" spans="1:34">
      <c r="A513" t="s">
        <v>1282</v>
      </c>
      <c r="B513" t="s">
        <v>56</v>
      </c>
      <c r="C513" s="10" t="s">
        <v>1283</v>
      </c>
      <c r="D513" t="s">
        <v>58</v>
      </c>
      <c r="E513" t="s">
        <v>497</v>
      </c>
      <c r="F513" t="s">
        <v>502</v>
      </c>
      <c r="G513">
        <v>50000</v>
      </c>
      <c r="H513">
        <v>1987</v>
      </c>
      <c r="I513" t="s">
        <v>58</v>
      </c>
      <c r="J513" t="s">
        <v>58</v>
      </c>
      <c r="K513" t="s">
        <v>58</v>
      </c>
      <c r="L513" t="s">
        <v>58</v>
      </c>
      <c r="M513" t="s">
        <v>58</v>
      </c>
      <c r="N513" t="s">
        <v>61</v>
      </c>
      <c r="Q513" t="s">
        <v>58</v>
      </c>
      <c r="R513" s="11" t="str">
        <f>HYPERLINK("\\imagefiles.bcgov\imagery\scanned_maps\moe_terrain_maps\Scanned_T_maps_all\C04\C04-1667","\\imagefiles.bcgov\imagery\scanned_maps\moe_terrain_maps\Scanned_T_maps_all\C04\C04-1667")</f>
        <v>\\imagefiles.bcgov\imagery\scanned_maps\moe_terrain_maps\Scanned_T_maps_all\C04\C04-1667</v>
      </c>
      <c r="S513" t="s">
        <v>62</v>
      </c>
      <c r="T513" s="11" t="str">
        <f>HYPERLINK("http://www.env.gov.bc.ca/esd/distdata/ecosystems/TEI_Scanned_Maps/C04/C04-1667","http://www.env.gov.bc.ca/esd/distdata/ecosystems/TEI_Scanned_Maps/C04/C04-1667")</f>
        <v>http://www.env.gov.bc.ca/esd/distdata/ecosystems/TEI_Scanned_Maps/C04/C04-1667</v>
      </c>
      <c r="U513" t="s">
        <v>58</v>
      </c>
      <c r="V513" t="s">
        <v>58</v>
      </c>
      <c r="W513" t="s">
        <v>58</v>
      </c>
      <c r="X513" t="s">
        <v>58</v>
      </c>
      <c r="Y513" t="s">
        <v>58</v>
      </c>
      <c r="Z513" t="s">
        <v>58</v>
      </c>
      <c r="AA513" t="s">
        <v>58</v>
      </c>
      <c r="AC513" t="s">
        <v>58</v>
      </c>
      <c r="AE513" t="s">
        <v>58</v>
      </c>
      <c r="AG513" t="s">
        <v>63</v>
      </c>
      <c r="AH513" s="11" t="str">
        <f t="shared" si="10"/>
        <v>mailto: soilterrain@victoria1.gov.bc.ca</v>
      </c>
    </row>
    <row r="514" spans="1:34">
      <c r="A514" t="s">
        <v>1284</v>
      </c>
      <c r="B514" t="s">
        <v>56</v>
      </c>
      <c r="C514" s="10" t="s">
        <v>1285</v>
      </c>
      <c r="D514" t="s">
        <v>58</v>
      </c>
      <c r="E514" t="s">
        <v>497</v>
      </c>
      <c r="F514" t="s">
        <v>502</v>
      </c>
      <c r="G514">
        <v>50000</v>
      </c>
      <c r="H514">
        <v>1986</v>
      </c>
      <c r="I514" t="s">
        <v>58</v>
      </c>
      <c r="J514" t="s">
        <v>58</v>
      </c>
      <c r="K514" t="s">
        <v>58</v>
      </c>
      <c r="L514" t="s">
        <v>58</v>
      </c>
      <c r="M514" t="s">
        <v>58</v>
      </c>
      <c r="N514" t="s">
        <v>61</v>
      </c>
      <c r="Q514" t="s">
        <v>58</v>
      </c>
      <c r="R514" s="11" t="str">
        <f>HYPERLINK("\\imagefiles.bcgov\imagery\scanned_maps\moe_terrain_maps\Scanned_T_maps_all\C04\C04-1668","\\imagefiles.bcgov\imagery\scanned_maps\moe_terrain_maps\Scanned_T_maps_all\C04\C04-1668")</f>
        <v>\\imagefiles.bcgov\imagery\scanned_maps\moe_terrain_maps\Scanned_T_maps_all\C04\C04-1668</v>
      </c>
      <c r="S514" t="s">
        <v>62</v>
      </c>
      <c r="T514" s="11" t="str">
        <f>HYPERLINK("http://www.env.gov.bc.ca/esd/distdata/ecosystems/TEI_Scanned_Maps/C04/C04-1668","http://www.env.gov.bc.ca/esd/distdata/ecosystems/TEI_Scanned_Maps/C04/C04-1668")</f>
        <v>http://www.env.gov.bc.ca/esd/distdata/ecosystems/TEI_Scanned_Maps/C04/C04-1668</v>
      </c>
      <c r="U514" t="s">
        <v>58</v>
      </c>
      <c r="V514" t="s">
        <v>58</v>
      </c>
      <c r="W514" t="s">
        <v>58</v>
      </c>
      <c r="X514" t="s">
        <v>58</v>
      </c>
      <c r="Y514" t="s">
        <v>58</v>
      </c>
      <c r="Z514" t="s">
        <v>58</v>
      </c>
      <c r="AA514" t="s">
        <v>58</v>
      </c>
      <c r="AC514" t="s">
        <v>58</v>
      </c>
      <c r="AE514" t="s">
        <v>58</v>
      </c>
      <c r="AG514" t="s">
        <v>63</v>
      </c>
      <c r="AH514" s="11" t="str">
        <f t="shared" ref="AH514:AH577" si="11">HYPERLINK("mailto: soilterrain@victoria1.gov.bc.ca","mailto: soilterrain@victoria1.gov.bc.ca")</f>
        <v>mailto: soilterrain@victoria1.gov.bc.ca</v>
      </c>
    </row>
    <row r="515" spans="1:34">
      <c r="A515" t="s">
        <v>1286</v>
      </c>
      <c r="B515" t="s">
        <v>56</v>
      </c>
      <c r="C515" s="10" t="s">
        <v>1287</v>
      </c>
      <c r="D515" t="s">
        <v>58</v>
      </c>
      <c r="E515" t="s">
        <v>497</v>
      </c>
      <c r="F515" t="s">
        <v>502</v>
      </c>
      <c r="G515">
        <v>50000</v>
      </c>
      <c r="H515">
        <v>1989</v>
      </c>
      <c r="I515" t="s">
        <v>58</v>
      </c>
      <c r="J515" t="s">
        <v>58</v>
      </c>
      <c r="K515" t="s">
        <v>58</v>
      </c>
      <c r="L515" t="s">
        <v>58</v>
      </c>
      <c r="M515" t="s">
        <v>58</v>
      </c>
      <c r="N515" t="s">
        <v>61</v>
      </c>
      <c r="Q515" t="s">
        <v>58</v>
      </c>
      <c r="R515" s="11" t="str">
        <f>HYPERLINK("\\imagefiles.bcgov\imagery\scanned_maps\moe_terrain_maps\Scanned_T_maps_all\C04\C04-1745","\\imagefiles.bcgov\imagery\scanned_maps\moe_terrain_maps\Scanned_T_maps_all\C04\C04-1745")</f>
        <v>\\imagefiles.bcgov\imagery\scanned_maps\moe_terrain_maps\Scanned_T_maps_all\C04\C04-1745</v>
      </c>
      <c r="S515" t="s">
        <v>62</v>
      </c>
      <c r="T515" s="11" t="str">
        <f>HYPERLINK("http://www.env.gov.bc.ca/esd/distdata/ecosystems/TEI_Scanned_Maps/C04/C04-1745","http://www.env.gov.bc.ca/esd/distdata/ecosystems/TEI_Scanned_Maps/C04/C04-1745")</f>
        <v>http://www.env.gov.bc.ca/esd/distdata/ecosystems/TEI_Scanned_Maps/C04/C04-1745</v>
      </c>
      <c r="U515" t="s">
        <v>58</v>
      </c>
      <c r="V515" t="s">
        <v>58</v>
      </c>
      <c r="W515" t="s">
        <v>58</v>
      </c>
      <c r="X515" t="s">
        <v>58</v>
      </c>
      <c r="Y515" t="s">
        <v>58</v>
      </c>
      <c r="Z515" t="s">
        <v>58</v>
      </c>
      <c r="AA515" t="s">
        <v>58</v>
      </c>
      <c r="AC515" t="s">
        <v>58</v>
      </c>
      <c r="AE515" t="s">
        <v>58</v>
      </c>
      <c r="AG515" t="s">
        <v>63</v>
      </c>
      <c r="AH515" s="11" t="str">
        <f t="shared" si="11"/>
        <v>mailto: soilterrain@victoria1.gov.bc.ca</v>
      </c>
    </row>
    <row r="516" spans="1:34">
      <c r="A516" t="s">
        <v>1288</v>
      </c>
      <c r="B516" t="s">
        <v>56</v>
      </c>
      <c r="C516" s="10" t="s">
        <v>1289</v>
      </c>
      <c r="D516" t="s">
        <v>58</v>
      </c>
      <c r="E516" t="s">
        <v>497</v>
      </c>
      <c r="F516" t="s">
        <v>502</v>
      </c>
      <c r="G516">
        <v>50000</v>
      </c>
      <c r="H516">
        <v>1988</v>
      </c>
      <c r="I516" t="s">
        <v>58</v>
      </c>
      <c r="J516" t="s">
        <v>58</v>
      </c>
      <c r="K516" t="s">
        <v>58</v>
      </c>
      <c r="L516" t="s">
        <v>58</v>
      </c>
      <c r="M516" t="s">
        <v>58</v>
      </c>
      <c r="N516" t="s">
        <v>61</v>
      </c>
      <c r="Q516" t="s">
        <v>58</v>
      </c>
      <c r="R516" s="11" t="str">
        <f>HYPERLINK("\\imagefiles.bcgov\imagery\scanned_maps\moe_terrain_maps\Scanned_T_maps_all\C04\C04-1748","\\imagefiles.bcgov\imagery\scanned_maps\moe_terrain_maps\Scanned_T_maps_all\C04\C04-1748")</f>
        <v>\\imagefiles.bcgov\imagery\scanned_maps\moe_terrain_maps\Scanned_T_maps_all\C04\C04-1748</v>
      </c>
      <c r="S516" t="s">
        <v>62</v>
      </c>
      <c r="T516" s="11" t="str">
        <f>HYPERLINK("http://www.env.gov.bc.ca/esd/distdata/ecosystems/TEI_Scanned_Maps/C04/C04-1748","http://www.env.gov.bc.ca/esd/distdata/ecosystems/TEI_Scanned_Maps/C04/C04-1748")</f>
        <v>http://www.env.gov.bc.ca/esd/distdata/ecosystems/TEI_Scanned_Maps/C04/C04-1748</v>
      </c>
      <c r="U516" t="s">
        <v>58</v>
      </c>
      <c r="V516" t="s">
        <v>58</v>
      </c>
      <c r="W516" t="s">
        <v>58</v>
      </c>
      <c r="X516" t="s">
        <v>58</v>
      </c>
      <c r="Y516" t="s">
        <v>58</v>
      </c>
      <c r="Z516" t="s">
        <v>58</v>
      </c>
      <c r="AA516" t="s">
        <v>58</v>
      </c>
      <c r="AC516" t="s">
        <v>58</v>
      </c>
      <c r="AE516" t="s">
        <v>58</v>
      </c>
      <c r="AG516" t="s">
        <v>63</v>
      </c>
      <c r="AH516" s="11" t="str">
        <f t="shared" si="11"/>
        <v>mailto: soilterrain@victoria1.gov.bc.ca</v>
      </c>
    </row>
    <row r="517" spans="1:34">
      <c r="A517" t="s">
        <v>1290</v>
      </c>
      <c r="B517" t="s">
        <v>56</v>
      </c>
      <c r="C517" s="10" t="s">
        <v>1291</v>
      </c>
      <c r="D517" t="s">
        <v>58</v>
      </c>
      <c r="E517" t="s">
        <v>497</v>
      </c>
      <c r="F517" t="s">
        <v>502</v>
      </c>
      <c r="G517">
        <v>50000</v>
      </c>
      <c r="H517" t="s">
        <v>187</v>
      </c>
      <c r="I517" t="s">
        <v>58</v>
      </c>
      <c r="J517" t="s">
        <v>58</v>
      </c>
      <c r="K517" t="s">
        <v>58</v>
      </c>
      <c r="L517" t="s">
        <v>58</v>
      </c>
      <c r="M517" t="s">
        <v>58</v>
      </c>
      <c r="N517" t="s">
        <v>61</v>
      </c>
      <c r="Q517" t="s">
        <v>58</v>
      </c>
      <c r="R517" s="11" t="str">
        <f>HYPERLINK("\\imagefiles.bcgov\imagery\scanned_maps\moe_terrain_maps\Scanned_T_maps_all\C04\C04-1751","\\imagefiles.bcgov\imagery\scanned_maps\moe_terrain_maps\Scanned_T_maps_all\C04\C04-1751")</f>
        <v>\\imagefiles.bcgov\imagery\scanned_maps\moe_terrain_maps\Scanned_T_maps_all\C04\C04-1751</v>
      </c>
      <c r="S517" t="s">
        <v>62</v>
      </c>
      <c r="T517" s="11" t="str">
        <f>HYPERLINK("http://www.env.gov.bc.ca/esd/distdata/ecosystems/TEI_Scanned_Maps/C04/C04-1751","http://www.env.gov.bc.ca/esd/distdata/ecosystems/TEI_Scanned_Maps/C04/C04-1751")</f>
        <v>http://www.env.gov.bc.ca/esd/distdata/ecosystems/TEI_Scanned_Maps/C04/C04-1751</v>
      </c>
      <c r="U517" t="s">
        <v>58</v>
      </c>
      <c r="V517" t="s">
        <v>58</v>
      </c>
      <c r="W517" t="s">
        <v>58</v>
      </c>
      <c r="X517" t="s">
        <v>58</v>
      </c>
      <c r="Y517" t="s">
        <v>58</v>
      </c>
      <c r="Z517" t="s">
        <v>58</v>
      </c>
      <c r="AA517" t="s">
        <v>58</v>
      </c>
      <c r="AC517" t="s">
        <v>58</v>
      </c>
      <c r="AE517" t="s">
        <v>58</v>
      </c>
      <c r="AG517" t="s">
        <v>63</v>
      </c>
      <c r="AH517" s="11" t="str">
        <f t="shared" si="11"/>
        <v>mailto: soilterrain@victoria1.gov.bc.ca</v>
      </c>
    </row>
    <row r="518" spans="1:34">
      <c r="A518" t="s">
        <v>1292</v>
      </c>
      <c r="B518" t="s">
        <v>56</v>
      </c>
      <c r="C518" s="10" t="s">
        <v>1293</v>
      </c>
      <c r="D518" t="s">
        <v>58</v>
      </c>
      <c r="E518" t="s">
        <v>497</v>
      </c>
      <c r="F518" t="s">
        <v>502</v>
      </c>
      <c r="G518">
        <v>50000</v>
      </c>
      <c r="H518">
        <v>1988</v>
      </c>
      <c r="I518" t="s">
        <v>58</v>
      </c>
      <c r="J518" t="s">
        <v>58</v>
      </c>
      <c r="K518" t="s">
        <v>58</v>
      </c>
      <c r="L518" t="s">
        <v>58</v>
      </c>
      <c r="M518" t="s">
        <v>58</v>
      </c>
      <c r="N518" t="s">
        <v>61</v>
      </c>
      <c r="Q518" t="s">
        <v>58</v>
      </c>
      <c r="R518" s="11" t="str">
        <f>HYPERLINK("\\imagefiles.bcgov\imagery\scanned_maps\moe_terrain_maps\Scanned_T_maps_all\C04\C04-1753","\\imagefiles.bcgov\imagery\scanned_maps\moe_terrain_maps\Scanned_T_maps_all\C04\C04-1753")</f>
        <v>\\imagefiles.bcgov\imagery\scanned_maps\moe_terrain_maps\Scanned_T_maps_all\C04\C04-1753</v>
      </c>
      <c r="S518" t="s">
        <v>62</v>
      </c>
      <c r="T518" s="11" t="str">
        <f>HYPERLINK("http://www.env.gov.bc.ca/esd/distdata/ecosystems/TEI_Scanned_Maps/C04/C04-1753","http://www.env.gov.bc.ca/esd/distdata/ecosystems/TEI_Scanned_Maps/C04/C04-1753")</f>
        <v>http://www.env.gov.bc.ca/esd/distdata/ecosystems/TEI_Scanned_Maps/C04/C04-1753</v>
      </c>
      <c r="U518" t="s">
        <v>58</v>
      </c>
      <c r="V518" t="s">
        <v>58</v>
      </c>
      <c r="W518" t="s">
        <v>58</v>
      </c>
      <c r="X518" t="s">
        <v>58</v>
      </c>
      <c r="Y518" t="s">
        <v>58</v>
      </c>
      <c r="Z518" t="s">
        <v>58</v>
      </c>
      <c r="AA518" t="s">
        <v>58</v>
      </c>
      <c r="AC518" t="s">
        <v>58</v>
      </c>
      <c r="AE518" t="s">
        <v>58</v>
      </c>
      <c r="AG518" t="s">
        <v>63</v>
      </c>
      <c r="AH518" s="11" t="str">
        <f t="shared" si="11"/>
        <v>mailto: soilterrain@victoria1.gov.bc.ca</v>
      </c>
    </row>
    <row r="519" spans="1:34">
      <c r="A519" t="s">
        <v>1294</v>
      </c>
      <c r="B519" t="s">
        <v>56</v>
      </c>
      <c r="C519" s="10" t="s">
        <v>1295</v>
      </c>
      <c r="D519" t="s">
        <v>58</v>
      </c>
      <c r="E519" t="s">
        <v>497</v>
      </c>
      <c r="F519" t="s">
        <v>502</v>
      </c>
      <c r="G519">
        <v>50000</v>
      </c>
      <c r="H519">
        <v>1987</v>
      </c>
      <c r="I519" t="s">
        <v>58</v>
      </c>
      <c r="J519" t="s">
        <v>58</v>
      </c>
      <c r="K519" t="s">
        <v>58</v>
      </c>
      <c r="L519" t="s">
        <v>58</v>
      </c>
      <c r="M519" t="s">
        <v>58</v>
      </c>
      <c r="N519" t="s">
        <v>61</v>
      </c>
      <c r="Q519" t="s">
        <v>58</v>
      </c>
      <c r="R519" s="11" t="str">
        <f>HYPERLINK("\\imagefiles.bcgov\imagery\scanned_maps\moe_terrain_maps\Scanned_T_maps_all\C04\C04-1755","\\imagefiles.bcgov\imagery\scanned_maps\moe_terrain_maps\Scanned_T_maps_all\C04\C04-1755")</f>
        <v>\\imagefiles.bcgov\imagery\scanned_maps\moe_terrain_maps\Scanned_T_maps_all\C04\C04-1755</v>
      </c>
      <c r="S519" t="s">
        <v>62</v>
      </c>
      <c r="T519" s="11" t="str">
        <f>HYPERLINK("http://www.env.gov.bc.ca/esd/distdata/ecosystems/TEI_Scanned_Maps/C04/C04-1755","http://www.env.gov.bc.ca/esd/distdata/ecosystems/TEI_Scanned_Maps/C04/C04-1755")</f>
        <v>http://www.env.gov.bc.ca/esd/distdata/ecosystems/TEI_Scanned_Maps/C04/C04-1755</v>
      </c>
      <c r="U519" t="s">
        <v>58</v>
      </c>
      <c r="V519" t="s">
        <v>58</v>
      </c>
      <c r="W519" t="s">
        <v>58</v>
      </c>
      <c r="X519" t="s">
        <v>58</v>
      </c>
      <c r="Y519" t="s">
        <v>58</v>
      </c>
      <c r="Z519" t="s">
        <v>58</v>
      </c>
      <c r="AA519" t="s">
        <v>58</v>
      </c>
      <c r="AC519" t="s">
        <v>58</v>
      </c>
      <c r="AE519" t="s">
        <v>58</v>
      </c>
      <c r="AG519" t="s">
        <v>63</v>
      </c>
      <c r="AH519" s="11" t="str">
        <f t="shared" si="11"/>
        <v>mailto: soilterrain@victoria1.gov.bc.ca</v>
      </c>
    </row>
    <row r="520" spans="1:34">
      <c r="A520" t="s">
        <v>1296</v>
      </c>
      <c r="B520" t="s">
        <v>56</v>
      </c>
      <c r="C520" s="10" t="s">
        <v>1297</v>
      </c>
      <c r="D520" t="s">
        <v>58</v>
      </c>
      <c r="E520" t="s">
        <v>497</v>
      </c>
      <c r="F520" t="s">
        <v>502</v>
      </c>
      <c r="G520">
        <v>50000</v>
      </c>
      <c r="H520">
        <v>1987</v>
      </c>
      <c r="I520" t="s">
        <v>58</v>
      </c>
      <c r="J520" t="s">
        <v>58</v>
      </c>
      <c r="K520" t="s">
        <v>58</v>
      </c>
      <c r="L520" t="s">
        <v>58</v>
      </c>
      <c r="M520" t="s">
        <v>58</v>
      </c>
      <c r="N520" t="s">
        <v>61</v>
      </c>
      <c r="Q520" t="s">
        <v>58</v>
      </c>
      <c r="R520" s="11" t="str">
        <f>HYPERLINK("\\imagefiles.bcgov\imagery\scanned_maps\moe_terrain_maps\Scanned_T_maps_all\C04\C04-1758","\\imagefiles.bcgov\imagery\scanned_maps\moe_terrain_maps\Scanned_T_maps_all\C04\C04-1758")</f>
        <v>\\imagefiles.bcgov\imagery\scanned_maps\moe_terrain_maps\Scanned_T_maps_all\C04\C04-1758</v>
      </c>
      <c r="S520" t="s">
        <v>62</v>
      </c>
      <c r="T520" s="11" t="str">
        <f>HYPERLINK("http://www.env.gov.bc.ca/esd/distdata/ecosystems/TEI_Scanned_Maps/C04/C04-1758","http://www.env.gov.bc.ca/esd/distdata/ecosystems/TEI_Scanned_Maps/C04/C04-1758")</f>
        <v>http://www.env.gov.bc.ca/esd/distdata/ecosystems/TEI_Scanned_Maps/C04/C04-1758</v>
      </c>
      <c r="U520" t="s">
        <v>58</v>
      </c>
      <c r="V520" t="s">
        <v>58</v>
      </c>
      <c r="W520" t="s">
        <v>58</v>
      </c>
      <c r="X520" t="s">
        <v>58</v>
      </c>
      <c r="Y520" t="s">
        <v>58</v>
      </c>
      <c r="Z520" t="s">
        <v>58</v>
      </c>
      <c r="AA520" t="s">
        <v>58</v>
      </c>
      <c r="AC520" t="s">
        <v>58</v>
      </c>
      <c r="AE520" t="s">
        <v>58</v>
      </c>
      <c r="AG520" t="s">
        <v>63</v>
      </c>
      <c r="AH520" s="11" t="str">
        <f t="shared" si="11"/>
        <v>mailto: soilterrain@victoria1.gov.bc.ca</v>
      </c>
    </row>
    <row r="521" spans="1:34">
      <c r="A521" t="s">
        <v>1298</v>
      </c>
      <c r="B521" t="s">
        <v>56</v>
      </c>
      <c r="C521" s="10" t="s">
        <v>1299</v>
      </c>
      <c r="D521" t="s">
        <v>58</v>
      </c>
      <c r="E521" t="s">
        <v>497</v>
      </c>
      <c r="F521" t="s">
        <v>502</v>
      </c>
      <c r="G521">
        <v>50000</v>
      </c>
      <c r="H521">
        <v>1986</v>
      </c>
      <c r="I521" t="s">
        <v>58</v>
      </c>
      <c r="J521" t="s">
        <v>58</v>
      </c>
      <c r="K521" t="s">
        <v>58</v>
      </c>
      <c r="L521" t="s">
        <v>58</v>
      </c>
      <c r="M521" t="s">
        <v>58</v>
      </c>
      <c r="N521" t="s">
        <v>61</v>
      </c>
      <c r="Q521" t="s">
        <v>58</v>
      </c>
      <c r="R521" s="11" t="str">
        <f>HYPERLINK("\\imagefiles.bcgov\imagery\scanned_maps\moe_terrain_maps\Scanned_T_maps_all\C04\C04-1761","\\imagefiles.bcgov\imagery\scanned_maps\moe_terrain_maps\Scanned_T_maps_all\C04\C04-1761")</f>
        <v>\\imagefiles.bcgov\imagery\scanned_maps\moe_terrain_maps\Scanned_T_maps_all\C04\C04-1761</v>
      </c>
      <c r="S521" t="s">
        <v>62</v>
      </c>
      <c r="T521" s="11" t="str">
        <f>HYPERLINK("http://www.env.gov.bc.ca/esd/distdata/ecosystems/TEI_Scanned_Maps/C04/C04-1761","http://www.env.gov.bc.ca/esd/distdata/ecosystems/TEI_Scanned_Maps/C04/C04-1761")</f>
        <v>http://www.env.gov.bc.ca/esd/distdata/ecosystems/TEI_Scanned_Maps/C04/C04-1761</v>
      </c>
      <c r="U521" t="s">
        <v>58</v>
      </c>
      <c r="V521" t="s">
        <v>58</v>
      </c>
      <c r="W521" t="s">
        <v>58</v>
      </c>
      <c r="X521" t="s">
        <v>58</v>
      </c>
      <c r="Y521" t="s">
        <v>58</v>
      </c>
      <c r="Z521" t="s">
        <v>58</v>
      </c>
      <c r="AA521" t="s">
        <v>58</v>
      </c>
      <c r="AC521" t="s">
        <v>58</v>
      </c>
      <c r="AE521" t="s">
        <v>58</v>
      </c>
      <c r="AG521" t="s">
        <v>63</v>
      </c>
      <c r="AH521" s="11" t="str">
        <f t="shared" si="11"/>
        <v>mailto: soilterrain@victoria1.gov.bc.ca</v>
      </c>
    </row>
    <row r="522" spans="1:34">
      <c r="A522" t="s">
        <v>1300</v>
      </c>
      <c r="B522" t="s">
        <v>56</v>
      </c>
      <c r="C522" s="10" t="s">
        <v>1301</v>
      </c>
      <c r="D522" t="s">
        <v>58</v>
      </c>
      <c r="E522" t="s">
        <v>497</v>
      </c>
      <c r="F522" t="s">
        <v>502</v>
      </c>
      <c r="G522">
        <v>50000</v>
      </c>
      <c r="H522">
        <v>1989</v>
      </c>
      <c r="I522" t="s">
        <v>58</v>
      </c>
      <c r="J522" t="s">
        <v>58</v>
      </c>
      <c r="K522" t="s">
        <v>58</v>
      </c>
      <c r="L522" t="s">
        <v>58</v>
      </c>
      <c r="M522" t="s">
        <v>58</v>
      </c>
      <c r="N522" t="s">
        <v>61</v>
      </c>
      <c r="Q522" t="s">
        <v>58</v>
      </c>
      <c r="R522" s="11" t="str">
        <f>HYPERLINK("\\imagefiles.bcgov\imagery\scanned_maps\moe_terrain_maps\Scanned_T_maps_all\C04\C04-1764","\\imagefiles.bcgov\imagery\scanned_maps\moe_terrain_maps\Scanned_T_maps_all\C04\C04-1764")</f>
        <v>\\imagefiles.bcgov\imagery\scanned_maps\moe_terrain_maps\Scanned_T_maps_all\C04\C04-1764</v>
      </c>
      <c r="S522" t="s">
        <v>62</v>
      </c>
      <c r="T522" s="11" t="str">
        <f>HYPERLINK("http://www.env.gov.bc.ca/esd/distdata/ecosystems/TEI_Scanned_Maps/C04/C04-1764","http://www.env.gov.bc.ca/esd/distdata/ecosystems/TEI_Scanned_Maps/C04/C04-1764")</f>
        <v>http://www.env.gov.bc.ca/esd/distdata/ecosystems/TEI_Scanned_Maps/C04/C04-1764</v>
      </c>
      <c r="U522" t="s">
        <v>58</v>
      </c>
      <c r="V522" t="s">
        <v>58</v>
      </c>
      <c r="W522" t="s">
        <v>58</v>
      </c>
      <c r="X522" t="s">
        <v>58</v>
      </c>
      <c r="Y522" t="s">
        <v>58</v>
      </c>
      <c r="Z522" t="s">
        <v>58</v>
      </c>
      <c r="AA522" t="s">
        <v>58</v>
      </c>
      <c r="AC522" t="s">
        <v>58</v>
      </c>
      <c r="AE522" t="s">
        <v>58</v>
      </c>
      <c r="AG522" t="s">
        <v>63</v>
      </c>
      <c r="AH522" s="11" t="str">
        <f t="shared" si="11"/>
        <v>mailto: soilterrain@victoria1.gov.bc.ca</v>
      </c>
    </row>
    <row r="523" spans="1:34">
      <c r="A523" t="s">
        <v>1302</v>
      </c>
      <c r="B523" t="s">
        <v>56</v>
      </c>
      <c r="C523" s="10" t="s">
        <v>716</v>
      </c>
      <c r="D523" t="s">
        <v>58</v>
      </c>
      <c r="E523" t="s">
        <v>497</v>
      </c>
      <c r="F523" t="s">
        <v>502</v>
      </c>
      <c r="G523">
        <v>50000</v>
      </c>
      <c r="H523">
        <v>1988</v>
      </c>
      <c r="I523" t="s">
        <v>58</v>
      </c>
      <c r="J523" t="s">
        <v>58</v>
      </c>
      <c r="K523" t="s">
        <v>58</v>
      </c>
      <c r="L523" t="s">
        <v>58</v>
      </c>
      <c r="M523" t="s">
        <v>58</v>
      </c>
      <c r="N523" t="s">
        <v>61</v>
      </c>
      <c r="Q523" t="s">
        <v>58</v>
      </c>
      <c r="R523" s="11" t="str">
        <f>HYPERLINK("\\imagefiles.bcgov\imagery\scanned_maps\moe_terrain_maps\Scanned_T_maps_all\C04\C04-1767","\\imagefiles.bcgov\imagery\scanned_maps\moe_terrain_maps\Scanned_T_maps_all\C04\C04-1767")</f>
        <v>\\imagefiles.bcgov\imagery\scanned_maps\moe_terrain_maps\Scanned_T_maps_all\C04\C04-1767</v>
      </c>
      <c r="S523" t="s">
        <v>62</v>
      </c>
      <c r="T523" s="11" t="str">
        <f>HYPERLINK("http://www.env.gov.bc.ca/esd/distdata/ecosystems/TEI_Scanned_Maps/C04/C04-1767","http://www.env.gov.bc.ca/esd/distdata/ecosystems/TEI_Scanned_Maps/C04/C04-1767")</f>
        <v>http://www.env.gov.bc.ca/esd/distdata/ecosystems/TEI_Scanned_Maps/C04/C04-1767</v>
      </c>
      <c r="U523" t="s">
        <v>58</v>
      </c>
      <c r="V523" t="s">
        <v>58</v>
      </c>
      <c r="W523" t="s">
        <v>58</v>
      </c>
      <c r="X523" t="s">
        <v>58</v>
      </c>
      <c r="Y523" t="s">
        <v>58</v>
      </c>
      <c r="Z523" t="s">
        <v>58</v>
      </c>
      <c r="AA523" t="s">
        <v>58</v>
      </c>
      <c r="AC523" t="s">
        <v>58</v>
      </c>
      <c r="AE523" t="s">
        <v>58</v>
      </c>
      <c r="AG523" t="s">
        <v>63</v>
      </c>
      <c r="AH523" s="11" t="str">
        <f t="shared" si="11"/>
        <v>mailto: soilterrain@victoria1.gov.bc.ca</v>
      </c>
    </row>
    <row r="524" spans="1:34">
      <c r="A524" t="s">
        <v>1303</v>
      </c>
      <c r="B524" t="s">
        <v>56</v>
      </c>
      <c r="C524" s="10" t="s">
        <v>1304</v>
      </c>
      <c r="D524" t="s">
        <v>58</v>
      </c>
      <c r="E524" t="s">
        <v>497</v>
      </c>
      <c r="F524" t="s">
        <v>502</v>
      </c>
      <c r="G524">
        <v>50000</v>
      </c>
      <c r="H524" t="s">
        <v>187</v>
      </c>
      <c r="I524" t="s">
        <v>58</v>
      </c>
      <c r="J524" t="s">
        <v>58</v>
      </c>
      <c r="K524" t="s">
        <v>58</v>
      </c>
      <c r="L524" t="s">
        <v>58</v>
      </c>
      <c r="M524" t="s">
        <v>58</v>
      </c>
      <c r="N524" t="s">
        <v>61</v>
      </c>
      <c r="Q524" t="s">
        <v>58</v>
      </c>
      <c r="R524" s="11" t="str">
        <f>HYPERLINK("\\imagefiles.bcgov\imagery\scanned_maps\moe_terrain_maps\Scanned_T_maps_all\C04\C04-1770","\\imagefiles.bcgov\imagery\scanned_maps\moe_terrain_maps\Scanned_T_maps_all\C04\C04-1770")</f>
        <v>\\imagefiles.bcgov\imagery\scanned_maps\moe_terrain_maps\Scanned_T_maps_all\C04\C04-1770</v>
      </c>
      <c r="S524" t="s">
        <v>62</v>
      </c>
      <c r="T524" s="11" t="str">
        <f>HYPERLINK("http://www.env.gov.bc.ca/esd/distdata/ecosystems/TEI_Scanned_Maps/C04/C04-1770","http://www.env.gov.bc.ca/esd/distdata/ecosystems/TEI_Scanned_Maps/C04/C04-1770")</f>
        <v>http://www.env.gov.bc.ca/esd/distdata/ecosystems/TEI_Scanned_Maps/C04/C04-1770</v>
      </c>
      <c r="U524" t="s">
        <v>58</v>
      </c>
      <c r="V524" t="s">
        <v>58</v>
      </c>
      <c r="W524" t="s">
        <v>58</v>
      </c>
      <c r="X524" t="s">
        <v>58</v>
      </c>
      <c r="Y524" t="s">
        <v>58</v>
      </c>
      <c r="Z524" t="s">
        <v>58</v>
      </c>
      <c r="AA524" t="s">
        <v>58</v>
      </c>
      <c r="AC524" t="s">
        <v>58</v>
      </c>
      <c r="AE524" t="s">
        <v>58</v>
      </c>
      <c r="AG524" t="s">
        <v>63</v>
      </c>
      <c r="AH524" s="11" t="str">
        <f t="shared" si="11"/>
        <v>mailto: soilterrain@victoria1.gov.bc.ca</v>
      </c>
    </row>
    <row r="525" spans="1:34">
      <c r="A525" t="s">
        <v>1305</v>
      </c>
      <c r="B525" t="s">
        <v>56</v>
      </c>
      <c r="C525" s="10" t="s">
        <v>1306</v>
      </c>
      <c r="D525" t="s">
        <v>58</v>
      </c>
      <c r="E525" t="s">
        <v>497</v>
      </c>
      <c r="F525" t="s">
        <v>502</v>
      </c>
      <c r="G525">
        <v>50000</v>
      </c>
      <c r="H525">
        <v>1988</v>
      </c>
      <c r="I525" t="s">
        <v>58</v>
      </c>
      <c r="J525" t="s">
        <v>58</v>
      </c>
      <c r="K525" t="s">
        <v>58</v>
      </c>
      <c r="L525" t="s">
        <v>58</v>
      </c>
      <c r="M525" t="s">
        <v>58</v>
      </c>
      <c r="N525" t="s">
        <v>61</v>
      </c>
      <c r="Q525" t="s">
        <v>58</v>
      </c>
      <c r="R525" s="11" t="str">
        <f>HYPERLINK("\\imagefiles.bcgov\imagery\scanned_maps\moe_terrain_maps\Scanned_T_maps_all\C04\C04-1773","\\imagefiles.bcgov\imagery\scanned_maps\moe_terrain_maps\Scanned_T_maps_all\C04\C04-1773")</f>
        <v>\\imagefiles.bcgov\imagery\scanned_maps\moe_terrain_maps\Scanned_T_maps_all\C04\C04-1773</v>
      </c>
      <c r="S525" t="s">
        <v>62</v>
      </c>
      <c r="T525" s="11" t="str">
        <f>HYPERLINK("http://www.env.gov.bc.ca/esd/distdata/ecosystems/TEI_Scanned_Maps/C04/C04-1773","http://www.env.gov.bc.ca/esd/distdata/ecosystems/TEI_Scanned_Maps/C04/C04-1773")</f>
        <v>http://www.env.gov.bc.ca/esd/distdata/ecosystems/TEI_Scanned_Maps/C04/C04-1773</v>
      </c>
      <c r="U525" t="s">
        <v>58</v>
      </c>
      <c r="V525" t="s">
        <v>58</v>
      </c>
      <c r="W525" t="s">
        <v>58</v>
      </c>
      <c r="X525" t="s">
        <v>58</v>
      </c>
      <c r="Y525" t="s">
        <v>58</v>
      </c>
      <c r="Z525" t="s">
        <v>58</v>
      </c>
      <c r="AA525" t="s">
        <v>58</v>
      </c>
      <c r="AC525" t="s">
        <v>58</v>
      </c>
      <c r="AE525" t="s">
        <v>58</v>
      </c>
      <c r="AG525" t="s">
        <v>63</v>
      </c>
      <c r="AH525" s="11" t="str">
        <f t="shared" si="11"/>
        <v>mailto: soilterrain@victoria1.gov.bc.ca</v>
      </c>
    </row>
    <row r="526" spans="1:34">
      <c r="A526" t="s">
        <v>1307</v>
      </c>
      <c r="B526" t="s">
        <v>56</v>
      </c>
      <c r="C526" s="10" t="s">
        <v>1308</v>
      </c>
      <c r="D526" t="s">
        <v>58</v>
      </c>
      <c r="E526" t="s">
        <v>497</v>
      </c>
      <c r="F526" t="s">
        <v>508</v>
      </c>
      <c r="G526">
        <v>50000</v>
      </c>
      <c r="H526">
        <v>1987</v>
      </c>
      <c r="I526" t="s">
        <v>58</v>
      </c>
      <c r="J526" t="s">
        <v>58</v>
      </c>
      <c r="K526" t="s">
        <v>58</v>
      </c>
      <c r="L526" t="s">
        <v>58</v>
      </c>
      <c r="M526" t="s">
        <v>58</v>
      </c>
      <c r="N526" t="s">
        <v>61</v>
      </c>
      <c r="Q526" t="s">
        <v>58</v>
      </c>
      <c r="R526" s="11" t="str">
        <f>HYPERLINK("\\imagefiles.bcgov\imagery\scanned_maps\moe_terrain_maps\Scanned_T_maps_all\C04\C04-1776","\\imagefiles.bcgov\imagery\scanned_maps\moe_terrain_maps\Scanned_T_maps_all\C04\C04-1776")</f>
        <v>\\imagefiles.bcgov\imagery\scanned_maps\moe_terrain_maps\Scanned_T_maps_all\C04\C04-1776</v>
      </c>
      <c r="S526" t="s">
        <v>62</v>
      </c>
      <c r="T526" s="11" t="str">
        <f>HYPERLINK("http://www.env.gov.bc.ca/esd/distdata/ecosystems/TEI_Scanned_Maps/C04/C04-1776","http://www.env.gov.bc.ca/esd/distdata/ecosystems/TEI_Scanned_Maps/C04/C04-1776")</f>
        <v>http://www.env.gov.bc.ca/esd/distdata/ecosystems/TEI_Scanned_Maps/C04/C04-1776</v>
      </c>
      <c r="U526" t="s">
        <v>58</v>
      </c>
      <c r="V526" t="s">
        <v>58</v>
      </c>
      <c r="W526" t="s">
        <v>58</v>
      </c>
      <c r="X526" t="s">
        <v>58</v>
      </c>
      <c r="Y526" t="s">
        <v>58</v>
      </c>
      <c r="Z526" t="s">
        <v>58</v>
      </c>
      <c r="AA526" t="s">
        <v>58</v>
      </c>
      <c r="AC526" t="s">
        <v>58</v>
      </c>
      <c r="AE526" t="s">
        <v>58</v>
      </c>
      <c r="AG526" t="s">
        <v>63</v>
      </c>
      <c r="AH526" s="11" t="str">
        <f t="shared" si="11"/>
        <v>mailto: soilterrain@victoria1.gov.bc.ca</v>
      </c>
    </row>
    <row r="527" spans="1:34">
      <c r="A527" t="s">
        <v>1309</v>
      </c>
      <c r="B527" t="s">
        <v>56</v>
      </c>
      <c r="C527" s="10" t="s">
        <v>1310</v>
      </c>
      <c r="D527" t="s">
        <v>58</v>
      </c>
      <c r="E527" t="s">
        <v>497</v>
      </c>
      <c r="F527" t="s">
        <v>502</v>
      </c>
      <c r="G527">
        <v>50000</v>
      </c>
      <c r="H527">
        <v>1987</v>
      </c>
      <c r="I527" t="s">
        <v>58</v>
      </c>
      <c r="J527" t="s">
        <v>58</v>
      </c>
      <c r="K527" t="s">
        <v>58</v>
      </c>
      <c r="L527" t="s">
        <v>58</v>
      </c>
      <c r="M527" t="s">
        <v>58</v>
      </c>
      <c r="N527" t="s">
        <v>61</v>
      </c>
      <c r="Q527" t="s">
        <v>58</v>
      </c>
      <c r="R527" s="11" t="str">
        <f>HYPERLINK("\\imagefiles.bcgov\imagery\scanned_maps\moe_terrain_maps\Scanned_T_maps_all\C04\C04-1779","\\imagefiles.bcgov\imagery\scanned_maps\moe_terrain_maps\Scanned_T_maps_all\C04\C04-1779")</f>
        <v>\\imagefiles.bcgov\imagery\scanned_maps\moe_terrain_maps\Scanned_T_maps_all\C04\C04-1779</v>
      </c>
      <c r="S527" t="s">
        <v>62</v>
      </c>
      <c r="T527" s="11" t="str">
        <f>HYPERLINK("http://www.env.gov.bc.ca/esd/distdata/ecosystems/TEI_Scanned_Maps/C04/C04-1779","http://www.env.gov.bc.ca/esd/distdata/ecosystems/TEI_Scanned_Maps/C04/C04-1779")</f>
        <v>http://www.env.gov.bc.ca/esd/distdata/ecosystems/TEI_Scanned_Maps/C04/C04-1779</v>
      </c>
      <c r="U527" t="s">
        <v>58</v>
      </c>
      <c r="V527" t="s">
        <v>58</v>
      </c>
      <c r="W527" t="s">
        <v>58</v>
      </c>
      <c r="X527" t="s">
        <v>58</v>
      </c>
      <c r="Y527" t="s">
        <v>58</v>
      </c>
      <c r="Z527" t="s">
        <v>58</v>
      </c>
      <c r="AA527" t="s">
        <v>58</v>
      </c>
      <c r="AC527" t="s">
        <v>58</v>
      </c>
      <c r="AE527" t="s">
        <v>58</v>
      </c>
      <c r="AG527" t="s">
        <v>63</v>
      </c>
      <c r="AH527" s="11" t="str">
        <f t="shared" si="11"/>
        <v>mailto: soilterrain@victoria1.gov.bc.ca</v>
      </c>
    </row>
    <row r="528" spans="1:34">
      <c r="A528" t="s">
        <v>1311</v>
      </c>
      <c r="B528" t="s">
        <v>56</v>
      </c>
      <c r="C528" s="10" t="s">
        <v>1312</v>
      </c>
      <c r="D528" t="s">
        <v>58</v>
      </c>
      <c r="E528" t="s">
        <v>497</v>
      </c>
      <c r="F528" t="s">
        <v>502</v>
      </c>
      <c r="G528">
        <v>50000</v>
      </c>
      <c r="H528">
        <v>1986</v>
      </c>
      <c r="I528" t="s">
        <v>58</v>
      </c>
      <c r="J528" t="s">
        <v>58</v>
      </c>
      <c r="K528" t="s">
        <v>58</v>
      </c>
      <c r="L528" t="s">
        <v>58</v>
      </c>
      <c r="M528" t="s">
        <v>58</v>
      </c>
      <c r="N528" t="s">
        <v>61</v>
      </c>
      <c r="Q528" t="s">
        <v>58</v>
      </c>
      <c r="R528" s="11" t="str">
        <f>HYPERLINK("\\imagefiles.bcgov\imagery\scanned_maps\moe_terrain_maps\Scanned_T_maps_all\C04\C04-1782","\\imagefiles.bcgov\imagery\scanned_maps\moe_terrain_maps\Scanned_T_maps_all\C04\C04-1782")</f>
        <v>\\imagefiles.bcgov\imagery\scanned_maps\moe_terrain_maps\Scanned_T_maps_all\C04\C04-1782</v>
      </c>
      <c r="S528" t="s">
        <v>62</v>
      </c>
      <c r="T528" s="11" t="str">
        <f>HYPERLINK("http://www.env.gov.bc.ca/esd/distdata/ecosystems/TEI_Scanned_Maps/C04/C04-1782","http://www.env.gov.bc.ca/esd/distdata/ecosystems/TEI_Scanned_Maps/C04/C04-1782")</f>
        <v>http://www.env.gov.bc.ca/esd/distdata/ecosystems/TEI_Scanned_Maps/C04/C04-1782</v>
      </c>
      <c r="U528" t="s">
        <v>58</v>
      </c>
      <c r="V528" t="s">
        <v>58</v>
      </c>
      <c r="W528" t="s">
        <v>58</v>
      </c>
      <c r="X528" t="s">
        <v>58</v>
      </c>
      <c r="Y528" t="s">
        <v>58</v>
      </c>
      <c r="Z528" t="s">
        <v>58</v>
      </c>
      <c r="AA528" t="s">
        <v>58</v>
      </c>
      <c r="AC528" t="s">
        <v>58</v>
      </c>
      <c r="AE528" t="s">
        <v>58</v>
      </c>
      <c r="AG528" t="s">
        <v>63</v>
      </c>
      <c r="AH528" s="11" t="str">
        <f t="shared" si="11"/>
        <v>mailto: soilterrain@victoria1.gov.bc.ca</v>
      </c>
    </row>
    <row r="529" spans="1:34">
      <c r="A529" t="s">
        <v>1313</v>
      </c>
      <c r="B529" t="s">
        <v>56</v>
      </c>
      <c r="C529" s="10" t="s">
        <v>1314</v>
      </c>
      <c r="D529" t="s">
        <v>58</v>
      </c>
      <c r="E529" t="s">
        <v>497</v>
      </c>
      <c r="F529" t="s">
        <v>502</v>
      </c>
      <c r="G529">
        <v>50000</v>
      </c>
      <c r="H529">
        <v>1989</v>
      </c>
      <c r="I529" t="s">
        <v>58</v>
      </c>
      <c r="J529" t="s">
        <v>58</v>
      </c>
      <c r="K529" t="s">
        <v>58</v>
      </c>
      <c r="L529" t="s">
        <v>58</v>
      </c>
      <c r="M529" t="s">
        <v>58</v>
      </c>
      <c r="N529" t="s">
        <v>61</v>
      </c>
      <c r="Q529" t="s">
        <v>58</v>
      </c>
      <c r="R529" s="11" t="str">
        <f>HYPERLINK("\\imagefiles.bcgov\imagery\scanned_maps\moe_terrain_maps\Scanned_T_maps_all\C04\C04-1785","\\imagefiles.bcgov\imagery\scanned_maps\moe_terrain_maps\Scanned_T_maps_all\C04\C04-1785")</f>
        <v>\\imagefiles.bcgov\imagery\scanned_maps\moe_terrain_maps\Scanned_T_maps_all\C04\C04-1785</v>
      </c>
      <c r="S529" t="s">
        <v>62</v>
      </c>
      <c r="T529" s="11" t="str">
        <f>HYPERLINK("http://www.env.gov.bc.ca/esd/distdata/ecosystems/TEI_Scanned_Maps/C04/C04-1785","http://www.env.gov.bc.ca/esd/distdata/ecosystems/TEI_Scanned_Maps/C04/C04-1785")</f>
        <v>http://www.env.gov.bc.ca/esd/distdata/ecosystems/TEI_Scanned_Maps/C04/C04-1785</v>
      </c>
      <c r="U529" t="s">
        <v>58</v>
      </c>
      <c r="V529" t="s">
        <v>58</v>
      </c>
      <c r="W529" t="s">
        <v>58</v>
      </c>
      <c r="X529" t="s">
        <v>58</v>
      </c>
      <c r="Y529" t="s">
        <v>58</v>
      </c>
      <c r="Z529" t="s">
        <v>58</v>
      </c>
      <c r="AA529" t="s">
        <v>58</v>
      </c>
      <c r="AC529" t="s">
        <v>58</v>
      </c>
      <c r="AE529" t="s">
        <v>58</v>
      </c>
      <c r="AG529" t="s">
        <v>63</v>
      </c>
      <c r="AH529" s="11" t="str">
        <f t="shared" si="11"/>
        <v>mailto: soilterrain@victoria1.gov.bc.ca</v>
      </c>
    </row>
    <row r="530" spans="1:34">
      <c r="A530" t="s">
        <v>1315</v>
      </c>
      <c r="B530" t="s">
        <v>56</v>
      </c>
      <c r="C530" s="10" t="s">
        <v>1316</v>
      </c>
      <c r="D530" t="s">
        <v>58</v>
      </c>
      <c r="E530" t="s">
        <v>497</v>
      </c>
      <c r="F530" t="s">
        <v>502</v>
      </c>
      <c r="G530">
        <v>50000</v>
      </c>
      <c r="H530">
        <v>1988</v>
      </c>
      <c r="I530" t="s">
        <v>58</v>
      </c>
      <c r="J530" t="s">
        <v>58</v>
      </c>
      <c r="K530" t="s">
        <v>58</v>
      </c>
      <c r="L530" t="s">
        <v>58</v>
      </c>
      <c r="M530" t="s">
        <v>58</v>
      </c>
      <c r="N530" t="s">
        <v>61</v>
      </c>
      <c r="Q530" t="s">
        <v>58</v>
      </c>
      <c r="R530" s="11" t="str">
        <f>HYPERLINK("\\imagefiles.bcgov\imagery\scanned_maps\moe_terrain_maps\Scanned_T_maps_all\C04\C04-1788","\\imagefiles.bcgov\imagery\scanned_maps\moe_terrain_maps\Scanned_T_maps_all\C04\C04-1788")</f>
        <v>\\imagefiles.bcgov\imagery\scanned_maps\moe_terrain_maps\Scanned_T_maps_all\C04\C04-1788</v>
      </c>
      <c r="S530" t="s">
        <v>62</v>
      </c>
      <c r="T530" s="11" t="str">
        <f>HYPERLINK("http://www.env.gov.bc.ca/esd/distdata/ecosystems/TEI_Scanned_Maps/C04/C04-1788","http://www.env.gov.bc.ca/esd/distdata/ecosystems/TEI_Scanned_Maps/C04/C04-1788")</f>
        <v>http://www.env.gov.bc.ca/esd/distdata/ecosystems/TEI_Scanned_Maps/C04/C04-1788</v>
      </c>
      <c r="U530" t="s">
        <v>58</v>
      </c>
      <c r="V530" t="s">
        <v>58</v>
      </c>
      <c r="W530" t="s">
        <v>58</v>
      </c>
      <c r="X530" t="s">
        <v>58</v>
      </c>
      <c r="Y530" t="s">
        <v>58</v>
      </c>
      <c r="Z530" t="s">
        <v>58</v>
      </c>
      <c r="AA530" t="s">
        <v>58</v>
      </c>
      <c r="AC530" t="s">
        <v>58</v>
      </c>
      <c r="AE530" t="s">
        <v>58</v>
      </c>
      <c r="AG530" t="s">
        <v>63</v>
      </c>
      <c r="AH530" s="11" t="str">
        <f t="shared" si="11"/>
        <v>mailto: soilterrain@victoria1.gov.bc.ca</v>
      </c>
    </row>
    <row r="531" spans="1:34">
      <c r="A531" t="s">
        <v>1317</v>
      </c>
      <c r="B531" t="s">
        <v>56</v>
      </c>
      <c r="C531" s="10" t="s">
        <v>1318</v>
      </c>
      <c r="D531" t="s">
        <v>58</v>
      </c>
      <c r="E531" t="s">
        <v>497</v>
      </c>
      <c r="F531" t="s">
        <v>502</v>
      </c>
      <c r="G531">
        <v>50000</v>
      </c>
      <c r="H531" t="s">
        <v>187</v>
      </c>
      <c r="I531" t="s">
        <v>58</v>
      </c>
      <c r="J531" t="s">
        <v>58</v>
      </c>
      <c r="K531" t="s">
        <v>58</v>
      </c>
      <c r="L531" t="s">
        <v>58</v>
      </c>
      <c r="M531" t="s">
        <v>58</v>
      </c>
      <c r="N531" t="s">
        <v>61</v>
      </c>
      <c r="Q531" t="s">
        <v>58</v>
      </c>
      <c r="R531" s="11" t="str">
        <f>HYPERLINK("\\imagefiles.bcgov\imagery\scanned_maps\moe_terrain_maps\Scanned_T_maps_all\C04\C04-1829","\\imagefiles.bcgov\imagery\scanned_maps\moe_terrain_maps\Scanned_T_maps_all\C04\C04-1829")</f>
        <v>\\imagefiles.bcgov\imagery\scanned_maps\moe_terrain_maps\Scanned_T_maps_all\C04\C04-1829</v>
      </c>
      <c r="S531" t="s">
        <v>62</v>
      </c>
      <c r="T531" s="11" t="str">
        <f>HYPERLINK("http://www.env.gov.bc.ca/esd/distdata/ecosystems/TEI_Scanned_Maps/C04/C04-1829","http://www.env.gov.bc.ca/esd/distdata/ecosystems/TEI_Scanned_Maps/C04/C04-1829")</f>
        <v>http://www.env.gov.bc.ca/esd/distdata/ecosystems/TEI_Scanned_Maps/C04/C04-1829</v>
      </c>
      <c r="U531" t="s">
        <v>58</v>
      </c>
      <c r="V531" t="s">
        <v>58</v>
      </c>
      <c r="W531" t="s">
        <v>58</v>
      </c>
      <c r="X531" t="s">
        <v>58</v>
      </c>
      <c r="Y531" t="s">
        <v>58</v>
      </c>
      <c r="Z531" t="s">
        <v>58</v>
      </c>
      <c r="AA531" t="s">
        <v>58</v>
      </c>
      <c r="AC531" t="s">
        <v>58</v>
      </c>
      <c r="AE531" t="s">
        <v>58</v>
      </c>
      <c r="AG531" t="s">
        <v>63</v>
      </c>
      <c r="AH531" s="11" t="str">
        <f t="shared" si="11"/>
        <v>mailto: soilterrain@victoria1.gov.bc.ca</v>
      </c>
    </row>
    <row r="532" spans="1:34">
      <c r="A532" t="s">
        <v>1319</v>
      </c>
      <c r="B532" t="s">
        <v>56</v>
      </c>
      <c r="C532" s="10" t="s">
        <v>240</v>
      </c>
      <c r="D532" t="s">
        <v>58</v>
      </c>
      <c r="E532" t="s">
        <v>497</v>
      </c>
      <c r="F532" t="s">
        <v>1258</v>
      </c>
      <c r="G532">
        <v>50000</v>
      </c>
      <c r="H532">
        <v>1988</v>
      </c>
      <c r="I532" t="s">
        <v>58</v>
      </c>
      <c r="J532" t="s">
        <v>58</v>
      </c>
      <c r="K532" t="s">
        <v>58</v>
      </c>
      <c r="L532" t="s">
        <v>58</v>
      </c>
      <c r="M532" t="s">
        <v>58</v>
      </c>
      <c r="N532" t="s">
        <v>61</v>
      </c>
      <c r="Q532" t="s">
        <v>58</v>
      </c>
      <c r="R532" s="11" t="str">
        <f>HYPERLINK("\\imagefiles.bcgov\imagery\scanned_maps\moe_terrain_maps\Scanned_T_maps_all\C04\C04-1830","\\imagefiles.bcgov\imagery\scanned_maps\moe_terrain_maps\Scanned_T_maps_all\C04\C04-1830")</f>
        <v>\\imagefiles.bcgov\imagery\scanned_maps\moe_terrain_maps\Scanned_T_maps_all\C04\C04-1830</v>
      </c>
      <c r="S532" t="s">
        <v>62</v>
      </c>
      <c r="T532" s="11" t="str">
        <f>HYPERLINK("http://www.env.gov.bc.ca/esd/distdata/ecosystems/TEI_Scanned_Maps/C04/C04-1830","http://www.env.gov.bc.ca/esd/distdata/ecosystems/TEI_Scanned_Maps/C04/C04-1830")</f>
        <v>http://www.env.gov.bc.ca/esd/distdata/ecosystems/TEI_Scanned_Maps/C04/C04-1830</v>
      </c>
      <c r="U532" t="s">
        <v>58</v>
      </c>
      <c r="V532" t="s">
        <v>58</v>
      </c>
      <c r="W532" t="s">
        <v>58</v>
      </c>
      <c r="X532" t="s">
        <v>58</v>
      </c>
      <c r="Y532" t="s">
        <v>58</v>
      </c>
      <c r="Z532" t="s">
        <v>58</v>
      </c>
      <c r="AA532" t="s">
        <v>58</v>
      </c>
      <c r="AC532" t="s">
        <v>58</v>
      </c>
      <c r="AE532" t="s">
        <v>58</v>
      </c>
      <c r="AG532" t="s">
        <v>63</v>
      </c>
      <c r="AH532" s="11" t="str">
        <f t="shared" si="11"/>
        <v>mailto: soilterrain@victoria1.gov.bc.ca</v>
      </c>
    </row>
    <row r="533" spans="1:34">
      <c r="A533" t="s">
        <v>1320</v>
      </c>
      <c r="B533" t="s">
        <v>56</v>
      </c>
      <c r="C533" s="10" t="s">
        <v>1321</v>
      </c>
      <c r="D533" t="s">
        <v>58</v>
      </c>
      <c r="E533" t="s">
        <v>497</v>
      </c>
      <c r="F533" t="s">
        <v>502</v>
      </c>
      <c r="G533">
        <v>50000</v>
      </c>
      <c r="H533">
        <v>1987</v>
      </c>
      <c r="I533" t="s">
        <v>58</v>
      </c>
      <c r="J533" t="s">
        <v>58</v>
      </c>
      <c r="K533" t="s">
        <v>58</v>
      </c>
      <c r="L533" t="s">
        <v>58</v>
      </c>
      <c r="M533" t="s">
        <v>58</v>
      </c>
      <c r="N533" t="s">
        <v>61</v>
      </c>
      <c r="Q533" t="s">
        <v>58</v>
      </c>
      <c r="R533" s="11" t="str">
        <f>HYPERLINK("\\imagefiles.bcgov\imagery\scanned_maps\moe_terrain_maps\Scanned_T_maps_all\C04\C04-1831","\\imagefiles.bcgov\imagery\scanned_maps\moe_terrain_maps\Scanned_T_maps_all\C04\C04-1831")</f>
        <v>\\imagefiles.bcgov\imagery\scanned_maps\moe_terrain_maps\Scanned_T_maps_all\C04\C04-1831</v>
      </c>
      <c r="S533" t="s">
        <v>62</v>
      </c>
      <c r="T533" s="11" t="str">
        <f>HYPERLINK("http://www.env.gov.bc.ca/esd/distdata/ecosystems/TEI_Scanned_Maps/C04/C04-1831","http://www.env.gov.bc.ca/esd/distdata/ecosystems/TEI_Scanned_Maps/C04/C04-1831")</f>
        <v>http://www.env.gov.bc.ca/esd/distdata/ecosystems/TEI_Scanned_Maps/C04/C04-1831</v>
      </c>
      <c r="U533" t="s">
        <v>58</v>
      </c>
      <c r="V533" t="s">
        <v>58</v>
      </c>
      <c r="W533" t="s">
        <v>58</v>
      </c>
      <c r="X533" t="s">
        <v>58</v>
      </c>
      <c r="Y533" t="s">
        <v>58</v>
      </c>
      <c r="Z533" t="s">
        <v>58</v>
      </c>
      <c r="AA533" t="s">
        <v>58</v>
      </c>
      <c r="AC533" t="s">
        <v>58</v>
      </c>
      <c r="AE533" t="s">
        <v>58</v>
      </c>
      <c r="AG533" t="s">
        <v>63</v>
      </c>
      <c r="AH533" s="11" t="str">
        <f t="shared" si="11"/>
        <v>mailto: soilterrain@victoria1.gov.bc.ca</v>
      </c>
    </row>
    <row r="534" spans="1:34">
      <c r="A534" t="s">
        <v>1322</v>
      </c>
      <c r="B534" t="s">
        <v>56</v>
      </c>
      <c r="C534" s="10" t="s">
        <v>1323</v>
      </c>
      <c r="D534" t="s">
        <v>58</v>
      </c>
      <c r="E534" t="s">
        <v>497</v>
      </c>
      <c r="F534" t="s">
        <v>502</v>
      </c>
      <c r="G534">
        <v>50000</v>
      </c>
      <c r="H534">
        <v>1987</v>
      </c>
      <c r="I534" t="s">
        <v>58</v>
      </c>
      <c r="J534" t="s">
        <v>58</v>
      </c>
      <c r="K534" t="s">
        <v>58</v>
      </c>
      <c r="L534" t="s">
        <v>58</v>
      </c>
      <c r="M534" t="s">
        <v>58</v>
      </c>
      <c r="N534" t="s">
        <v>61</v>
      </c>
      <c r="Q534" t="s">
        <v>58</v>
      </c>
      <c r="R534" s="11" t="str">
        <f>HYPERLINK("\\imagefiles.bcgov\imagery\scanned_maps\moe_terrain_maps\Scanned_T_maps_all\C04\C04-1832","\\imagefiles.bcgov\imagery\scanned_maps\moe_terrain_maps\Scanned_T_maps_all\C04\C04-1832")</f>
        <v>\\imagefiles.bcgov\imagery\scanned_maps\moe_terrain_maps\Scanned_T_maps_all\C04\C04-1832</v>
      </c>
      <c r="S534" t="s">
        <v>62</v>
      </c>
      <c r="T534" s="11" t="str">
        <f>HYPERLINK("http://www.env.gov.bc.ca/esd/distdata/ecosystems/TEI_Scanned_Maps/C04/C04-1832","http://www.env.gov.bc.ca/esd/distdata/ecosystems/TEI_Scanned_Maps/C04/C04-1832")</f>
        <v>http://www.env.gov.bc.ca/esd/distdata/ecosystems/TEI_Scanned_Maps/C04/C04-1832</v>
      </c>
      <c r="U534" t="s">
        <v>58</v>
      </c>
      <c r="V534" t="s">
        <v>58</v>
      </c>
      <c r="W534" t="s">
        <v>58</v>
      </c>
      <c r="X534" t="s">
        <v>58</v>
      </c>
      <c r="Y534" t="s">
        <v>58</v>
      </c>
      <c r="Z534" t="s">
        <v>58</v>
      </c>
      <c r="AA534" t="s">
        <v>58</v>
      </c>
      <c r="AC534" t="s">
        <v>58</v>
      </c>
      <c r="AE534" t="s">
        <v>58</v>
      </c>
      <c r="AG534" t="s">
        <v>63</v>
      </c>
      <c r="AH534" s="11" t="str">
        <f t="shared" si="11"/>
        <v>mailto: soilterrain@victoria1.gov.bc.ca</v>
      </c>
    </row>
    <row r="535" spans="1:34">
      <c r="A535" t="s">
        <v>1324</v>
      </c>
      <c r="B535" t="s">
        <v>56</v>
      </c>
      <c r="C535" s="10" t="s">
        <v>1325</v>
      </c>
      <c r="D535" t="s">
        <v>58</v>
      </c>
      <c r="E535" t="s">
        <v>497</v>
      </c>
      <c r="F535" t="s">
        <v>1258</v>
      </c>
      <c r="G535">
        <v>50000</v>
      </c>
      <c r="H535">
        <v>1986</v>
      </c>
      <c r="I535" t="s">
        <v>58</v>
      </c>
      <c r="J535" t="s">
        <v>58</v>
      </c>
      <c r="K535" t="s">
        <v>58</v>
      </c>
      <c r="L535" t="s">
        <v>58</v>
      </c>
      <c r="M535" t="s">
        <v>58</v>
      </c>
      <c r="N535" t="s">
        <v>61</v>
      </c>
      <c r="Q535" t="s">
        <v>58</v>
      </c>
      <c r="R535" s="11" t="str">
        <f>HYPERLINK("\\imagefiles.bcgov\imagery\scanned_maps\moe_terrain_maps\Scanned_T_maps_all\C04\C04-1833","\\imagefiles.bcgov\imagery\scanned_maps\moe_terrain_maps\Scanned_T_maps_all\C04\C04-1833")</f>
        <v>\\imagefiles.bcgov\imagery\scanned_maps\moe_terrain_maps\Scanned_T_maps_all\C04\C04-1833</v>
      </c>
      <c r="S535" t="s">
        <v>62</v>
      </c>
      <c r="T535" s="11" t="str">
        <f>HYPERLINK("http://www.env.gov.bc.ca/esd/distdata/ecosystems/TEI_Scanned_Maps/C04/C04-1833","http://www.env.gov.bc.ca/esd/distdata/ecosystems/TEI_Scanned_Maps/C04/C04-1833")</f>
        <v>http://www.env.gov.bc.ca/esd/distdata/ecosystems/TEI_Scanned_Maps/C04/C04-1833</v>
      </c>
      <c r="U535" t="s">
        <v>58</v>
      </c>
      <c r="V535" t="s">
        <v>58</v>
      </c>
      <c r="W535" t="s">
        <v>58</v>
      </c>
      <c r="X535" t="s">
        <v>58</v>
      </c>
      <c r="Y535" t="s">
        <v>58</v>
      </c>
      <c r="Z535" t="s">
        <v>58</v>
      </c>
      <c r="AA535" t="s">
        <v>58</v>
      </c>
      <c r="AC535" t="s">
        <v>58</v>
      </c>
      <c r="AE535" t="s">
        <v>58</v>
      </c>
      <c r="AG535" t="s">
        <v>63</v>
      </c>
      <c r="AH535" s="11" t="str">
        <f t="shared" si="11"/>
        <v>mailto: soilterrain@victoria1.gov.bc.ca</v>
      </c>
    </row>
    <row r="536" spans="1:34">
      <c r="A536" t="s">
        <v>1326</v>
      </c>
      <c r="B536" t="s">
        <v>56</v>
      </c>
      <c r="C536" s="10" t="s">
        <v>1327</v>
      </c>
      <c r="D536" t="s">
        <v>58</v>
      </c>
      <c r="E536" t="s">
        <v>497</v>
      </c>
      <c r="F536" t="s">
        <v>1258</v>
      </c>
      <c r="G536">
        <v>50000</v>
      </c>
      <c r="H536">
        <v>1989</v>
      </c>
      <c r="I536" t="s">
        <v>58</v>
      </c>
      <c r="J536" t="s">
        <v>58</v>
      </c>
      <c r="K536" t="s">
        <v>58</v>
      </c>
      <c r="L536" t="s">
        <v>58</v>
      </c>
      <c r="M536" t="s">
        <v>58</v>
      </c>
      <c r="N536" t="s">
        <v>61</v>
      </c>
      <c r="Q536" t="s">
        <v>58</v>
      </c>
      <c r="R536" s="11" t="str">
        <f>HYPERLINK("\\imagefiles.bcgov\imagery\scanned_maps\moe_terrain_maps\Scanned_T_maps_all\C04\C04-1834","\\imagefiles.bcgov\imagery\scanned_maps\moe_terrain_maps\Scanned_T_maps_all\C04\C04-1834")</f>
        <v>\\imagefiles.bcgov\imagery\scanned_maps\moe_terrain_maps\Scanned_T_maps_all\C04\C04-1834</v>
      </c>
      <c r="S536" t="s">
        <v>62</v>
      </c>
      <c r="T536" s="11" t="str">
        <f>HYPERLINK("http://www.env.gov.bc.ca/esd/distdata/ecosystems/TEI_Scanned_Maps/C04/C04-1834","http://www.env.gov.bc.ca/esd/distdata/ecosystems/TEI_Scanned_Maps/C04/C04-1834")</f>
        <v>http://www.env.gov.bc.ca/esd/distdata/ecosystems/TEI_Scanned_Maps/C04/C04-1834</v>
      </c>
      <c r="U536" t="s">
        <v>58</v>
      </c>
      <c r="V536" t="s">
        <v>58</v>
      </c>
      <c r="W536" t="s">
        <v>58</v>
      </c>
      <c r="X536" t="s">
        <v>58</v>
      </c>
      <c r="Y536" t="s">
        <v>58</v>
      </c>
      <c r="Z536" t="s">
        <v>58</v>
      </c>
      <c r="AA536" t="s">
        <v>58</v>
      </c>
      <c r="AC536" t="s">
        <v>58</v>
      </c>
      <c r="AE536" t="s">
        <v>58</v>
      </c>
      <c r="AG536" t="s">
        <v>63</v>
      </c>
      <c r="AH536" s="11" t="str">
        <f t="shared" si="11"/>
        <v>mailto: soilterrain@victoria1.gov.bc.ca</v>
      </c>
    </row>
    <row r="537" spans="1:34">
      <c r="A537" t="s">
        <v>1328</v>
      </c>
      <c r="B537" t="s">
        <v>56</v>
      </c>
      <c r="C537" s="10" t="s">
        <v>302</v>
      </c>
      <c r="D537" t="s">
        <v>58</v>
      </c>
      <c r="E537" t="s">
        <v>497</v>
      </c>
      <c r="F537" t="s">
        <v>1139</v>
      </c>
      <c r="G537">
        <v>50000</v>
      </c>
      <c r="H537">
        <v>1988</v>
      </c>
      <c r="I537" t="s">
        <v>58</v>
      </c>
      <c r="J537" t="s">
        <v>58</v>
      </c>
      <c r="K537" t="s">
        <v>58</v>
      </c>
      <c r="L537" t="s">
        <v>58</v>
      </c>
      <c r="M537" t="s">
        <v>58</v>
      </c>
      <c r="N537" t="s">
        <v>61</v>
      </c>
      <c r="Q537" t="s">
        <v>58</v>
      </c>
      <c r="R537" s="11" t="str">
        <f>HYPERLINK("\\imagefiles.bcgov\imagery\scanned_maps\moe_terrain_maps\Scanned_T_maps_all\C04\C04-1835","\\imagefiles.bcgov\imagery\scanned_maps\moe_terrain_maps\Scanned_T_maps_all\C04\C04-1835")</f>
        <v>\\imagefiles.bcgov\imagery\scanned_maps\moe_terrain_maps\Scanned_T_maps_all\C04\C04-1835</v>
      </c>
      <c r="S537" t="s">
        <v>62</v>
      </c>
      <c r="T537" s="11" t="str">
        <f>HYPERLINK("http://www.env.gov.bc.ca/esd/distdata/ecosystems/TEI_Scanned_Maps/C04/C04-1835","http://www.env.gov.bc.ca/esd/distdata/ecosystems/TEI_Scanned_Maps/C04/C04-1835")</f>
        <v>http://www.env.gov.bc.ca/esd/distdata/ecosystems/TEI_Scanned_Maps/C04/C04-1835</v>
      </c>
      <c r="U537" t="s">
        <v>58</v>
      </c>
      <c r="V537" t="s">
        <v>58</v>
      </c>
      <c r="W537" t="s">
        <v>58</v>
      </c>
      <c r="X537" t="s">
        <v>58</v>
      </c>
      <c r="Y537" t="s">
        <v>58</v>
      </c>
      <c r="Z537" t="s">
        <v>58</v>
      </c>
      <c r="AA537" t="s">
        <v>58</v>
      </c>
      <c r="AC537" t="s">
        <v>58</v>
      </c>
      <c r="AE537" t="s">
        <v>58</v>
      </c>
      <c r="AG537" t="s">
        <v>63</v>
      </c>
      <c r="AH537" s="11" t="str">
        <f t="shared" si="11"/>
        <v>mailto: soilterrain@victoria1.gov.bc.ca</v>
      </c>
    </row>
    <row r="538" spans="1:34">
      <c r="A538" t="s">
        <v>1329</v>
      </c>
      <c r="B538" t="s">
        <v>56</v>
      </c>
      <c r="C538" s="10" t="s">
        <v>1330</v>
      </c>
      <c r="D538" t="s">
        <v>58</v>
      </c>
      <c r="E538" t="s">
        <v>497</v>
      </c>
      <c r="F538" t="s">
        <v>1139</v>
      </c>
      <c r="G538">
        <v>50000</v>
      </c>
      <c r="H538" t="s">
        <v>187</v>
      </c>
      <c r="I538" t="s">
        <v>58</v>
      </c>
      <c r="J538" t="s">
        <v>58</v>
      </c>
      <c r="K538" t="s">
        <v>58</v>
      </c>
      <c r="L538" t="s">
        <v>58</v>
      </c>
      <c r="M538" t="s">
        <v>58</v>
      </c>
      <c r="N538" t="s">
        <v>61</v>
      </c>
      <c r="Q538" t="s">
        <v>58</v>
      </c>
      <c r="R538" s="11" t="str">
        <f>HYPERLINK("\\imagefiles.bcgov\imagery\scanned_maps\moe_terrain_maps\Scanned_T_maps_all\C04\C04-1836","\\imagefiles.bcgov\imagery\scanned_maps\moe_terrain_maps\Scanned_T_maps_all\C04\C04-1836")</f>
        <v>\\imagefiles.bcgov\imagery\scanned_maps\moe_terrain_maps\Scanned_T_maps_all\C04\C04-1836</v>
      </c>
      <c r="S538" t="s">
        <v>62</v>
      </c>
      <c r="T538" s="11" t="str">
        <f>HYPERLINK("http://www.env.gov.bc.ca/esd/distdata/ecosystems/TEI_Scanned_Maps/C04/C04-1836","http://www.env.gov.bc.ca/esd/distdata/ecosystems/TEI_Scanned_Maps/C04/C04-1836")</f>
        <v>http://www.env.gov.bc.ca/esd/distdata/ecosystems/TEI_Scanned_Maps/C04/C04-1836</v>
      </c>
      <c r="U538" t="s">
        <v>58</v>
      </c>
      <c r="V538" t="s">
        <v>58</v>
      </c>
      <c r="W538" t="s">
        <v>58</v>
      </c>
      <c r="X538" t="s">
        <v>58</v>
      </c>
      <c r="Y538" t="s">
        <v>58</v>
      </c>
      <c r="Z538" t="s">
        <v>58</v>
      </c>
      <c r="AA538" t="s">
        <v>58</v>
      </c>
      <c r="AC538" t="s">
        <v>58</v>
      </c>
      <c r="AE538" t="s">
        <v>58</v>
      </c>
      <c r="AG538" t="s">
        <v>63</v>
      </c>
      <c r="AH538" s="11" t="str">
        <f t="shared" si="11"/>
        <v>mailto: soilterrain@victoria1.gov.bc.ca</v>
      </c>
    </row>
    <row r="539" spans="1:34">
      <c r="A539" t="s">
        <v>1331</v>
      </c>
      <c r="B539" t="s">
        <v>56</v>
      </c>
      <c r="C539" s="10" t="s">
        <v>591</v>
      </c>
      <c r="D539" t="s">
        <v>58</v>
      </c>
      <c r="E539" t="s">
        <v>497</v>
      </c>
      <c r="F539" t="s">
        <v>1332</v>
      </c>
      <c r="G539">
        <v>50000</v>
      </c>
      <c r="H539">
        <v>1988</v>
      </c>
      <c r="I539" t="s">
        <v>58</v>
      </c>
      <c r="J539" t="s">
        <v>58</v>
      </c>
      <c r="K539" t="s">
        <v>58</v>
      </c>
      <c r="L539" t="s">
        <v>58</v>
      </c>
      <c r="M539" t="s">
        <v>58</v>
      </c>
      <c r="N539" t="s">
        <v>61</v>
      </c>
      <c r="Q539" t="s">
        <v>58</v>
      </c>
      <c r="R539" s="11" t="str">
        <f>HYPERLINK("\\imagefiles.bcgov\imagery\scanned_maps\moe_terrain_maps\Scanned_T_maps_all\C05\C04-1854","\\imagefiles.bcgov\imagery\scanned_maps\moe_terrain_maps\Scanned_T_maps_all\C05\C04-1854")</f>
        <v>\\imagefiles.bcgov\imagery\scanned_maps\moe_terrain_maps\Scanned_T_maps_all\C05\C04-1854</v>
      </c>
      <c r="S539" t="s">
        <v>62</v>
      </c>
      <c r="T539" s="11" t="str">
        <f>HYPERLINK("http://www.env.gov.bc.ca/esd/distdata/ecosystems/TEI_Scanned_Maps/C05/C04-1854","http://www.env.gov.bc.ca/esd/distdata/ecosystems/TEI_Scanned_Maps/C05/C04-1854")</f>
        <v>http://www.env.gov.bc.ca/esd/distdata/ecosystems/TEI_Scanned_Maps/C05/C04-1854</v>
      </c>
      <c r="U539" t="s">
        <v>58</v>
      </c>
      <c r="V539" t="s">
        <v>58</v>
      </c>
      <c r="W539" t="s">
        <v>58</v>
      </c>
      <c r="X539" t="s">
        <v>58</v>
      </c>
      <c r="Y539" t="s">
        <v>58</v>
      </c>
      <c r="Z539" t="s">
        <v>58</v>
      </c>
      <c r="AA539" t="s">
        <v>58</v>
      </c>
      <c r="AC539" t="s">
        <v>58</v>
      </c>
      <c r="AE539" t="s">
        <v>58</v>
      </c>
      <c r="AG539" t="s">
        <v>63</v>
      </c>
      <c r="AH539" s="11" t="str">
        <f t="shared" si="11"/>
        <v>mailto: soilterrain@victoria1.gov.bc.ca</v>
      </c>
    </row>
    <row r="540" spans="1:34">
      <c r="A540" t="s">
        <v>1333</v>
      </c>
      <c r="B540" t="s">
        <v>56</v>
      </c>
      <c r="C540" s="10" t="s">
        <v>594</v>
      </c>
      <c r="D540" t="s">
        <v>58</v>
      </c>
      <c r="E540" t="s">
        <v>497</v>
      </c>
      <c r="F540" t="s">
        <v>1334</v>
      </c>
      <c r="G540">
        <v>50000</v>
      </c>
      <c r="H540">
        <v>1987</v>
      </c>
      <c r="I540" t="s">
        <v>58</v>
      </c>
      <c r="J540" t="s">
        <v>58</v>
      </c>
      <c r="K540" t="s">
        <v>58</v>
      </c>
      <c r="L540" t="s">
        <v>58</v>
      </c>
      <c r="M540" t="s">
        <v>58</v>
      </c>
      <c r="N540" t="s">
        <v>61</v>
      </c>
      <c r="Q540" t="s">
        <v>58</v>
      </c>
      <c r="R540" s="11" t="str">
        <f>HYPERLINK("\\imagefiles.bcgov\imagery\scanned_maps\moe_terrain_maps\Scanned_T_maps_all\C06\C04-1855","\\imagefiles.bcgov\imagery\scanned_maps\moe_terrain_maps\Scanned_T_maps_all\C06\C04-1855")</f>
        <v>\\imagefiles.bcgov\imagery\scanned_maps\moe_terrain_maps\Scanned_T_maps_all\C06\C04-1855</v>
      </c>
      <c r="S540" t="s">
        <v>62</v>
      </c>
      <c r="T540" s="11" t="str">
        <f>HYPERLINK("http://www.env.gov.bc.ca/esd/distdata/ecosystems/TEI_Scanned_Maps/C06/C04-1855","http://www.env.gov.bc.ca/esd/distdata/ecosystems/TEI_Scanned_Maps/C06/C04-1855")</f>
        <v>http://www.env.gov.bc.ca/esd/distdata/ecosystems/TEI_Scanned_Maps/C06/C04-1855</v>
      </c>
      <c r="U540" t="s">
        <v>58</v>
      </c>
      <c r="V540" t="s">
        <v>58</v>
      </c>
      <c r="W540" t="s">
        <v>58</v>
      </c>
      <c r="X540" t="s">
        <v>58</v>
      </c>
      <c r="Y540" t="s">
        <v>58</v>
      </c>
      <c r="Z540" t="s">
        <v>58</v>
      </c>
      <c r="AA540" t="s">
        <v>58</v>
      </c>
      <c r="AC540" t="s">
        <v>58</v>
      </c>
      <c r="AE540" t="s">
        <v>58</v>
      </c>
      <c r="AG540" t="s">
        <v>63</v>
      </c>
      <c r="AH540" s="11" t="str">
        <f t="shared" si="11"/>
        <v>mailto: soilterrain@victoria1.gov.bc.ca</v>
      </c>
    </row>
    <row r="541" spans="1:34">
      <c r="A541" t="s">
        <v>1335</v>
      </c>
      <c r="B541" t="s">
        <v>56</v>
      </c>
      <c r="C541" s="10" t="s">
        <v>210</v>
      </c>
      <c r="D541" t="s">
        <v>58</v>
      </c>
      <c r="E541" t="s">
        <v>497</v>
      </c>
      <c r="F541" t="s">
        <v>1336</v>
      </c>
      <c r="G541">
        <v>50000</v>
      </c>
      <c r="H541">
        <v>1987</v>
      </c>
      <c r="I541" t="s">
        <v>58</v>
      </c>
      <c r="J541" t="s">
        <v>58</v>
      </c>
      <c r="K541" t="s">
        <v>58</v>
      </c>
      <c r="L541" t="s">
        <v>58</v>
      </c>
      <c r="M541" t="s">
        <v>58</v>
      </c>
      <c r="N541" t="s">
        <v>61</v>
      </c>
      <c r="Q541" t="s">
        <v>58</v>
      </c>
      <c r="R541" s="11" t="str">
        <f>HYPERLINK("\\imagefiles.bcgov\imagery\scanned_maps\moe_terrain_maps\Scanned_T_maps_all\C07\C04-1857","\\imagefiles.bcgov\imagery\scanned_maps\moe_terrain_maps\Scanned_T_maps_all\C07\C04-1857")</f>
        <v>\\imagefiles.bcgov\imagery\scanned_maps\moe_terrain_maps\Scanned_T_maps_all\C07\C04-1857</v>
      </c>
      <c r="S541" t="s">
        <v>62</v>
      </c>
      <c r="T541" s="11" t="str">
        <f>HYPERLINK("http://www.env.gov.bc.ca/esd/distdata/ecosystems/TEI_Scanned_Maps/C07/C04-1857","http://www.env.gov.bc.ca/esd/distdata/ecosystems/TEI_Scanned_Maps/C07/C04-1857")</f>
        <v>http://www.env.gov.bc.ca/esd/distdata/ecosystems/TEI_Scanned_Maps/C07/C04-1857</v>
      </c>
      <c r="U541" t="s">
        <v>58</v>
      </c>
      <c r="V541" t="s">
        <v>58</v>
      </c>
      <c r="W541" t="s">
        <v>58</v>
      </c>
      <c r="X541" t="s">
        <v>58</v>
      </c>
      <c r="Y541" t="s">
        <v>58</v>
      </c>
      <c r="Z541" t="s">
        <v>58</v>
      </c>
      <c r="AA541" t="s">
        <v>58</v>
      </c>
      <c r="AC541" t="s">
        <v>58</v>
      </c>
      <c r="AE541" t="s">
        <v>58</v>
      </c>
      <c r="AG541" t="s">
        <v>63</v>
      </c>
      <c r="AH541" s="11" t="str">
        <f t="shared" si="11"/>
        <v>mailto: soilterrain@victoria1.gov.bc.ca</v>
      </c>
    </row>
    <row r="542" spans="1:34">
      <c r="A542" t="s">
        <v>1337</v>
      </c>
      <c r="B542" t="s">
        <v>56</v>
      </c>
      <c r="C542" s="10" t="s">
        <v>213</v>
      </c>
      <c r="D542" t="s">
        <v>58</v>
      </c>
      <c r="E542" t="s">
        <v>497</v>
      </c>
      <c r="F542" t="s">
        <v>1338</v>
      </c>
      <c r="G542">
        <v>50000</v>
      </c>
      <c r="H542">
        <v>1986</v>
      </c>
      <c r="I542" t="s">
        <v>58</v>
      </c>
      <c r="J542" t="s">
        <v>58</v>
      </c>
      <c r="K542" t="s">
        <v>58</v>
      </c>
      <c r="L542" t="s">
        <v>58</v>
      </c>
      <c r="M542" t="s">
        <v>58</v>
      </c>
      <c r="N542" t="s">
        <v>61</v>
      </c>
      <c r="Q542" t="s">
        <v>58</v>
      </c>
      <c r="R542" s="11" t="str">
        <f>HYPERLINK("\\imagefiles.bcgov\imagery\scanned_maps\moe_terrain_maps\Scanned_T_maps_all\C08\C04-1859","\\imagefiles.bcgov\imagery\scanned_maps\moe_terrain_maps\Scanned_T_maps_all\C08\C04-1859")</f>
        <v>\\imagefiles.bcgov\imagery\scanned_maps\moe_terrain_maps\Scanned_T_maps_all\C08\C04-1859</v>
      </c>
      <c r="S542" t="s">
        <v>62</v>
      </c>
      <c r="T542" s="11" t="str">
        <f>HYPERLINK("http://www.env.gov.bc.ca/esd/distdata/ecosystems/TEI_Scanned_Maps/C08/C04-1859","http://www.env.gov.bc.ca/esd/distdata/ecosystems/TEI_Scanned_Maps/C08/C04-1859")</f>
        <v>http://www.env.gov.bc.ca/esd/distdata/ecosystems/TEI_Scanned_Maps/C08/C04-1859</v>
      </c>
      <c r="U542" t="s">
        <v>58</v>
      </c>
      <c r="V542" t="s">
        <v>58</v>
      </c>
      <c r="W542" t="s">
        <v>58</v>
      </c>
      <c r="X542" t="s">
        <v>58</v>
      </c>
      <c r="Y542" t="s">
        <v>58</v>
      </c>
      <c r="Z542" t="s">
        <v>58</v>
      </c>
      <c r="AA542" t="s">
        <v>58</v>
      </c>
      <c r="AC542" t="s">
        <v>58</v>
      </c>
      <c r="AE542" t="s">
        <v>58</v>
      </c>
      <c r="AG542" t="s">
        <v>63</v>
      </c>
      <c r="AH542" s="11" t="str">
        <f t="shared" si="11"/>
        <v>mailto: soilterrain@victoria1.gov.bc.ca</v>
      </c>
    </row>
    <row r="543" spans="1:34">
      <c r="A543" t="s">
        <v>1339</v>
      </c>
      <c r="B543" t="s">
        <v>56</v>
      </c>
      <c r="C543" s="10" t="s">
        <v>291</v>
      </c>
      <c r="D543" t="s">
        <v>61</v>
      </c>
      <c r="E543" t="s">
        <v>497</v>
      </c>
      <c r="F543" t="s">
        <v>1139</v>
      </c>
      <c r="G543">
        <v>50000</v>
      </c>
      <c r="H543">
        <v>1989</v>
      </c>
      <c r="I543" t="s">
        <v>58</v>
      </c>
      <c r="J543" t="s">
        <v>58</v>
      </c>
      <c r="K543" t="s">
        <v>58</v>
      </c>
      <c r="L543" t="s">
        <v>58</v>
      </c>
      <c r="M543" t="s">
        <v>58</v>
      </c>
      <c r="N543" t="s">
        <v>61</v>
      </c>
      <c r="Q543" t="s">
        <v>58</v>
      </c>
      <c r="R543" s="11" t="str">
        <f>HYPERLINK("\\imagefiles.bcgov\imagery\scanned_maps\moe_terrain_maps\Scanned_T_maps_all\C04\C04-1885","\\imagefiles.bcgov\imagery\scanned_maps\moe_terrain_maps\Scanned_T_maps_all\C04\C04-1885")</f>
        <v>\\imagefiles.bcgov\imagery\scanned_maps\moe_terrain_maps\Scanned_T_maps_all\C04\C04-1885</v>
      </c>
      <c r="S543" t="s">
        <v>62</v>
      </c>
      <c r="T543" s="11" t="str">
        <f>HYPERLINK("http://www.env.gov.bc.ca/esd/distdata/ecosystems/TEI_Scanned_Maps/C04/C04-1885","http://www.env.gov.bc.ca/esd/distdata/ecosystems/TEI_Scanned_Maps/C04/C04-1885")</f>
        <v>http://www.env.gov.bc.ca/esd/distdata/ecosystems/TEI_Scanned_Maps/C04/C04-1885</v>
      </c>
      <c r="U543" t="s">
        <v>58</v>
      </c>
      <c r="V543" t="s">
        <v>58</v>
      </c>
      <c r="W543" t="s">
        <v>58</v>
      </c>
      <c r="X543" t="s">
        <v>58</v>
      </c>
      <c r="Y543" t="s">
        <v>58</v>
      </c>
      <c r="Z543" t="s">
        <v>58</v>
      </c>
      <c r="AA543" t="s">
        <v>58</v>
      </c>
      <c r="AC543" t="s">
        <v>58</v>
      </c>
      <c r="AE543" t="s">
        <v>58</v>
      </c>
      <c r="AG543" t="s">
        <v>63</v>
      </c>
      <c r="AH543" s="11" t="str">
        <f t="shared" si="11"/>
        <v>mailto: soilterrain@victoria1.gov.bc.ca</v>
      </c>
    </row>
    <row r="544" spans="1:34">
      <c r="A544" t="s">
        <v>1340</v>
      </c>
      <c r="B544" t="s">
        <v>56</v>
      </c>
      <c r="C544" s="10" t="s">
        <v>1341</v>
      </c>
      <c r="D544" t="s">
        <v>58</v>
      </c>
      <c r="E544" t="s">
        <v>497</v>
      </c>
      <c r="F544" t="s">
        <v>1342</v>
      </c>
      <c r="G544">
        <v>50000</v>
      </c>
      <c r="H544">
        <v>1988</v>
      </c>
      <c r="I544" t="s">
        <v>58</v>
      </c>
      <c r="J544" t="s">
        <v>58</v>
      </c>
      <c r="K544" t="s">
        <v>58</v>
      </c>
      <c r="L544" t="s">
        <v>58</v>
      </c>
      <c r="M544" t="s">
        <v>58</v>
      </c>
      <c r="N544" t="s">
        <v>61</v>
      </c>
      <c r="Q544" t="s">
        <v>58</v>
      </c>
      <c r="R544" s="11" t="str">
        <f>HYPERLINK("\\imagefiles.bcgov\imagery\scanned_maps\moe_terrain_maps\Scanned_T_maps_all\C04\C04-1886","\\imagefiles.bcgov\imagery\scanned_maps\moe_terrain_maps\Scanned_T_maps_all\C04\C04-1886")</f>
        <v>\\imagefiles.bcgov\imagery\scanned_maps\moe_terrain_maps\Scanned_T_maps_all\C04\C04-1886</v>
      </c>
      <c r="S544" t="s">
        <v>62</v>
      </c>
      <c r="T544" s="11" t="str">
        <f>HYPERLINK("http://www.env.gov.bc.ca/esd/distdata/ecosystems/TEI_Scanned_Maps/C04/C04-1886","http://www.env.gov.bc.ca/esd/distdata/ecosystems/TEI_Scanned_Maps/C04/C04-1886")</f>
        <v>http://www.env.gov.bc.ca/esd/distdata/ecosystems/TEI_Scanned_Maps/C04/C04-1886</v>
      </c>
      <c r="U544" t="s">
        <v>58</v>
      </c>
      <c r="V544" t="s">
        <v>58</v>
      </c>
      <c r="W544" t="s">
        <v>58</v>
      </c>
      <c r="X544" t="s">
        <v>58</v>
      </c>
      <c r="Y544" t="s">
        <v>58</v>
      </c>
      <c r="Z544" t="s">
        <v>58</v>
      </c>
      <c r="AA544" t="s">
        <v>58</v>
      </c>
      <c r="AC544" t="s">
        <v>58</v>
      </c>
      <c r="AE544" t="s">
        <v>58</v>
      </c>
      <c r="AG544" t="s">
        <v>63</v>
      </c>
      <c r="AH544" s="11" t="str">
        <f t="shared" si="11"/>
        <v>mailto: soilterrain@victoria1.gov.bc.ca</v>
      </c>
    </row>
    <row r="545" spans="1:34">
      <c r="A545" t="s">
        <v>1343</v>
      </c>
      <c r="B545" t="s">
        <v>56</v>
      </c>
      <c r="C545" s="10" t="s">
        <v>1344</v>
      </c>
      <c r="D545" t="s">
        <v>58</v>
      </c>
      <c r="E545" t="s">
        <v>497</v>
      </c>
      <c r="F545" t="s">
        <v>1345</v>
      </c>
      <c r="G545">
        <v>50000</v>
      </c>
      <c r="H545" t="s">
        <v>187</v>
      </c>
      <c r="I545" t="s">
        <v>58</v>
      </c>
      <c r="J545" t="s">
        <v>58</v>
      </c>
      <c r="K545" t="s">
        <v>58</v>
      </c>
      <c r="L545" t="s">
        <v>58</v>
      </c>
      <c r="M545" t="s">
        <v>58</v>
      </c>
      <c r="N545" t="s">
        <v>61</v>
      </c>
      <c r="Q545" t="s">
        <v>58</v>
      </c>
      <c r="R545" s="11" t="str">
        <f>HYPERLINK("\\imagefiles.bcgov\imagery\scanned_maps\moe_terrain_maps\Scanned_T_maps_all\C04\C04-1892","\\imagefiles.bcgov\imagery\scanned_maps\moe_terrain_maps\Scanned_T_maps_all\C04\C04-1892")</f>
        <v>\\imagefiles.bcgov\imagery\scanned_maps\moe_terrain_maps\Scanned_T_maps_all\C04\C04-1892</v>
      </c>
      <c r="S545" t="s">
        <v>62</v>
      </c>
      <c r="T545" s="11" t="str">
        <f>HYPERLINK("http://www.env.gov.bc.ca/esd/distdata/ecosystems/TEI_Scanned_Maps/C04/C04-1892","http://www.env.gov.bc.ca/esd/distdata/ecosystems/TEI_Scanned_Maps/C04/C04-1892")</f>
        <v>http://www.env.gov.bc.ca/esd/distdata/ecosystems/TEI_Scanned_Maps/C04/C04-1892</v>
      </c>
      <c r="U545" t="s">
        <v>58</v>
      </c>
      <c r="V545" t="s">
        <v>58</v>
      </c>
      <c r="W545" t="s">
        <v>58</v>
      </c>
      <c r="X545" t="s">
        <v>58</v>
      </c>
      <c r="Y545" t="s">
        <v>58</v>
      </c>
      <c r="Z545" t="s">
        <v>58</v>
      </c>
      <c r="AA545" t="s">
        <v>58</v>
      </c>
      <c r="AC545" t="s">
        <v>58</v>
      </c>
      <c r="AE545" t="s">
        <v>58</v>
      </c>
      <c r="AG545" t="s">
        <v>63</v>
      </c>
      <c r="AH545" s="11" t="str">
        <f t="shared" si="11"/>
        <v>mailto: soilterrain@victoria1.gov.bc.ca</v>
      </c>
    </row>
    <row r="546" spans="1:34">
      <c r="A546" t="s">
        <v>1346</v>
      </c>
      <c r="B546" t="s">
        <v>56</v>
      </c>
      <c r="C546" s="10" t="s">
        <v>1347</v>
      </c>
      <c r="D546" t="s">
        <v>58</v>
      </c>
      <c r="E546" t="s">
        <v>497</v>
      </c>
      <c r="F546" t="s">
        <v>502</v>
      </c>
      <c r="G546">
        <v>50000</v>
      </c>
      <c r="H546">
        <v>1988</v>
      </c>
      <c r="I546" t="s">
        <v>58</v>
      </c>
      <c r="J546" t="s">
        <v>58</v>
      </c>
      <c r="K546" t="s">
        <v>58</v>
      </c>
      <c r="L546" t="s">
        <v>58</v>
      </c>
      <c r="M546" t="s">
        <v>58</v>
      </c>
      <c r="N546" t="s">
        <v>61</v>
      </c>
      <c r="Q546" t="s">
        <v>58</v>
      </c>
      <c r="R546" s="11" t="str">
        <f>HYPERLINK("\\imagefiles.bcgov\imagery\scanned_maps\moe_terrain_maps\Scanned_T_maps_all\C04\C04-1927","\\imagefiles.bcgov\imagery\scanned_maps\moe_terrain_maps\Scanned_T_maps_all\C04\C04-1927")</f>
        <v>\\imagefiles.bcgov\imagery\scanned_maps\moe_terrain_maps\Scanned_T_maps_all\C04\C04-1927</v>
      </c>
      <c r="S546" t="s">
        <v>62</v>
      </c>
      <c r="T546" s="11" t="str">
        <f>HYPERLINK("http://www.env.gov.bc.ca/esd/distdata/ecosystems/TEI_Scanned_Maps/C04/C04-1927","http://www.env.gov.bc.ca/esd/distdata/ecosystems/TEI_Scanned_Maps/C04/C04-1927")</f>
        <v>http://www.env.gov.bc.ca/esd/distdata/ecosystems/TEI_Scanned_Maps/C04/C04-1927</v>
      </c>
      <c r="U546" t="s">
        <v>58</v>
      </c>
      <c r="V546" t="s">
        <v>58</v>
      </c>
      <c r="W546" t="s">
        <v>58</v>
      </c>
      <c r="X546" t="s">
        <v>58</v>
      </c>
      <c r="Y546" t="s">
        <v>58</v>
      </c>
      <c r="Z546" t="s">
        <v>58</v>
      </c>
      <c r="AA546" t="s">
        <v>58</v>
      </c>
      <c r="AC546" t="s">
        <v>58</v>
      </c>
      <c r="AE546" t="s">
        <v>58</v>
      </c>
      <c r="AG546" t="s">
        <v>63</v>
      </c>
      <c r="AH546" s="11" t="str">
        <f t="shared" si="11"/>
        <v>mailto: soilterrain@victoria1.gov.bc.ca</v>
      </c>
    </row>
    <row r="547" spans="1:34">
      <c r="A547" t="s">
        <v>1348</v>
      </c>
      <c r="B547" t="s">
        <v>56</v>
      </c>
      <c r="C547" s="10" t="s">
        <v>1349</v>
      </c>
      <c r="D547" t="s">
        <v>58</v>
      </c>
      <c r="E547" t="s">
        <v>497</v>
      </c>
      <c r="F547" t="s">
        <v>502</v>
      </c>
      <c r="G547">
        <v>50000</v>
      </c>
      <c r="H547">
        <v>1987</v>
      </c>
      <c r="I547" t="s">
        <v>58</v>
      </c>
      <c r="J547" t="s">
        <v>58</v>
      </c>
      <c r="K547" t="s">
        <v>58</v>
      </c>
      <c r="L547" t="s">
        <v>58</v>
      </c>
      <c r="M547" t="s">
        <v>58</v>
      </c>
      <c r="N547" t="s">
        <v>61</v>
      </c>
      <c r="Q547" t="s">
        <v>58</v>
      </c>
      <c r="R547" s="11" t="str">
        <f>HYPERLINK("\\imagefiles.bcgov\imagery\scanned_maps\moe_terrain_maps\Scanned_T_maps_all\C04\C04-1929","\\imagefiles.bcgov\imagery\scanned_maps\moe_terrain_maps\Scanned_T_maps_all\C04\C04-1929")</f>
        <v>\\imagefiles.bcgov\imagery\scanned_maps\moe_terrain_maps\Scanned_T_maps_all\C04\C04-1929</v>
      </c>
      <c r="S547" t="s">
        <v>62</v>
      </c>
      <c r="T547" s="11" t="str">
        <f>HYPERLINK("http://www.env.gov.bc.ca/esd/distdata/ecosystems/TEI_Scanned_Maps/C04/C04-1929","http://www.env.gov.bc.ca/esd/distdata/ecosystems/TEI_Scanned_Maps/C04/C04-1929")</f>
        <v>http://www.env.gov.bc.ca/esd/distdata/ecosystems/TEI_Scanned_Maps/C04/C04-1929</v>
      </c>
      <c r="U547" t="s">
        <v>58</v>
      </c>
      <c r="V547" t="s">
        <v>58</v>
      </c>
      <c r="W547" t="s">
        <v>58</v>
      </c>
      <c r="X547" t="s">
        <v>58</v>
      </c>
      <c r="Y547" t="s">
        <v>58</v>
      </c>
      <c r="Z547" t="s">
        <v>58</v>
      </c>
      <c r="AA547" t="s">
        <v>58</v>
      </c>
      <c r="AC547" t="s">
        <v>58</v>
      </c>
      <c r="AE547" t="s">
        <v>58</v>
      </c>
      <c r="AG547" t="s">
        <v>63</v>
      </c>
      <c r="AH547" s="11" t="str">
        <f t="shared" si="11"/>
        <v>mailto: soilterrain@victoria1.gov.bc.ca</v>
      </c>
    </row>
    <row r="548" spans="1:34">
      <c r="A548" t="s">
        <v>1350</v>
      </c>
      <c r="B548" t="s">
        <v>56</v>
      </c>
      <c r="C548" s="10" t="s">
        <v>1351</v>
      </c>
      <c r="D548" t="s">
        <v>58</v>
      </c>
      <c r="E548" t="s">
        <v>497</v>
      </c>
      <c r="F548" t="s">
        <v>502</v>
      </c>
      <c r="G548">
        <v>50000</v>
      </c>
      <c r="H548">
        <v>1987</v>
      </c>
      <c r="I548" t="s">
        <v>58</v>
      </c>
      <c r="J548" t="s">
        <v>58</v>
      </c>
      <c r="K548" t="s">
        <v>58</v>
      </c>
      <c r="L548" t="s">
        <v>58</v>
      </c>
      <c r="M548" t="s">
        <v>58</v>
      </c>
      <c r="N548" t="s">
        <v>61</v>
      </c>
      <c r="Q548" t="s">
        <v>58</v>
      </c>
      <c r="R548" s="11" t="str">
        <f>HYPERLINK("\\imagefiles.bcgov\imagery\scanned_maps\moe_terrain_maps\Scanned_T_maps_all\C04\C04-1931","\\imagefiles.bcgov\imagery\scanned_maps\moe_terrain_maps\Scanned_T_maps_all\C04\C04-1931")</f>
        <v>\\imagefiles.bcgov\imagery\scanned_maps\moe_terrain_maps\Scanned_T_maps_all\C04\C04-1931</v>
      </c>
      <c r="S548" t="s">
        <v>62</v>
      </c>
      <c r="T548" s="11" t="str">
        <f>HYPERLINK("http://www.env.gov.bc.ca/esd/distdata/ecosystems/TEI_Scanned_Maps/C04/C04-1931","http://www.env.gov.bc.ca/esd/distdata/ecosystems/TEI_Scanned_Maps/C04/C04-1931")</f>
        <v>http://www.env.gov.bc.ca/esd/distdata/ecosystems/TEI_Scanned_Maps/C04/C04-1931</v>
      </c>
      <c r="U548" t="s">
        <v>58</v>
      </c>
      <c r="V548" t="s">
        <v>58</v>
      </c>
      <c r="W548" t="s">
        <v>58</v>
      </c>
      <c r="X548" t="s">
        <v>58</v>
      </c>
      <c r="Y548" t="s">
        <v>58</v>
      </c>
      <c r="Z548" t="s">
        <v>58</v>
      </c>
      <c r="AA548" t="s">
        <v>58</v>
      </c>
      <c r="AC548" t="s">
        <v>58</v>
      </c>
      <c r="AE548" t="s">
        <v>58</v>
      </c>
      <c r="AG548" t="s">
        <v>63</v>
      </c>
      <c r="AH548" s="11" t="str">
        <f t="shared" si="11"/>
        <v>mailto: soilterrain@victoria1.gov.bc.ca</v>
      </c>
    </row>
    <row r="549" spans="1:34">
      <c r="A549" t="s">
        <v>1352</v>
      </c>
      <c r="B549" t="s">
        <v>56</v>
      </c>
      <c r="C549" s="10" t="s">
        <v>1353</v>
      </c>
      <c r="D549" t="s">
        <v>58</v>
      </c>
      <c r="E549" t="s">
        <v>497</v>
      </c>
      <c r="F549" t="s">
        <v>502</v>
      </c>
      <c r="G549">
        <v>50000</v>
      </c>
      <c r="H549">
        <v>1986</v>
      </c>
      <c r="I549" t="s">
        <v>58</v>
      </c>
      <c r="J549" t="s">
        <v>58</v>
      </c>
      <c r="K549" t="s">
        <v>58</v>
      </c>
      <c r="L549" t="s">
        <v>58</v>
      </c>
      <c r="M549" t="s">
        <v>58</v>
      </c>
      <c r="N549" t="s">
        <v>61</v>
      </c>
      <c r="Q549" t="s">
        <v>58</v>
      </c>
      <c r="R549" s="11" t="str">
        <f>HYPERLINK("\\imagefiles.bcgov\imagery\scanned_maps\moe_terrain_maps\Scanned_T_maps_all\C04\C04-1933","\\imagefiles.bcgov\imagery\scanned_maps\moe_terrain_maps\Scanned_T_maps_all\C04\C04-1933")</f>
        <v>\\imagefiles.bcgov\imagery\scanned_maps\moe_terrain_maps\Scanned_T_maps_all\C04\C04-1933</v>
      </c>
      <c r="S549" t="s">
        <v>62</v>
      </c>
      <c r="T549" s="11" t="str">
        <f>HYPERLINK("http://www.env.gov.bc.ca/esd/distdata/ecosystems/TEI_Scanned_Maps/C04/C04-1933","http://www.env.gov.bc.ca/esd/distdata/ecosystems/TEI_Scanned_Maps/C04/C04-1933")</f>
        <v>http://www.env.gov.bc.ca/esd/distdata/ecosystems/TEI_Scanned_Maps/C04/C04-1933</v>
      </c>
      <c r="U549" t="s">
        <v>58</v>
      </c>
      <c r="V549" t="s">
        <v>58</v>
      </c>
      <c r="W549" t="s">
        <v>58</v>
      </c>
      <c r="X549" t="s">
        <v>58</v>
      </c>
      <c r="Y549" t="s">
        <v>58</v>
      </c>
      <c r="Z549" t="s">
        <v>58</v>
      </c>
      <c r="AA549" t="s">
        <v>58</v>
      </c>
      <c r="AC549" t="s">
        <v>58</v>
      </c>
      <c r="AE549" t="s">
        <v>58</v>
      </c>
      <c r="AG549" t="s">
        <v>63</v>
      </c>
      <c r="AH549" s="11" t="str">
        <f t="shared" si="11"/>
        <v>mailto: soilterrain@victoria1.gov.bc.ca</v>
      </c>
    </row>
    <row r="550" spans="1:34">
      <c r="A550" t="s">
        <v>1354</v>
      </c>
      <c r="B550" t="s">
        <v>56</v>
      </c>
      <c r="C550" s="10" t="s">
        <v>1355</v>
      </c>
      <c r="D550" t="s">
        <v>58</v>
      </c>
      <c r="E550" t="s">
        <v>497</v>
      </c>
      <c r="F550" t="s">
        <v>502</v>
      </c>
      <c r="G550">
        <v>50000</v>
      </c>
      <c r="H550">
        <v>1989</v>
      </c>
      <c r="I550" t="s">
        <v>58</v>
      </c>
      <c r="J550" t="s">
        <v>58</v>
      </c>
      <c r="K550" t="s">
        <v>58</v>
      </c>
      <c r="L550" t="s">
        <v>58</v>
      </c>
      <c r="M550" t="s">
        <v>58</v>
      </c>
      <c r="N550" t="s">
        <v>61</v>
      </c>
      <c r="Q550" t="s">
        <v>58</v>
      </c>
      <c r="R550" s="11" t="str">
        <f>HYPERLINK("\\imagefiles.bcgov\imagery\scanned_maps\moe_terrain_maps\Scanned_T_maps_all\C04\C04-1935","\\imagefiles.bcgov\imagery\scanned_maps\moe_terrain_maps\Scanned_T_maps_all\C04\C04-1935")</f>
        <v>\\imagefiles.bcgov\imagery\scanned_maps\moe_terrain_maps\Scanned_T_maps_all\C04\C04-1935</v>
      </c>
      <c r="S550" t="s">
        <v>62</v>
      </c>
      <c r="T550" s="11" t="str">
        <f>HYPERLINK("http://www.env.gov.bc.ca/esd/distdata/ecosystems/TEI_Scanned_Maps/C04/C04-1935","http://www.env.gov.bc.ca/esd/distdata/ecosystems/TEI_Scanned_Maps/C04/C04-1935")</f>
        <v>http://www.env.gov.bc.ca/esd/distdata/ecosystems/TEI_Scanned_Maps/C04/C04-1935</v>
      </c>
      <c r="U550" t="s">
        <v>58</v>
      </c>
      <c r="V550" t="s">
        <v>58</v>
      </c>
      <c r="W550" t="s">
        <v>58</v>
      </c>
      <c r="X550" t="s">
        <v>58</v>
      </c>
      <c r="Y550" t="s">
        <v>58</v>
      </c>
      <c r="Z550" t="s">
        <v>58</v>
      </c>
      <c r="AA550" t="s">
        <v>58</v>
      </c>
      <c r="AC550" t="s">
        <v>58</v>
      </c>
      <c r="AE550" t="s">
        <v>58</v>
      </c>
      <c r="AG550" t="s">
        <v>63</v>
      </c>
      <c r="AH550" s="11" t="str">
        <f t="shared" si="11"/>
        <v>mailto: soilterrain@victoria1.gov.bc.ca</v>
      </c>
    </row>
    <row r="551" spans="1:34">
      <c r="A551" t="s">
        <v>1356</v>
      </c>
      <c r="B551" t="s">
        <v>56</v>
      </c>
      <c r="C551" s="10" t="s">
        <v>1357</v>
      </c>
      <c r="D551" t="s">
        <v>58</v>
      </c>
      <c r="E551" t="s">
        <v>497</v>
      </c>
      <c r="F551" t="s">
        <v>502</v>
      </c>
      <c r="G551">
        <v>50000</v>
      </c>
      <c r="H551">
        <v>1984</v>
      </c>
      <c r="I551" t="s">
        <v>58</v>
      </c>
      <c r="J551" t="s">
        <v>58</v>
      </c>
      <c r="K551" t="s">
        <v>58</v>
      </c>
      <c r="L551" t="s">
        <v>58</v>
      </c>
      <c r="M551" t="s">
        <v>58</v>
      </c>
      <c r="N551" t="s">
        <v>61</v>
      </c>
      <c r="Q551" t="s">
        <v>58</v>
      </c>
      <c r="R551" s="11" t="str">
        <f>HYPERLINK("\\imagefiles.bcgov\imagery\scanned_maps\moe_terrain_maps\Scanned_T_maps_all\C04\C04-1937","\\imagefiles.bcgov\imagery\scanned_maps\moe_terrain_maps\Scanned_T_maps_all\C04\C04-1937")</f>
        <v>\\imagefiles.bcgov\imagery\scanned_maps\moe_terrain_maps\Scanned_T_maps_all\C04\C04-1937</v>
      </c>
      <c r="S551" t="s">
        <v>62</v>
      </c>
      <c r="T551" s="11" t="str">
        <f>HYPERLINK("http://www.env.gov.bc.ca/esd/distdata/ecosystems/TEI_Scanned_Maps/C04/C04-1937","http://www.env.gov.bc.ca/esd/distdata/ecosystems/TEI_Scanned_Maps/C04/C04-1937")</f>
        <v>http://www.env.gov.bc.ca/esd/distdata/ecosystems/TEI_Scanned_Maps/C04/C04-1937</v>
      </c>
      <c r="U551" t="s">
        <v>58</v>
      </c>
      <c r="V551" t="s">
        <v>58</v>
      </c>
      <c r="W551" t="s">
        <v>58</v>
      </c>
      <c r="X551" t="s">
        <v>58</v>
      </c>
      <c r="Y551" t="s">
        <v>58</v>
      </c>
      <c r="Z551" t="s">
        <v>58</v>
      </c>
      <c r="AA551" t="s">
        <v>58</v>
      </c>
      <c r="AC551" t="s">
        <v>58</v>
      </c>
      <c r="AE551" t="s">
        <v>58</v>
      </c>
      <c r="AG551" t="s">
        <v>63</v>
      </c>
      <c r="AH551" s="11" t="str">
        <f t="shared" si="11"/>
        <v>mailto: soilterrain@victoria1.gov.bc.ca</v>
      </c>
    </row>
    <row r="552" spans="1:34">
      <c r="A552" t="s">
        <v>1358</v>
      </c>
      <c r="B552" t="s">
        <v>56</v>
      </c>
      <c r="C552" s="10" t="s">
        <v>1359</v>
      </c>
      <c r="D552" t="s">
        <v>58</v>
      </c>
      <c r="E552" t="s">
        <v>497</v>
      </c>
      <c r="F552" t="s">
        <v>502</v>
      </c>
      <c r="G552">
        <v>50000</v>
      </c>
      <c r="H552">
        <v>1988</v>
      </c>
      <c r="I552" t="s">
        <v>58</v>
      </c>
      <c r="J552" t="s">
        <v>58</v>
      </c>
      <c r="K552" t="s">
        <v>58</v>
      </c>
      <c r="L552" t="s">
        <v>58</v>
      </c>
      <c r="M552" t="s">
        <v>58</v>
      </c>
      <c r="N552" t="s">
        <v>61</v>
      </c>
      <c r="Q552" t="s">
        <v>58</v>
      </c>
      <c r="R552" s="11" t="str">
        <f>HYPERLINK("\\imagefiles.bcgov\imagery\scanned_maps\moe_terrain_maps\Scanned_T_maps_all\C04\C04-1939","\\imagefiles.bcgov\imagery\scanned_maps\moe_terrain_maps\Scanned_T_maps_all\C04\C04-1939")</f>
        <v>\\imagefiles.bcgov\imagery\scanned_maps\moe_terrain_maps\Scanned_T_maps_all\C04\C04-1939</v>
      </c>
      <c r="S552" t="s">
        <v>62</v>
      </c>
      <c r="T552" s="11" t="str">
        <f>HYPERLINK("http://www.env.gov.bc.ca/esd/distdata/ecosystems/TEI_Scanned_Maps/C04/C04-1939","http://www.env.gov.bc.ca/esd/distdata/ecosystems/TEI_Scanned_Maps/C04/C04-1939")</f>
        <v>http://www.env.gov.bc.ca/esd/distdata/ecosystems/TEI_Scanned_Maps/C04/C04-1939</v>
      </c>
      <c r="U552" t="s">
        <v>58</v>
      </c>
      <c r="V552" t="s">
        <v>58</v>
      </c>
      <c r="W552" t="s">
        <v>58</v>
      </c>
      <c r="X552" t="s">
        <v>58</v>
      </c>
      <c r="Y552" t="s">
        <v>58</v>
      </c>
      <c r="Z552" t="s">
        <v>58</v>
      </c>
      <c r="AA552" t="s">
        <v>58</v>
      </c>
      <c r="AC552" t="s">
        <v>58</v>
      </c>
      <c r="AE552" t="s">
        <v>58</v>
      </c>
      <c r="AG552" t="s">
        <v>63</v>
      </c>
      <c r="AH552" s="11" t="str">
        <f t="shared" si="11"/>
        <v>mailto: soilterrain@victoria1.gov.bc.ca</v>
      </c>
    </row>
    <row r="553" spans="1:34">
      <c r="A553" t="s">
        <v>1360</v>
      </c>
      <c r="B553" t="s">
        <v>56</v>
      </c>
      <c r="C553" s="10" t="s">
        <v>1361</v>
      </c>
      <c r="D553" t="s">
        <v>58</v>
      </c>
      <c r="E553" t="s">
        <v>497</v>
      </c>
      <c r="F553" t="s">
        <v>502</v>
      </c>
      <c r="G553">
        <v>50000</v>
      </c>
      <c r="H553" t="s">
        <v>187</v>
      </c>
      <c r="I553" t="s">
        <v>58</v>
      </c>
      <c r="J553" t="s">
        <v>58</v>
      </c>
      <c r="K553" t="s">
        <v>58</v>
      </c>
      <c r="L553" t="s">
        <v>58</v>
      </c>
      <c r="M553" t="s">
        <v>58</v>
      </c>
      <c r="N553" t="s">
        <v>61</v>
      </c>
      <c r="Q553" t="s">
        <v>58</v>
      </c>
      <c r="R553" s="11" t="str">
        <f>HYPERLINK("\\imagefiles.bcgov\imagery\scanned_maps\moe_terrain_maps\Scanned_T_maps_all\C04\C04-1941","\\imagefiles.bcgov\imagery\scanned_maps\moe_terrain_maps\Scanned_T_maps_all\C04\C04-1941")</f>
        <v>\\imagefiles.bcgov\imagery\scanned_maps\moe_terrain_maps\Scanned_T_maps_all\C04\C04-1941</v>
      </c>
      <c r="S553" t="s">
        <v>62</v>
      </c>
      <c r="T553" s="11" t="str">
        <f>HYPERLINK("http://www.env.gov.bc.ca/esd/distdata/ecosystems/TEI_Scanned_Maps/C04/C04-1941","http://www.env.gov.bc.ca/esd/distdata/ecosystems/TEI_Scanned_Maps/C04/C04-1941")</f>
        <v>http://www.env.gov.bc.ca/esd/distdata/ecosystems/TEI_Scanned_Maps/C04/C04-1941</v>
      </c>
      <c r="U553" t="s">
        <v>58</v>
      </c>
      <c r="V553" t="s">
        <v>58</v>
      </c>
      <c r="W553" t="s">
        <v>58</v>
      </c>
      <c r="X553" t="s">
        <v>58</v>
      </c>
      <c r="Y553" t="s">
        <v>58</v>
      </c>
      <c r="Z553" t="s">
        <v>58</v>
      </c>
      <c r="AA553" t="s">
        <v>58</v>
      </c>
      <c r="AC553" t="s">
        <v>58</v>
      </c>
      <c r="AE553" t="s">
        <v>58</v>
      </c>
      <c r="AG553" t="s">
        <v>63</v>
      </c>
      <c r="AH553" s="11" t="str">
        <f t="shared" si="11"/>
        <v>mailto: soilterrain@victoria1.gov.bc.ca</v>
      </c>
    </row>
    <row r="554" spans="1:34">
      <c r="A554" t="s">
        <v>1362</v>
      </c>
      <c r="B554" t="s">
        <v>56</v>
      </c>
      <c r="C554" s="10" t="s">
        <v>1363</v>
      </c>
      <c r="D554" t="s">
        <v>58</v>
      </c>
      <c r="E554" t="s">
        <v>497</v>
      </c>
      <c r="F554" t="s">
        <v>502</v>
      </c>
      <c r="G554">
        <v>50000</v>
      </c>
      <c r="H554">
        <v>1988</v>
      </c>
      <c r="I554" t="s">
        <v>58</v>
      </c>
      <c r="J554" t="s">
        <v>58</v>
      </c>
      <c r="K554" t="s">
        <v>58</v>
      </c>
      <c r="L554" t="s">
        <v>58</v>
      </c>
      <c r="M554" t="s">
        <v>58</v>
      </c>
      <c r="N554" t="s">
        <v>61</v>
      </c>
      <c r="Q554" t="s">
        <v>58</v>
      </c>
      <c r="R554" s="11" t="str">
        <f>HYPERLINK("\\imagefiles.bcgov\imagery\scanned_maps\moe_terrain_maps\Scanned_T_maps_all\C04\C04-1943","\\imagefiles.bcgov\imagery\scanned_maps\moe_terrain_maps\Scanned_T_maps_all\C04\C04-1943")</f>
        <v>\\imagefiles.bcgov\imagery\scanned_maps\moe_terrain_maps\Scanned_T_maps_all\C04\C04-1943</v>
      </c>
      <c r="S554" t="s">
        <v>62</v>
      </c>
      <c r="T554" s="11" t="str">
        <f>HYPERLINK("http://www.env.gov.bc.ca/esd/distdata/ecosystems/TEI_Scanned_Maps/C04/C04-1943","http://www.env.gov.bc.ca/esd/distdata/ecosystems/TEI_Scanned_Maps/C04/C04-1943")</f>
        <v>http://www.env.gov.bc.ca/esd/distdata/ecosystems/TEI_Scanned_Maps/C04/C04-1943</v>
      </c>
      <c r="U554" t="s">
        <v>58</v>
      </c>
      <c r="V554" t="s">
        <v>58</v>
      </c>
      <c r="W554" t="s">
        <v>58</v>
      </c>
      <c r="X554" t="s">
        <v>58</v>
      </c>
      <c r="Y554" t="s">
        <v>58</v>
      </c>
      <c r="Z554" t="s">
        <v>58</v>
      </c>
      <c r="AA554" t="s">
        <v>58</v>
      </c>
      <c r="AC554" t="s">
        <v>58</v>
      </c>
      <c r="AE554" t="s">
        <v>58</v>
      </c>
      <c r="AG554" t="s">
        <v>63</v>
      </c>
      <c r="AH554" s="11" t="str">
        <f t="shared" si="11"/>
        <v>mailto: soilterrain@victoria1.gov.bc.ca</v>
      </c>
    </row>
    <row r="555" spans="1:34">
      <c r="A555" t="s">
        <v>1364</v>
      </c>
      <c r="B555" t="s">
        <v>56</v>
      </c>
      <c r="C555" s="10" t="s">
        <v>1365</v>
      </c>
      <c r="D555" t="s">
        <v>58</v>
      </c>
      <c r="E555" t="s">
        <v>497</v>
      </c>
      <c r="F555" t="s">
        <v>502</v>
      </c>
      <c r="G555">
        <v>50000</v>
      </c>
      <c r="H555">
        <v>1987</v>
      </c>
      <c r="I555" t="s">
        <v>58</v>
      </c>
      <c r="J555" t="s">
        <v>58</v>
      </c>
      <c r="K555" t="s">
        <v>58</v>
      </c>
      <c r="L555" t="s">
        <v>58</v>
      </c>
      <c r="M555" t="s">
        <v>58</v>
      </c>
      <c r="N555" t="s">
        <v>61</v>
      </c>
      <c r="Q555" t="s">
        <v>58</v>
      </c>
      <c r="R555" s="11" t="str">
        <f>HYPERLINK("\\imagefiles.bcgov\imagery\scanned_maps\moe_terrain_maps\Scanned_T_maps_all\C04\C04-1945","\\imagefiles.bcgov\imagery\scanned_maps\moe_terrain_maps\Scanned_T_maps_all\C04\C04-1945")</f>
        <v>\\imagefiles.bcgov\imagery\scanned_maps\moe_terrain_maps\Scanned_T_maps_all\C04\C04-1945</v>
      </c>
      <c r="S555" t="s">
        <v>62</v>
      </c>
      <c r="T555" s="11" t="str">
        <f>HYPERLINK("http://www.env.gov.bc.ca/esd/distdata/ecosystems/TEI_Scanned_Maps/C04/C04-1945","http://www.env.gov.bc.ca/esd/distdata/ecosystems/TEI_Scanned_Maps/C04/C04-1945")</f>
        <v>http://www.env.gov.bc.ca/esd/distdata/ecosystems/TEI_Scanned_Maps/C04/C04-1945</v>
      </c>
      <c r="U555" t="s">
        <v>58</v>
      </c>
      <c r="V555" t="s">
        <v>58</v>
      </c>
      <c r="W555" t="s">
        <v>58</v>
      </c>
      <c r="X555" t="s">
        <v>58</v>
      </c>
      <c r="Y555" t="s">
        <v>58</v>
      </c>
      <c r="Z555" t="s">
        <v>58</v>
      </c>
      <c r="AA555" t="s">
        <v>58</v>
      </c>
      <c r="AC555" t="s">
        <v>58</v>
      </c>
      <c r="AE555" t="s">
        <v>58</v>
      </c>
      <c r="AG555" t="s">
        <v>63</v>
      </c>
      <c r="AH555" s="11" t="str">
        <f t="shared" si="11"/>
        <v>mailto: soilterrain@victoria1.gov.bc.ca</v>
      </c>
    </row>
    <row r="556" spans="1:34">
      <c r="A556" t="s">
        <v>1366</v>
      </c>
      <c r="B556" t="s">
        <v>56</v>
      </c>
      <c r="C556" s="10" t="s">
        <v>1367</v>
      </c>
      <c r="D556" t="s">
        <v>58</v>
      </c>
      <c r="E556" t="s">
        <v>497</v>
      </c>
      <c r="F556" t="s">
        <v>502</v>
      </c>
      <c r="G556">
        <v>50000</v>
      </c>
      <c r="H556">
        <v>1987</v>
      </c>
      <c r="I556" t="s">
        <v>58</v>
      </c>
      <c r="J556" t="s">
        <v>58</v>
      </c>
      <c r="K556" t="s">
        <v>58</v>
      </c>
      <c r="L556" t="s">
        <v>58</v>
      </c>
      <c r="M556" t="s">
        <v>58</v>
      </c>
      <c r="N556" t="s">
        <v>61</v>
      </c>
      <c r="Q556" t="s">
        <v>58</v>
      </c>
      <c r="R556" s="11" t="str">
        <f>HYPERLINK("\\imagefiles.bcgov\imagery\scanned_maps\moe_terrain_maps\Scanned_T_maps_all\C04\C04-1947","\\imagefiles.bcgov\imagery\scanned_maps\moe_terrain_maps\Scanned_T_maps_all\C04\C04-1947")</f>
        <v>\\imagefiles.bcgov\imagery\scanned_maps\moe_terrain_maps\Scanned_T_maps_all\C04\C04-1947</v>
      </c>
      <c r="S556" t="s">
        <v>62</v>
      </c>
      <c r="T556" s="11" t="str">
        <f>HYPERLINK("http://www.env.gov.bc.ca/esd/distdata/ecosystems/TEI_Scanned_Maps/C04/C04-1947","http://www.env.gov.bc.ca/esd/distdata/ecosystems/TEI_Scanned_Maps/C04/C04-1947")</f>
        <v>http://www.env.gov.bc.ca/esd/distdata/ecosystems/TEI_Scanned_Maps/C04/C04-1947</v>
      </c>
      <c r="U556" t="s">
        <v>58</v>
      </c>
      <c r="V556" t="s">
        <v>58</v>
      </c>
      <c r="W556" t="s">
        <v>58</v>
      </c>
      <c r="X556" t="s">
        <v>58</v>
      </c>
      <c r="Y556" t="s">
        <v>58</v>
      </c>
      <c r="Z556" t="s">
        <v>58</v>
      </c>
      <c r="AA556" t="s">
        <v>58</v>
      </c>
      <c r="AC556" t="s">
        <v>58</v>
      </c>
      <c r="AE556" t="s">
        <v>58</v>
      </c>
      <c r="AG556" t="s">
        <v>63</v>
      </c>
      <c r="AH556" s="11" t="str">
        <f t="shared" si="11"/>
        <v>mailto: soilterrain@victoria1.gov.bc.ca</v>
      </c>
    </row>
    <row r="557" spans="1:34">
      <c r="A557" t="s">
        <v>1368</v>
      </c>
      <c r="B557" t="s">
        <v>56</v>
      </c>
      <c r="C557" s="10" t="s">
        <v>1369</v>
      </c>
      <c r="D557" t="s">
        <v>58</v>
      </c>
      <c r="E557" t="s">
        <v>497</v>
      </c>
      <c r="F557" t="s">
        <v>502</v>
      </c>
      <c r="G557">
        <v>50000</v>
      </c>
      <c r="H557">
        <v>1986</v>
      </c>
      <c r="I557" t="s">
        <v>58</v>
      </c>
      <c r="J557" t="s">
        <v>58</v>
      </c>
      <c r="K557" t="s">
        <v>58</v>
      </c>
      <c r="L557" t="s">
        <v>58</v>
      </c>
      <c r="M557" t="s">
        <v>58</v>
      </c>
      <c r="N557" t="s">
        <v>61</v>
      </c>
      <c r="Q557" t="s">
        <v>58</v>
      </c>
      <c r="R557" s="11" t="str">
        <f>HYPERLINK("\\imagefiles.bcgov\imagery\scanned_maps\moe_terrain_maps\Scanned_T_maps_all\C04\C04-1949","\\imagefiles.bcgov\imagery\scanned_maps\moe_terrain_maps\Scanned_T_maps_all\C04\C04-1949")</f>
        <v>\\imagefiles.bcgov\imagery\scanned_maps\moe_terrain_maps\Scanned_T_maps_all\C04\C04-1949</v>
      </c>
      <c r="S557" t="s">
        <v>62</v>
      </c>
      <c r="T557" s="11" t="str">
        <f>HYPERLINK("http://www.env.gov.bc.ca/esd/distdata/ecosystems/TEI_Scanned_Maps/C04/C04-1949","http://www.env.gov.bc.ca/esd/distdata/ecosystems/TEI_Scanned_Maps/C04/C04-1949")</f>
        <v>http://www.env.gov.bc.ca/esd/distdata/ecosystems/TEI_Scanned_Maps/C04/C04-1949</v>
      </c>
      <c r="U557" t="s">
        <v>58</v>
      </c>
      <c r="V557" t="s">
        <v>58</v>
      </c>
      <c r="W557" t="s">
        <v>58</v>
      </c>
      <c r="X557" t="s">
        <v>58</v>
      </c>
      <c r="Y557" t="s">
        <v>58</v>
      </c>
      <c r="Z557" t="s">
        <v>58</v>
      </c>
      <c r="AA557" t="s">
        <v>58</v>
      </c>
      <c r="AC557" t="s">
        <v>58</v>
      </c>
      <c r="AE557" t="s">
        <v>58</v>
      </c>
      <c r="AG557" t="s">
        <v>63</v>
      </c>
      <c r="AH557" s="11" t="str">
        <f t="shared" si="11"/>
        <v>mailto: soilterrain@victoria1.gov.bc.ca</v>
      </c>
    </row>
    <row r="558" spans="1:34">
      <c r="A558" t="s">
        <v>1370</v>
      </c>
      <c r="B558" t="s">
        <v>56</v>
      </c>
      <c r="C558" s="10" t="s">
        <v>1371</v>
      </c>
      <c r="D558" t="s">
        <v>58</v>
      </c>
      <c r="E558" t="s">
        <v>497</v>
      </c>
      <c r="F558" t="s">
        <v>502</v>
      </c>
      <c r="G558">
        <v>50000</v>
      </c>
      <c r="H558">
        <v>1989</v>
      </c>
      <c r="I558" t="s">
        <v>58</v>
      </c>
      <c r="J558" t="s">
        <v>58</v>
      </c>
      <c r="K558" t="s">
        <v>58</v>
      </c>
      <c r="L558" t="s">
        <v>58</v>
      </c>
      <c r="M558" t="s">
        <v>58</v>
      </c>
      <c r="N558" t="s">
        <v>61</v>
      </c>
      <c r="Q558" t="s">
        <v>58</v>
      </c>
      <c r="R558" s="11" t="str">
        <f>HYPERLINK("\\imagefiles.bcgov\imagery\scanned_maps\moe_terrain_maps\Scanned_T_maps_all\C04\C04-1951","\\imagefiles.bcgov\imagery\scanned_maps\moe_terrain_maps\Scanned_T_maps_all\C04\C04-1951")</f>
        <v>\\imagefiles.bcgov\imagery\scanned_maps\moe_terrain_maps\Scanned_T_maps_all\C04\C04-1951</v>
      </c>
      <c r="S558" t="s">
        <v>62</v>
      </c>
      <c r="T558" s="11" t="str">
        <f>HYPERLINK("http://www.env.gov.bc.ca/esd/distdata/ecosystems/TEI_Scanned_Maps/C04/C04-1951","http://www.env.gov.bc.ca/esd/distdata/ecosystems/TEI_Scanned_Maps/C04/C04-1951")</f>
        <v>http://www.env.gov.bc.ca/esd/distdata/ecosystems/TEI_Scanned_Maps/C04/C04-1951</v>
      </c>
      <c r="U558" t="s">
        <v>58</v>
      </c>
      <c r="V558" t="s">
        <v>58</v>
      </c>
      <c r="W558" t="s">
        <v>58</v>
      </c>
      <c r="X558" t="s">
        <v>58</v>
      </c>
      <c r="Y558" t="s">
        <v>58</v>
      </c>
      <c r="Z558" t="s">
        <v>58</v>
      </c>
      <c r="AA558" t="s">
        <v>58</v>
      </c>
      <c r="AC558" t="s">
        <v>58</v>
      </c>
      <c r="AE558" t="s">
        <v>58</v>
      </c>
      <c r="AG558" t="s">
        <v>63</v>
      </c>
      <c r="AH558" s="11" t="str">
        <f t="shared" si="11"/>
        <v>mailto: soilterrain@victoria1.gov.bc.ca</v>
      </c>
    </row>
    <row r="559" spans="1:34">
      <c r="A559" t="s">
        <v>1372</v>
      </c>
      <c r="B559" t="s">
        <v>56</v>
      </c>
      <c r="C559" s="10" t="s">
        <v>1373</v>
      </c>
      <c r="D559" t="s">
        <v>58</v>
      </c>
      <c r="E559" t="s">
        <v>497</v>
      </c>
      <c r="F559" t="s">
        <v>502</v>
      </c>
      <c r="G559">
        <v>50000</v>
      </c>
      <c r="H559">
        <v>1988</v>
      </c>
      <c r="I559" t="s">
        <v>58</v>
      </c>
      <c r="J559" t="s">
        <v>58</v>
      </c>
      <c r="K559" t="s">
        <v>58</v>
      </c>
      <c r="L559" t="s">
        <v>58</v>
      </c>
      <c r="M559" t="s">
        <v>58</v>
      </c>
      <c r="N559" t="s">
        <v>61</v>
      </c>
      <c r="Q559" t="s">
        <v>58</v>
      </c>
      <c r="R559" s="11" t="str">
        <f>HYPERLINK("\\imagefiles.bcgov\imagery\scanned_maps\moe_terrain_maps\Scanned_T_maps_all\C04\C04-1953","\\imagefiles.bcgov\imagery\scanned_maps\moe_terrain_maps\Scanned_T_maps_all\C04\C04-1953")</f>
        <v>\\imagefiles.bcgov\imagery\scanned_maps\moe_terrain_maps\Scanned_T_maps_all\C04\C04-1953</v>
      </c>
      <c r="S559" t="s">
        <v>62</v>
      </c>
      <c r="T559" s="11" t="str">
        <f>HYPERLINK("http://www.env.gov.bc.ca/esd/distdata/ecosystems/TEI_Scanned_Maps/C04/C04-1953","http://www.env.gov.bc.ca/esd/distdata/ecosystems/TEI_Scanned_Maps/C04/C04-1953")</f>
        <v>http://www.env.gov.bc.ca/esd/distdata/ecosystems/TEI_Scanned_Maps/C04/C04-1953</v>
      </c>
      <c r="U559" t="s">
        <v>58</v>
      </c>
      <c r="V559" t="s">
        <v>58</v>
      </c>
      <c r="W559" t="s">
        <v>58</v>
      </c>
      <c r="X559" t="s">
        <v>58</v>
      </c>
      <c r="Y559" t="s">
        <v>58</v>
      </c>
      <c r="Z559" t="s">
        <v>58</v>
      </c>
      <c r="AA559" t="s">
        <v>58</v>
      </c>
      <c r="AC559" t="s">
        <v>58</v>
      </c>
      <c r="AE559" t="s">
        <v>58</v>
      </c>
      <c r="AG559" t="s">
        <v>63</v>
      </c>
      <c r="AH559" s="11" t="str">
        <f t="shared" si="11"/>
        <v>mailto: soilterrain@victoria1.gov.bc.ca</v>
      </c>
    </row>
    <row r="560" spans="1:34">
      <c r="A560" t="s">
        <v>1374</v>
      </c>
      <c r="B560" t="s">
        <v>56</v>
      </c>
      <c r="C560" s="10" t="s">
        <v>1375</v>
      </c>
      <c r="D560" t="s">
        <v>58</v>
      </c>
      <c r="E560" t="s">
        <v>497</v>
      </c>
      <c r="F560" t="s">
        <v>502</v>
      </c>
      <c r="G560">
        <v>50000</v>
      </c>
      <c r="H560" t="s">
        <v>187</v>
      </c>
      <c r="I560" t="s">
        <v>58</v>
      </c>
      <c r="J560" t="s">
        <v>58</v>
      </c>
      <c r="K560" t="s">
        <v>58</v>
      </c>
      <c r="L560" t="s">
        <v>58</v>
      </c>
      <c r="M560" t="s">
        <v>58</v>
      </c>
      <c r="N560" t="s">
        <v>61</v>
      </c>
      <c r="Q560" t="s">
        <v>58</v>
      </c>
      <c r="R560" s="11" t="str">
        <f>HYPERLINK("\\imagefiles.bcgov\imagery\scanned_maps\moe_terrain_maps\Scanned_T_maps_all\C04\C04-1955","\\imagefiles.bcgov\imagery\scanned_maps\moe_terrain_maps\Scanned_T_maps_all\C04\C04-1955")</f>
        <v>\\imagefiles.bcgov\imagery\scanned_maps\moe_terrain_maps\Scanned_T_maps_all\C04\C04-1955</v>
      </c>
      <c r="S560" t="s">
        <v>62</v>
      </c>
      <c r="T560" s="11" t="str">
        <f>HYPERLINK("http://www.env.gov.bc.ca/esd/distdata/ecosystems/TEI_Scanned_Maps/C04/C04-1955","http://www.env.gov.bc.ca/esd/distdata/ecosystems/TEI_Scanned_Maps/C04/C04-1955")</f>
        <v>http://www.env.gov.bc.ca/esd/distdata/ecosystems/TEI_Scanned_Maps/C04/C04-1955</v>
      </c>
      <c r="U560" t="s">
        <v>58</v>
      </c>
      <c r="V560" t="s">
        <v>58</v>
      </c>
      <c r="W560" t="s">
        <v>58</v>
      </c>
      <c r="X560" t="s">
        <v>58</v>
      </c>
      <c r="Y560" t="s">
        <v>58</v>
      </c>
      <c r="Z560" t="s">
        <v>58</v>
      </c>
      <c r="AA560" t="s">
        <v>58</v>
      </c>
      <c r="AC560" t="s">
        <v>58</v>
      </c>
      <c r="AE560" t="s">
        <v>58</v>
      </c>
      <c r="AG560" t="s">
        <v>63</v>
      </c>
      <c r="AH560" s="11" t="str">
        <f t="shared" si="11"/>
        <v>mailto: soilterrain@victoria1.gov.bc.ca</v>
      </c>
    </row>
    <row r="561" spans="1:34">
      <c r="A561" t="s">
        <v>1376</v>
      </c>
      <c r="B561" t="s">
        <v>56</v>
      </c>
      <c r="C561" s="10" t="s">
        <v>1377</v>
      </c>
      <c r="D561" t="s">
        <v>58</v>
      </c>
      <c r="E561" t="s">
        <v>497</v>
      </c>
      <c r="F561" t="s">
        <v>502</v>
      </c>
      <c r="G561">
        <v>50000</v>
      </c>
      <c r="H561">
        <v>1988</v>
      </c>
      <c r="I561" t="s">
        <v>58</v>
      </c>
      <c r="J561" t="s">
        <v>58</v>
      </c>
      <c r="K561" t="s">
        <v>58</v>
      </c>
      <c r="L561" t="s">
        <v>58</v>
      </c>
      <c r="M561" t="s">
        <v>58</v>
      </c>
      <c r="N561" t="s">
        <v>61</v>
      </c>
      <c r="Q561" t="s">
        <v>58</v>
      </c>
      <c r="R561" s="11" t="str">
        <f>HYPERLINK("\\imagefiles.bcgov\imagery\scanned_maps\moe_terrain_maps\Scanned_T_maps_all\C04\C04-1957","\\imagefiles.bcgov\imagery\scanned_maps\moe_terrain_maps\Scanned_T_maps_all\C04\C04-1957")</f>
        <v>\\imagefiles.bcgov\imagery\scanned_maps\moe_terrain_maps\Scanned_T_maps_all\C04\C04-1957</v>
      </c>
      <c r="S561" t="s">
        <v>62</v>
      </c>
      <c r="T561" s="11" t="str">
        <f>HYPERLINK("http://www.env.gov.bc.ca/esd/distdata/ecosystems/TEI_Scanned_Maps/C04/C04-1957","http://www.env.gov.bc.ca/esd/distdata/ecosystems/TEI_Scanned_Maps/C04/C04-1957")</f>
        <v>http://www.env.gov.bc.ca/esd/distdata/ecosystems/TEI_Scanned_Maps/C04/C04-1957</v>
      </c>
      <c r="U561" t="s">
        <v>58</v>
      </c>
      <c r="V561" t="s">
        <v>58</v>
      </c>
      <c r="W561" t="s">
        <v>58</v>
      </c>
      <c r="X561" t="s">
        <v>58</v>
      </c>
      <c r="Y561" t="s">
        <v>58</v>
      </c>
      <c r="Z561" t="s">
        <v>58</v>
      </c>
      <c r="AA561" t="s">
        <v>58</v>
      </c>
      <c r="AC561" t="s">
        <v>58</v>
      </c>
      <c r="AE561" t="s">
        <v>58</v>
      </c>
      <c r="AG561" t="s">
        <v>63</v>
      </c>
      <c r="AH561" s="11" t="str">
        <f t="shared" si="11"/>
        <v>mailto: soilterrain@victoria1.gov.bc.ca</v>
      </c>
    </row>
    <row r="562" spans="1:34">
      <c r="A562" t="s">
        <v>1378</v>
      </c>
      <c r="B562" t="s">
        <v>56</v>
      </c>
      <c r="C562" s="10" t="s">
        <v>1379</v>
      </c>
      <c r="D562" t="s">
        <v>58</v>
      </c>
      <c r="E562" t="s">
        <v>497</v>
      </c>
      <c r="F562" t="s">
        <v>502</v>
      </c>
      <c r="G562">
        <v>50000</v>
      </c>
      <c r="H562">
        <v>1987</v>
      </c>
      <c r="I562" t="s">
        <v>58</v>
      </c>
      <c r="J562" t="s">
        <v>58</v>
      </c>
      <c r="K562" t="s">
        <v>58</v>
      </c>
      <c r="L562" t="s">
        <v>58</v>
      </c>
      <c r="M562" t="s">
        <v>58</v>
      </c>
      <c r="N562" t="s">
        <v>61</v>
      </c>
      <c r="Q562" t="s">
        <v>58</v>
      </c>
      <c r="R562" s="11" t="str">
        <f>HYPERLINK("\\imagefiles.bcgov\imagery\scanned_maps\moe_terrain_maps\Scanned_T_maps_all\C04\C04-1995","\\imagefiles.bcgov\imagery\scanned_maps\moe_terrain_maps\Scanned_T_maps_all\C04\C04-1995")</f>
        <v>\\imagefiles.bcgov\imagery\scanned_maps\moe_terrain_maps\Scanned_T_maps_all\C04\C04-1995</v>
      </c>
      <c r="S562" t="s">
        <v>62</v>
      </c>
      <c r="T562" s="11" t="str">
        <f>HYPERLINK("http://www.env.gov.bc.ca/esd/distdata/ecosystems/TEI_Scanned_Maps/C04/C04-1995","http://www.env.gov.bc.ca/esd/distdata/ecosystems/TEI_Scanned_Maps/C04/C04-1995")</f>
        <v>http://www.env.gov.bc.ca/esd/distdata/ecosystems/TEI_Scanned_Maps/C04/C04-1995</v>
      </c>
      <c r="U562" t="s">
        <v>58</v>
      </c>
      <c r="V562" t="s">
        <v>58</v>
      </c>
      <c r="W562" t="s">
        <v>58</v>
      </c>
      <c r="X562" t="s">
        <v>58</v>
      </c>
      <c r="Y562" t="s">
        <v>58</v>
      </c>
      <c r="Z562" t="s">
        <v>58</v>
      </c>
      <c r="AA562" t="s">
        <v>58</v>
      </c>
      <c r="AC562" t="s">
        <v>58</v>
      </c>
      <c r="AE562" t="s">
        <v>58</v>
      </c>
      <c r="AG562" t="s">
        <v>63</v>
      </c>
      <c r="AH562" s="11" t="str">
        <f t="shared" si="11"/>
        <v>mailto: soilterrain@victoria1.gov.bc.ca</v>
      </c>
    </row>
    <row r="563" spans="1:34">
      <c r="A563" t="s">
        <v>1380</v>
      </c>
      <c r="B563" t="s">
        <v>56</v>
      </c>
      <c r="C563" s="10" t="s">
        <v>1381</v>
      </c>
      <c r="D563" t="s">
        <v>58</v>
      </c>
      <c r="E563" t="s">
        <v>497</v>
      </c>
      <c r="F563" t="s">
        <v>502</v>
      </c>
      <c r="G563">
        <v>50000</v>
      </c>
      <c r="H563">
        <v>1987</v>
      </c>
      <c r="I563" t="s">
        <v>58</v>
      </c>
      <c r="J563" t="s">
        <v>58</v>
      </c>
      <c r="K563" t="s">
        <v>58</v>
      </c>
      <c r="L563" t="s">
        <v>58</v>
      </c>
      <c r="M563" t="s">
        <v>58</v>
      </c>
      <c r="N563" t="s">
        <v>61</v>
      </c>
      <c r="Q563" t="s">
        <v>58</v>
      </c>
      <c r="R563" s="11" t="str">
        <f>HYPERLINK("\\imagefiles.bcgov\imagery\scanned_maps\moe_terrain_maps\Scanned_T_maps_all\C04\C04-2008","\\imagefiles.bcgov\imagery\scanned_maps\moe_terrain_maps\Scanned_T_maps_all\C04\C04-2008")</f>
        <v>\\imagefiles.bcgov\imagery\scanned_maps\moe_terrain_maps\Scanned_T_maps_all\C04\C04-2008</v>
      </c>
      <c r="S563" t="s">
        <v>62</v>
      </c>
      <c r="T563" s="11" t="str">
        <f>HYPERLINK("http://www.env.gov.bc.ca/esd/distdata/ecosystems/TEI_Scanned_Maps/C04/C04-2008","http://www.env.gov.bc.ca/esd/distdata/ecosystems/TEI_Scanned_Maps/C04/C04-2008")</f>
        <v>http://www.env.gov.bc.ca/esd/distdata/ecosystems/TEI_Scanned_Maps/C04/C04-2008</v>
      </c>
      <c r="U563" t="s">
        <v>58</v>
      </c>
      <c r="V563" t="s">
        <v>58</v>
      </c>
      <c r="W563" t="s">
        <v>58</v>
      </c>
      <c r="X563" t="s">
        <v>58</v>
      </c>
      <c r="Y563" t="s">
        <v>58</v>
      </c>
      <c r="Z563" t="s">
        <v>58</v>
      </c>
      <c r="AA563" t="s">
        <v>58</v>
      </c>
      <c r="AC563" t="s">
        <v>58</v>
      </c>
      <c r="AE563" t="s">
        <v>58</v>
      </c>
      <c r="AG563" t="s">
        <v>63</v>
      </c>
      <c r="AH563" s="11" t="str">
        <f t="shared" si="11"/>
        <v>mailto: soilterrain@victoria1.gov.bc.ca</v>
      </c>
    </row>
    <row r="564" spans="1:34">
      <c r="A564" t="s">
        <v>1382</v>
      </c>
      <c r="B564" t="s">
        <v>56</v>
      </c>
      <c r="C564" s="10" t="s">
        <v>1383</v>
      </c>
      <c r="D564" t="s">
        <v>58</v>
      </c>
      <c r="E564" t="s">
        <v>497</v>
      </c>
      <c r="F564" t="s">
        <v>502</v>
      </c>
      <c r="G564">
        <v>50000</v>
      </c>
      <c r="H564">
        <v>1986</v>
      </c>
      <c r="I564" t="s">
        <v>58</v>
      </c>
      <c r="J564" t="s">
        <v>58</v>
      </c>
      <c r="K564" t="s">
        <v>58</v>
      </c>
      <c r="L564" t="s">
        <v>58</v>
      </c>
      <c r="M564" t="s">
        <v>58</v>
      </c>
      <c r="N564" t="s">
        <v>61</v>
      </c>
      <c r="Q564" t="s">
        <v>58</v>
      </c>
      <c r="R564" s="11" t="str">
        <f>HYPERLINK("\\imagefiles.bcgov\imagery\scanned_maps\moe_terrain_maps\Scanned_T_maps_all\C04\C04-2010","\\imagefiles.bcgov\imagery\scanned_maps\moe_terrain_maps\Scanned_T_maps_all\C04\C04-2010")</f>
        <v>\\imagefiles.bcgov\imagery\scanned_maps\moe_terrain_maps\Scanned_T_maps_all\C04\C04-2010</v>
      </c>
      <c r="S564" t="s">
        <v>62</v>
      </c>
      <c r="T564" s="11" t="str">
        <f>HYPERLINK("http://www.env.gov.bc.ca/esd/distdata/ecosystems/TEI_Scanned_Maps/C04/C04-2010","http://www.env.gov.bc.ca/esd/distdata/ecosystems/TEI_Scanned_Maps/C04/C04-2010")</f>
        <v>http://www.env.gov.bc.ca/esd/distdata/ecosystems/TEI_Scanned_Maps/C04/C04-2010</v>
      </c>
      <c r="U564" t="s">
        <v>58</v>
      </c>
      <c r="V564" t="s">
        <v>58</v>
      </c>
      <c r="W564" t="s">
        <v>58</v>
      </c>
      <c r="X564" t="s">
        <v>58</v>
      </c>
      <c r="Y564" t="s">
        <v>58</v>
      </c>
      <c r="Z564" t="s">
        <v>58</v>
      </c>
      <c r="AA564" t="s">
        <v>58</v>
      </c>
      <c r="AC564" t="s">
        <v>58</v>
      </c>
      <c r="AE564" t="s">
        <v>58</v>
      </c>
      <c r="AG564" t="s">
        <v>63</v>
      </c>
      <c r="AH564" s="11" t="str">
        <f t="shared" si="11"/>
        <v>mailto: soilterrain@victoria1.gov.bc.ca</v>
      </c>
    </row>
    <row r="565" spans="1:34">
      <c r="A565" t="s">
        <v>1384</v>
      </c>
      <c r="B565" t="s">
        <v>56</v>
      </c>
      <c r="C565" s="10" t="s">
        <v>1385</v>
      </c>
      <c r="D565" t="s">
        <v>58</v>
      </c>
      <c r="E565" t="s">
        <v>497</v>
      </c>
      <c r="F565" t="s">
        <v>502</v>
      </c>
      <c r="G565">
        <v>50000</v>
      </c>
      <c r="H565">
        <v>1989</v>
      </c>
      <c r="I565" t="s">
        <v>58</v>
      </c>
      <c r="J565" t="s">
        <v>58</v>
      </c>
      <c r="K565" t="s">
        <v>58</v>
      </c>
      <c r="L565" t="s">
        <v>58</v>
      </c>
      <c r="M565" t="s">
        <v>58</v>
      </c>
      <c r="N565" t="s">
        <v>61</v>
      </c>
      <c r="Q565" t="s">
        <v>58</v>
      </c>
      <c r="R565" s="11" t="str">
        <f>HYPERLINK("\\imagefiles.bcgov\imagery\scanned_maps\moe_terrain_maps\Scanned_T_maps_all\C04\C04-2012","\\imagefiles.bcgov\imagery\scanned_maps\moe_terrain_maps\Scanned_T_maps_all\C04\C04-2012")</f>
        <v>\\imagefiles.bcgov\imagery\scanned_maps\moe_terrain_maps\Scanned_T_maps_all\C04\C04-2012</v>
      </c>
      <c r="S565" t="s">
        <v>62</v>
      </c>
      <c r="T565" s="11" t="str">
        <f>HYPERLINK("http://www.env.gov.bc.ca/esd/distdata/ecosystems/TEI_Scanned_Maps/C04/C04-2012","http://www.env.gov.bc.ca/esd/distdata/ecosystems/TEI_Scanned_Maps/C04/C04-2012")</f>
        <v>http://www.env.gov.bc.ca/esd/distdata/ecosystems/TEI_Scanned_Maps/C04/C04-2012</v>
      </c>
      <c r="U565" t="s">
        <v>58</v>
      </c>
      <c r="V565" t="s">
        <v>58</v>
      </c>
      <c r="W565" t="s">
        <v>58</v>
      </c>
      <c r="X565" t="s">
        <v>58</v>
      </c>
      <c r="Y565" t="s">
        <v>58</v>
      </c>
      <c r="Z565" t="s">
        <v>58</v>
      </c>
      <c r="AA565" t="s">
        <v>58</v>
      </c>
      <c r="AC565" t="s">
        <v>58</v>
      </c>
      <c r="AE565" t="s">
        <v>58</v>
      </c>
      <c r="AG565" t="s">
        <v>63</v>
      </c>
      <c r="AH565" s="11" t="str">
        <f t="shared" si="11"/>
        <v>mailto: soilterrain@victoria1.gov.bc.ca</v>
      </c>
    </row>
    <row r="566" spans="1:34">
      <c r="A566" t="s">
        <v>1386</v>
      </c>
      <c r="B566" t="s">
        <v>56</v>
      </c>
      <c r="C566" s="10" t="s">
        <v>1387</v>
      </c>
      <c r="D566" t="s">
        <v>58</v>
      </c>
      <c r="E566" t="s">
        <v>497</v>
      </c>
      <c r="F566" t="s">
        <v>502</v>
      </c>
      <c r="G566">
        <v>50000</v>
      </c>
      <c r="H566">
        <v>1988</v>
      </c>
      <c r="I566" t="s">
        <v>58</v>
      </c>
      <c r="J566" t="s">
        <v>58</v>
      </c>
      <c r="K566" t="s">
        <v>58</v>
      </c>
      <c r="L566" t="s">
        <v>58</v>
      </c>
      <c r="M566" t="s">
        <v>58</v>
      </c>
      <c r="N566" t="s">
        <v>61</v>
      </c>
      <c r="Q566" t="s">
        <v>58</v>
      </c>
      <c r="R566" s="11" t="str">
        <f>HYPERLINK("\\imagefiles.bcgov\imagery\scanned_maps\moe_terrain_maps\Scanned_T_maps_all\C04\C04-2014","\\imagefiles.bcgov\imagery\scanned_maps\moe_terrain_maps\Scanned_T_maps_all\C04\C04-2014")</f>
        <v>\\imagefiles.bcgov\imagery\scanned_maps\moe_terrain_maps\Scanned_T_maps_all\C04\C04-2014</v>
      </c>
      <c r="S566" t="s">
        <v>62</v>
      </c>
      <c r="T566" s="11" t="str">
        <f>HYPERLINK("http://www.env.gov.bc.ca/esd/distdata/ecosystems/TEI_Scanned_Maps/C04/C04-2014","http://www.env.gov.bc.ca/esd/distdata/ecosystems/TEI_Scanned_Maps/C04/C04-2014")</f>
        <v>http://www.env.gov.bc.ca/esd/distdata/ecosystems/TEI_Scanned_Maps/C04/C04-2014</v>
      </c>
      <c r="U566" t="s">
        <v>58</v>
      </c>
      <c r="V566" t="s">
        <v>58</v>
      </c>
      <c r="W566" t="s">
        <v>58</v>
      </c>
      <c r="X566" t="s">
        <v>58</v>
      </c>
      <c r="Y566" t="s">
        <v>58</v>
      </c>
      <c r="Z566" t="s">
        <v>58</v>
      </c>
      <c r="AA566" t="s">
        <v>58</v>
      </c>
      <c r="AC566" t="s">
        <v>58</v>
      </c>
      <c r="AE566" t="s">
        <v>58</v>
      </c>
      <c r="AG566" t="s">
        <v>63</v>
      </c>
      <c r="AH566" s="11" t="str">
        <f t="shared" si="11"/>
        <v>mailto: soilterrain@victoria1.gov.bc.ca</v>
      </c>
    </row>
    <row r="567" spans="1:34">
      <c r="A567" t="s">
        <v>1388</v>
      </c>
      <c r="B567" t="s">
        <v>56</v>
      </c>
      <c r="C567" s="10" t="s">
        <v>1389</v>
      </c>
      <c r="D567" t="s">
        <v>58</v>
      </c>
      <c r="E567" t="s">
        <v>497</v>
      </c>
      <c r="F567" t="s">
        <v>502</v>
      </c>
      <c r="G567">
        <v>50000</v>
      </c>
      <c r="H567" t="s">
        <v>187</v>
      </c>
      <c r="I567" t="s">
        <v>58</v>
      </c>
      <c r="J567" t="s">
        <v>58</v>
      </c>
      <c r="K567" t="s">
        <v>58</v>
      </c>
      <c r="L567" t="s">
        <v>58</v>
      </c>
      <c r="M567" t="s">
        <v>58</v>
      </c>
      <c r="N567" t="s">
        <v>61</v>
      </c>
      <c r="Q567" t="s">
        <v>58</v>
      </c>
      <c r="R567" s="11" t="str">
        <f>HYPERLINK("\\imagefiles.bcgov\imagery\scanned_maps\moe_terrain_maps\Scanned_T_maps_all\C04\C04-2016","\\imagefiles.bcgov\imagery\scanned_maps\moe_terrain_maps\Scanned_T_maps_all\C04\C04-2016")</f>
        <v>\\imagefiles.bcgov\imagery\scanned_maps\moe_terrain_maps\Scanned_T_maps_all\C04\C04-2016</v>
      </c>
      <c r="S567" t="s">
        <v>62</v>
      </c>
      <c r="T567" s="11" t="str">
        <f>HYPERLINK("http://www.env.gov.bc.ca/esd/distdata/ecosystems/TEI_Scanned_Maps/C04/C04-2016","http://www.env.gov.bc.ca/esd/distdata/ecosystems/TEI_Scanned_Maps/C04/C04-2016")</f>
        <v>http://www.env.gov.bc.ca/esd/distdata/ecosystems/TEI_Scanned_Maps/C04/C04-2016</v>
      </c>
      <c r="U567" t="s">
        <v>58</v>
      </c>
      <c r="V567" t="s">
        <v>58</v>
      </c>
      <c r="W567" t="s">
        <v>58</v>
      </c>
      <c r="X567" t="s">
        <v>58</v>
      </c>
      <c r="Y567" t="s">
        <v>58</v>
      </c>
      <c r="Z567" t="s">
        <v>58</v>
      </c>
      <c r="AA567" t="s">
        <v>58</v>
      </c>
      <c r="AC567" t="s">
        <v>58</v>
      </c>
      <c r="AE567" t="s">
        <v>58</v>
      </c>
      <c r="AG567" t="s">
        <v>63</v>
      </c>
      <c r="AH567" s="11" t="str">
        <f t="shared" si="11"/>
        <v>mailto: soilterrain@victoria1.gov.bc.ca</v>
      </c>
    </row>
    <row r="568" spans="1:34">
      <c r="A568" t="s">
        <v>1390</v>
      </c>
      <c r="B568" t="s">
        <v>56</v>
      </c>
      <c r="C568" s="10" t="s">
        <v>1391</v>
      </c>
      <c r="D568" t="s">
        <v>58</v>
      </c>
      <c r="E568" t="s">
        <v>497</v>
      </c>
      <c r="F568" t="s">
        <v>502</v>
      </c>
      <c r="G568">
        <v>50000</v>
      </c>
      <c r="H568">
        <v>1988</v>
      </c>
      <c r="I568" t="s">
        <v>58</v>
      </c>
      <c r="J568" t="s">
        <v>58</v>
      </c>
      <c r="K568" t="s">
        <v>58</v>
      </c>
      <c r="L568" t="s">
        <v>58</v>
      </c>
      <c r="M568" t="s">
        <v>58</v>
      </c>
      <c r="N568" t="s">
        <v>61</v>
      </c>
      <c r="Q568" t="s">
        <v>58</v>
      </c>
      <c r="R568" s="11" t="str">
        <f>HYPERLINK("\\imagefiles.bcgov\imagery\scanned_maps\moe_terrain_maps\Scanned_T_maps_all\C04\C04-2018","\\imagefiles.bcgov\imagery\scanned_maps\moe_terrain_maps\Scanned_T_maps_all\C04\C04-2018")</f>
        <v>\\imagefiles.bcgov\imagery\scanned_maps\moe_terrain_maps\Scanned_T_maps_all\C04\C04-2018</v>
      </c>
      <c r="S568" t="s">
        <v>62</v>
      </c>
      <c r="T568" s="11" t="str">
        <f>HYPERLINK("http://www.env.gov.bc.ca/esd/distdata/ecosystems/TEI_Scanned_Maps/C04/C04-2018","http://www.env.gov.bc.ca/esd/distdata/ecosystems/TEI_Scanned_Maps/C04/C04-2018")</f>
        <v>http://www.env.gov.bc.ca/esd/distdata/ecosystems/TEI_Scanned_Maps/C04/C04-2018</v>
      </c>
      <c r="U568" t="s">
        <v>58</v>
      </c>
      <c r="V568" t="s">
        <v>58</v>
      </c>
      <c r="W568" t="s">
        <v>58</v>
      </c>
      <c r="X568" t="s">
        <v>58</v>
      </c>
      <c r="Y568" t="s">
        <v>58</v>
      </c>
      <c r="Z568" t="s">
        <v>58</v>
      </c>
      <c r="AA568" t="s">
        <v>58</v>
      </c>
      <c r="AC568" t="s">
        <v>58</v>
      </c>
      <c r="AE568" t="s">
        <v>58</v>
      </c>
      <c r="AG568" t="s">
        <v>63</v>
      </c>
      <c r="AH568" s="11" t="str">
        <f t="shared" si="11"/>
        <v>mailto: soilterrain@victoria1.gov.bc.ca</v>
      </c>
    </row>
    <row r="569" spans="1:34">
      <c r="A569" t="s">
        <v>1392</v>
      </c>
      <c r="B569" t="s">
        <v>56</v>
      </c>
      <c r="C569" s="10" t="s">
        <v>1393</v>
      </c>
      <c r="D569" t="s">
        <v>58</v>
      </c>
      <c r="E569" t="s">
        <v>497</v>
      </c>
      <c r="F569" t="s">
        <v>502</v>
      </c>
      <c r="G569">
        <v>50000</v>
      </c>
      <c r="H569">
        <v>1987</v>
      </c>
      <c r="I569" t="s">
        <v>58</v>
      </c>
      <c r="J569" t="s">
        <v>58</v>
      </c>
      <c r="K569" t="s">
        <v>58</v>
      </c>
      <c r="L569" t="s">
        <v>58</v>
      </c>
      <c r="M569" t="s">
        <v>58</v>
      </c>
      <c r="N569" t="s">
        <v>61</v>
      </c>
      <c r="Q569" t="s">
        <v>58</v>
      </c>
      <c r="R569" s="11" t="str">
        <f>HYPERLINK("\\imagefiles.bcgov\imagery\scanned_maps\moe_terrain_maps\Scanned_T_maps_all\C04\C04-2020","\\imagefiles.bcgov\imagery\scanned_maps\moe_terrain_maps\Scanned_T_maps_all\C04\C04-2020")</f>
        <v>\\imagefiles.bcgov\imagery\scanned_maps\moe_terrain_maps\Scanned_T_maps_all\C04\C04-2020</v>
      </c>
      <c r="S569" t="s">
        <v>62</v>
      </c>
      <c r="T569" s="11" t="str">
        <f>HYPERLINK("http://www.env.gov.bc.ca/esd/distdata/ecosystems/TEI_Scanned_Maps/C04/C04-2020","http://www.env.gov.bc.ca/esd/distdata/ecosystems/TEI_Scanned_Maps/C04/C04-2020")</f>
        <v>http://www.env.gov.bc.ca/esd/distdata/ecosystems/TEI_Scanned_Maps/C04/C04-2020</v>
      </c>
      <c r="U569" t="s">
        <v>58</v>
      </c>
      <c r="V569" t="s">
        <v>58</v>
      </c>
      <c r="W569" t="s">
        <v>58</v>
      </c>
      <c r="X569" t="s">
        <v>58</v>
      </c>
      <c r="Y569" t="s">
        <v>58</v>
      </c>
      <c r="Z569" t="s">
        <v>58</v>
      </c>
      <c r="AA569" t="s">
        <v>58</v>
      </c>
      <c r="AC569" t="s">
        <v>58</v>
      </c>
      <c r="AE569" t="s">
        <v>58</v>
      </c>
      <c r="AG569" t="s">
        <v>63</v>
      </c>
      <c r="AH569" s="11" t="str">
        <f t="shared" si="11"/>
        <v>mailto: soilterrain@victoria1.gov.bc.ca</v>
      </c>
    </row>
    <row r="570" spans="1:34">
      <c r="A570" t="s">
        <v>1394</v>
      </c>
      <c r="B570" t="s">
        <v>56</v>
      </c>
      <c r="C570" s="10" t="s">
        <v>1395</v>
      </c>
      <c r="D570" t="s">
        <v>58</v>
      </c>
      <c r="E570" t="s">
        <v>497</v>
      </c>
      <c r="F570" t="s">
        <v>502</v>
      </c>
      <c r="G570">
        <v>50000</v>
      </c>
      <c r="H570" t="s">
        <v>187</v>
      </c>
      <c r="I570" t="s">
        <v>58</v>
      </c>
      <c r="J570" t="s">
        <v>58</v>
      </c>
      <c r="K570" t="s">
        <v>58</v>
      </c>
      <c r="L570" t="s">
        <v>58</v>
      </c>
      <c r="M570" t="s">
        <v>58</v>
      </c>
      <c r="N570" t="s">
        <v>61</v>
      </c>
      <c r="Q570" t="s">
        <v>58</v>
      </c>
      <c r="R570" s="11" t="str">
        <f>HYPERLINK("\\imagefiles.bcgov\imagery\scanned_maps\moe_terrain_maps\Scanned_T_maps_all\C04\C04-2022","\\imagefiles.bcgov\imagery\scanned_maps\moe_terrain_maps\Scanned_T_maps_all\C04\C04-2022")</f>
        <v>\\imagefiles.bcgov\imagery\scanned_maps\moe_terrain_maps\Scanned_T_maps_all\C04\C04-2022</v>
      </c>
      <c r="S570" t="s">
        <v>62</v>
      </c>
      <c r="T570" s="11" t="str">
        <f>HYPERLINK("http://www.env.gov.bc.ca/esd/distdata/ecosystems/TEI_Scanned_Maps/C04/C04-2022","http://www.env.gov.bc.ca/esd/distdata/ecosystems/TEI_Scanned_Maps/C04/C04-2022")</f>
        <v>http://www.env.gov.bc.ca/esd/distdata/ecosystems/TEI_Scanned_Maps/C04/C04-2022</v>
      </c>
      <c r="U570" t="s">
        <v>58</v>
      </c>
      <c r="V570" t="s">
        <v>58</v>
      </c>
      <c r="W570" t="s">
        <v>58</v>
      </c>
      <c r="X570" t="s">
        <v>58</v>
      </c>
      <c r="Y570" t="s">
        <v>58</v>
      </c>
      <c r="Z570" t="s">
        <v>58</v>
      </c>
      <c r="AA570" t="s">
        <v>58</v>
      </c>
      <c r="AC570" t="s">
        <v>58</v>
      </c>
      <c r="AE570" t="s">
        <v>58</v>
      </c>
      <c r="AG570" t="s">
        <v>63</v>
      </c>
      <c r="AH570" s="11" t="str">
        <f t="shared" si="11"/>
        <v>mailto: soilterrain@victoria1.gov.bc.ca</v>
      </c>
    </row>
    <row r="571" spans="1:34">
      <c r="A571" t="s">
        <v>1396</v>
      </c>
      <c r="B571" t="s">
        <v>56</v>
      </c>
      <c r="C571" s="10" t="s">
        <v>1397</v>
      </c>
      <c r="D571" t="s">
        <v>58</v>
      </c>
      <c r="E571" t="s">
        <v>497</v>
      </c>
      <c r="F571" t="s">
        <v>502</v>
      </c>
      <c r="G571">
        <v>50000</v>
      </c>
      <c r="H571">
        <v>1986</v>
      </c>
      <c r="I571" t="s">
        <v>58</v>
      </c>
      <c r="J571" t="s">
        <v>58</v>
      </c>
      <c r="K571" t="s">
        <v>58</v>
      </c>
      <c r="L571" t="s">
        <v>58</v>
      </c>
      <c r="M571" t="s">
        <v>58</v>
      </c>
      <c r="N571" t="s">
        <v>61</v>
      </c>
      <c r="Q571" t="s">
        <v>58</v>
      </c>
      <c r="R571" s="11" t="str">
        <f>HYPERLINK("\\imagefiles.bcgov\imagery\scanned_maps\moe_terrain_maps\Scanned_T_maps_all\C04\C04-2024","\\imagefiles.bcgov\imagery\scanned_maps\moe_terrain_maps\Scanned_T_maps_all\C04\C04-2024")</f>
        <v>\\imagefiles.bcgov\imagery\scanned_maps\moe_terrain_maps\Scanned_T_maps_all\C04\C04-2024</v>
      </c>
      <c r="S571" t="s">
        <v>62</v>
      </c>
      <c r="T571" s="11" t="str">
        <f>HYPERLINK("http://www.env.gov.bc.ca/esd/distdata/ecosystems/TEI_Scanned_Maps/C04/C04-2024","http://www.env.gov.bc.ca/esd/distdata/ecosystems/TEI_Scanned_Maps/C04/C04-2024")</f>
        <v>http://www.env.gov.bc.ca/esd/distdata/ecosystems/TEI_Scanned_Maps/C04/C04-2024</v>
      </c>
      <c r="U571" t="s">
        <v>58</v>
      </c>
      <c r="V571" t="s">
        <v>58</v>
      </c>
      <c r="W571" t="s">
        <v>58</v>
      </c>
      <c r="X571" t="s">
        <v>58</v>
      </c>
      <c r="Y571" t="s">
        <v>58</v>
      </c>
      <c r="Z571" t="s">
        <v>58</v>
      </c>
      <c r="AA571" t="s">
        <v>58</v>
      </c>
      <c r="AC571" t="s">
        <v>58</v>
      </c>
      <c r="AE571" t="s">
        <v>58</v>
      </c>
      <c r="AG571" t="s">
        <v>63</v>
      </c>
      <c r="AH571" s="11" t="str">
        <f t="shared" si="11"/>
        <v>mailto: soilterrain@victoria1.gov.bc.ca</v>
      </c>
    </row>
    <row r="572" spans="1:34">
      <c r="A572" t="s">
        <v>1398</v>
      </c>
      <c r="B572" t="s">
        <v>56</v>
      </c>
      <c r="C572" s="10" t="s">
        <v>1399</v>
      </c>
      <c r="D572" t="s">
        <v>58</v>
      </c>
      <c r="E572" t="s">
        <v>497</v>
      </c>
      <c r="F572" t="s">
        <v>502</v>
      </c>
      <c r="G572">
        <v>50000</v>
      </c>
      <c r="H572">
        <v>1989</v>
      </c>
      <c r="I572" t="s">
        <v>58</v>
      </c>
      <c r="J572" t="s">
        <v>58</v>
      </c>
      <c r="K572" t="s">
        <v>58</v>
      </c>
      <c r="L572" t="s">
        <v>58</v>
      </c>
      <c r="M572" t="s">
        <v>58</v>
      </c>
      <c r="N572" t="s">
        <v>61</v>
      </c>
      <c r="Q572" t="s">
        <v>58</v>
      </c>
      <c r="R572" s="11" t="str">
        <f>HYPERLINK("\\imagefiles.bcgov\imagery\scanned_maps\moe_terrain_maps\Scanned_T_maps_all\C04\C04-2026","\\imagefiles.bcgov\imagery\scanned_maps\moe_terrain_maps\Scanned_T_maps_all\C04\C04-2026")</f>
        <v>\\imagefiles.bcgov\imagery\scanned_maps\moe_terrain_maps\Scanned_T_maps_all\C04\C04-2026</v>
      </c>
      <c r="S572" t="s">
        <v>62</v>
      </c>
      <c r="T572" s="11" t="str">
        <f>HYPERLINK("http://www.env.gov.bc.ca/esd/distdata/ecosystems/TEI_Scanned_Maps/C04/C04-2026","http://www.env.gov.bc.ca/esd/distdata/ecosystems/TEI_Scanned_Maps/C04/C04-2026")</f>
        <v>http://www.env.gov.bc.ca/esd/distdata/ecosystems/TEI_Scanned_Maps/C04/C04-2026</v>
      </c>
      <c r="U572" t="s">
        <v>58</v>
      </c>
      <c r="V572" t="s">
        <v>58</v>
      </c>
      <c r="W572" t="s">
        <v>58</v>
      </c>
      <c r="X572" t="s">
        <v>58</v>
      </c>
      <c r="Y572" t="s">
        <v>58</v>
      </c>
      <c r="Z572" t="s">
        <v>58</v>
      </c>
      <c r="AA572" t="s">
        <v>58</v>
      </c>
      <c r="AC572" t="s">
        <v>58</v>
      </c>
      <c r="AE572" t="s">
        <v>58</v>
      </c>
      <c r="AG572" t="s">
        <v>63</v>
      </c>
      <c r="AH572" s="11" t="str">
        <f t="shared" si="11"/>
        <v>mailto: soilterrain@victoria1.gov.bc.ca</v>
      </c>
    </row>
    <row r="573" spans="1:34">
      <c r="A573" t="s">
        <v>1400</v>
      </c>
      <c r="B573" t="s">
        <v>56</v>
      </c>
      <c r="C573" s="10" t="s">
        <v>1401</v>
      </c>
      <c r="D573" t="s">
        <v>58</v>
      </c>
      <c r="E573" t="s">
        <v>497</v>
      </c>
      <c r="F573" t="s">
        <v>502</v>
      </c>
      <c r="G573">
        <v>50000</v>
      </c>
      <c r="H573">
        <v>1982</v>
      </c>
      <c r="I573" t="s">
        <v>58</v>
      </c>
      <c r="J573" t="s">
        <v>58</v>
      </c>
      <c r="K573" t="s">
        <v>58</v>
      </c>
      <c r="L573" t="s">
        <v>58</v>
      </c>
      <c r="M573" t="s">
        <v>58</v>
      </c>
      <c r="N573" t="s">
        <v>61</v>
      </c>
      <c r="Q573" t="s">
        <v>58</v>
      </c>
      <c r="R573" s="11" t="str">
        <f>HYPERLINK("\\imagefiles.bcgov\imagery\scanned_maps\moe_terrain_maps\Scanned_T_maps_all\C04\C04-2028","\\imagefiles.bcgov\imagery\scanned_maps\moe_terrain_maps\Scanned_T_maps_all\C04\C04-2028")</f>
        <v>\\imagefiles.bcgov\imagery\scanned_maps\moe_terrain_maps\Scanned_T_maps_all\C04\C04-2028</v>
      </c>
      <c r="S573" t="s">
        <v>62</v>
      </c>
      <c r="T573" s="11" t="str">
        <f>HYPERLINK("http://www.env.gov.bc.ca/esd/distdata/ecosystems/TEI_Scanned_Maps/C04/C04-2028","http://www.env.gov.bc.ca/esd/distdata/ecosystems/TEI_Scanned_Maps/C04/C04-2028")</f>
        <v>http://www.env.gov.bc.ca/esd/distdata/ecosystems/TEI_Scanned_Maps/C04/C04-2028</v>
      </c>
      <c r="U573" t="s">
        <v>58</v>
      </c>
      <c r="V573" t="s">
        <v>58</v>
      </c>
      <c r="W573" t="s">
        <v>58</v>
      </c>
      <c r="X573" t="s">
        <v>58</v>
      </c>
      <c r="Y573" t="s">
        <v>58</v>
      </c>
      <c r="Z573" t="s">
        <v>58</v>
      </c>
      <c r="AA573" t="s">
        <v>58</v>
      </c>
      <c r="AC573" t="s">
        <v>58</v>
      </c>
      <c r="AE573" t="s">
        <v>58</v>
      </c>
      <c r="AG573" t="s">
        <v>63</v>
      </c>
      <c r="AH573" s="11" t="str">
        <f t="shared" si="11"/>
        <v>mailto: soilterrain@victoria1.gov.bc.ca</v>
      </c>
    </row>
    <row r="574" spans="1:34">
      <c r="A574" t="s">
        <v>1402</v>
      </c>
      <c r="B574" t="s">
        <v>56</v>
      </c>
      <c r="C574" s="10" t="s">
        <v>1403</v>
      </c>
      <c r="D574" t="s">
        <v>58</v>
      </c>
      <c r="E574" t="s">
        <v>497</v>
      </c>
      <c r="F574" t="s">
        <v>502</v>
      </c>
      <c r="G574">
        <v>50000</v>
      </c>
      <c r="H574">
        <v>1986</v>
      </c>
      <c r="I574" t="s">
        <v>58</v>
      </c>
      <c r="J574" t="s">
        <v>58</v>
      </c>
      <c r="K574" t="s">
        <v>58</v>
      </c>
      <c r="L574" t="s">
        <v>58</v>
      </c>
      <c r="M574" t="s">
        <v>58</v>
      </c>
      <c r="N574" t="s">
        <v>61</v>
      </c>
      <c r="Q574" t="s">
        <v>58</v>
      </c>
      <c r="R574" s="11" t="str">
        <f>HYPERLINK("\\imagefiles.bcgov\imagery\scanned_maps\moe_terrain_maps\Scanned_T_maps_all\C04\C04-2030","\\imagefiles.bcgov\imagery\scanned_maps\moe_terrain_maps\Scanned_T_maps_all\C04\C04-2030")</f>
        <v>\\imagefiles.bcgov\imagery\scanned_maps\moe_terrain_maps\Scanned_T_maps_all\C04\C04-2030</v>
      </c>
      <c r="S574" t="s">
        <v>62</v>
      </c>
      <c r="T574" s="11" t="str">
        <f>HYPERLINK("http://www.env.gov.bc.ca/esd/distdata/ecosystems/TEI_Scanned_Maps/C04/C04-2030","http://www.env.gov.bc.ca/esd/distdata/ecosystems/TEI_Scanned_Maps/C04/C04-2030")</f>
        <v>http://www.env.gov.bc.ca/esd/distdata/ecosystems/TEI_Scanned_Maps/C04/C04-2030</v>
      </c>
      <c r="U574" t="s">
        <v>58</v>
      </c>
      <c r="V574" t="s">
        <v>58</v>
      </c>
      <c r="W574" t="s">
        <v>58</v>
      </c>
      <c r="X574" t="s">
        <v>58</v>
      </c>
      <c r="Y574" t="s">
        <v>58</v>
      </c>
      <c r="Z574" t="s">
        <v>58</v>
      </c>
      <c r="AA574" t="s">
        <v>58</v>
      </c>
      <c r="AC574" t="s">
        <v>58</v>
      </c>
      <c r="AE574" t="s">
        <v>58</v>
      </c>
      <c r="AG574" t="s">
        <v>63</v>
      </c>
      <c r="AH574" s="11" t="str">
        <f t="shared" si="11"/>
        <v>mailto: soilterrain@victoria1.gov.bc.ca</v>
      </c>
    </row>
    <row r="575" spans="1:34">
      <c r="A575" t="s">
        <v>1404</v>
      </c>
      <c r="B575" t="s">
        <v>56</v>
      </c>
      <c r="C575" s="10" t="s">
        <v>1405</v>
      </c>
      <c r="D575" t="s">
        <v>58</v>
      </c>
      <c r="E575" t="s">
        <v>497</v>
      </c>
      <c r="F575" t="s">
        <v>502</v>
      </c>
      <c r="G575">
        <v>50000</v>
      </c>
      <c r="H575" t="s">
        <v>187</v>
      </c>
      <c r="I575" t="s">
        <v>58</v>
      </c>
      <c r="J575" t="s">
        <v>58</v>
      </c>
      <c r="K575" t="s">
        <v>58</v>
      </c>
      <c r="L575" t="s">
        <v>58</v>
      </c>
      <c r="M575" t="s">
        <v>58</v>
      </c>
      <c r="N575" t="s">
        <v>61</v>
      </c>
      <c r="Q575" t="s">
        <v>58</v>
      </c>
      <c r="R575" s="11" t="str">
        <f>HYPERLINK("\\imagefiles.bcgov\imagery\scanned_maps\moe_terrain_maps\Scanned_T_maps_all\C04\C04-2032","\\imagefiles.bcgov\imagery\scanned_maps\moe_terrain_maps\Scanned_T_maps_all\C04\C04-2032")</f>
        <v>\\imagefiles.bcgov\imagery\scanned_maps\moe_terrain_maps\Scanned_T_maps_all\C04\C04-2032</v>
      </c>
      <c r="S575" t="s">
        <v>62</v>
      </c>
      <c r="T575" s="11" t="str">
        <f>HYPERLINK("http://www.env.gov.bc.ca/esd/distdata/ecosystems/TEI_Scanned_Maps/C04/C04-2032","http://www.env.gov.bc.ca/esd/distdata/ecosystems/TEI_Scanned_Maps/C04/C04-2032")</f>
        <v>http://www.env.gov.bc.ca/esd/distdata/ecosystems/TEI_Scanned_Maps/C04/C04-2032</v>
      </c>
      <c r="U575" t="s">
        <v>58</v>
      </c>
      <c r="V575" t="s">
        <v>58</v>
      </c>
      <c r="W575" t="s">
        <v>58</v>
      </c>
      <c r="X575" t="s">
        <v>58</v>
      </c>
      <c r="Y575" t="s">
        <v>58</v>
      </c>
      <c r="Z575" t="s">
        <v>58</v>
      </c>
      <c r="AA575" t="s">
        <v>58</v>
      </c>
      <c r="AC575" t="s">
        <v>58</v>
      </c>
      <c r="AE575" t="s">
        <v>58</v>
      </c>
      <c r="AG575" t="s">
        <v>63</v>
      </c>
      <c r="AH575" s="11" t="str">
        <f t="shared" si="11"/>
        <v>mailto: soilterrain@victoria1.gov.bc.ca</v>
      </c>
    </row>
    <row r="576" spans="1:34">
      <c r="A576" t="s">
        <v>1406</v>
      </c>
      <c r="B576" t="s">
        <v>56</v>
      </c>
      <c r="C576" s="10" t="s">
        <v>1407</v>
      </c>
      <c r="D576" t="s">
        <v>58</v>
      </c>
      <c r="E576" t="s">
        <v>497</v>
      </c>
      <c r="F576" t="s">
        <v>502</v>
      </c>
      <c r="G576">
        <v>50000</v>
      </c>
      <c r="H576">
        <v>1981</v>
      </c>
      <c r="I576" t="s">
        <v>58</v>
      </c>
      <c r="J576" t="s">
        <v>58</v>
      </c>
      <c r="K576" t="s">
        <v>58</v>
      </c>
      <c r="L576" t="s">
        <v>58</v>
      </c>
      <c r="M576" t="s">
        <v>58</v>
      </c>
      <c r="N576" t="s">
        <v>61</v>
      </c>
      <c r="Q576" t="s">
        <v>58</v>
      </c>
      <c r="R576" s="11" t="str">
        <f>HYPERLINK("\\imagefiles.bcgov\imagery\scanned_maps\moe_terrain_maps\Scanned_T_maps_all\C04\C04-2034","\\imagefiles.bcgov\imagery\scanned_maps\moe_terrain_maps\Scanned_T_maps_all\C04\C04-2034")</f>
        <v>\\imagefiles.bcgov\imagery\scanned_maps\moe_terrain_maps\Scanned_T_maps_all\C04\C04-2034</v>
      </c>
      <c r="S576" t="s">
        <v>62</v>
      </c>
      <c r="T576" s="11" t="str">
        <f>HYPERLINK("http://www.env.gov.bc.ca/esd/distdata/ecosystems/TEI_Scanned_Maps/C04/C04-2034","http://www.env.gov.bc.ca/esd/distdata/ecosystems/TEI_Scanned_Maps/C04/C04-2034")</f>
        <v>http://www.env.gov.bc.ca/esd/distdata/ecosystems/TEI_Scanned_Maps/C04/C04-2034</v>
      </c>
      <c r="U576" t="s">
        <v>58</v>
      </c>
      <c r="V576" t="s">
        <v>58</v>
      </c>
      <c r="W576" t="s">
        <v>58</v>
      </c>
      <c r="X576" t="s">
        <v>58</v>
      </c>
      <c r="Y576" t="s">
        <v>58</v>
      </c>
      <c r="Z576" t="s">
        <v>58</v>
      </c>
      <c r="AA576" t="s">
        <v>58</v>
      </c>
      <c r="AC576" t="s">
        <v>58</v>
      </c>
      <c r="AE576" t="s">
        <v>58</v>
      </c>
      <c r="AG576" t="s">
        <v>63</v>
      </c>
      <c r="AH576" s="11" t="str">
        <f t="shared" si="11"/>
        <v>mailto: soilterrain@victoria1.gov.bc.ca</v>
      </c>
    </row>
    <row r="577" spans="1:34">
      <c r="A577" t="s">
        <v>1408</v>
      </c>
      <c r="B577" t="s">
        <v>56</v>
      </c>
      <c r="C577" s="10" t="s">
        <v>1409</v>
      </c>
      <c r="D577" t="s">
        <v>58</v>
      </c>
      <c r="E577" t="s">
        <v>497</v>
      </c>
      <c r="F577" t="s">
        <v>502</v>
      </c>
      <c r="G577">
        <v>50000</v>
      </c>
      <c r="H577">
        <v>1986</v>
      </c>
      <c r="I577" t="s">
        <v>58</v>
      </c>
      <c r="J577" t="s">
        <v>58</v>
      </c>
      <c r="K577" t="s">
        <v>58</v>
      </c>
      <c r="L577" t="s">
        <v>58</v>
      </c>
      <c r="M577" t="s">
        <v>58</v>
      </c>
      <c r="N577" t="s">
        <v>61</v>
      </c>
      <c r="Q577" t="s">
        <v>58</v>
      </c>
      <c r="R577" s="11" t="str">
        <f>HYPERLINK("\\imagefiles.bcgov\imagery\scanned_maps\moe_terrain_maps\Scanned_T_maps_all\C04\C04-2036","\\imagefiles.bcgov\imagery\scanned_maps\moe_terrain_maps\Scanned_T_maps_all\C04\C04-2036")</f>
        <v>\\imagefiles.bcgov\imagery\scanned_maps\moe_terrain_maps\Scanned_T_maps_all\C04\C04-2036</v>
      </c>
      <c r="S577" t="s">
        <v>62</v>
      </c>
      <c r="T577" s="11" t="str">
        <f>HYPERLINK("http://www.env.gov.bc.ca/esd/distdata/ecosystems/TEI_Scanned_Maps/C04/C04-2036","http://www.env.gov.bc.ca/esd/distdata/ecosystems/TEI_Scanned_Maps/C04/C04-2036")</f>
        <v>http://www.env.gov.bc.ca/esd/distdata/ecosystems/TEI_Scanned_Maps/C04/C04-2036</v>
      </c>
      <c r="U577" t="s">
        <v>58</v>
      </c>
      <c r="V577" t="s">
        <v>58</v>
      </c>
      <c r="W577" t="s">
        <v>58</v>
      </c>
      <c r="X577" t="s">
        <v>58</v>
      </c>
      <c r="Y577" t="s">
        <v>58</v>
      </c>
      <c r="Z577" t="s">
        <v>58</v>
      </c>
      <c r="AA577" t="s">
        <v>58</v>
      </c>
      <c r="AC577" t="s">
        <v>58</v>
      </c>
      <c r="AE577" t="s">
        <v>58</v>
      </c>
      <c r="AG577" t="s">
        <v>63</v>
      </c>
      <c r="AH577" s="11" t="str">
        <f t="shared" si="11"/>
        <v>mailto: soilterrain@victoria1.gov.bc.ca</v>
      </c>
    </row>
    <row r="578" spans="1:34">
      <c r="A578" t="s">
        <v>1410</v>
      </c>
      <c r="B578" t="s">
        <v>56</v>
      </c>
      <c r="C578" s="10" t="s">
        <v>1411</v>
      </c>
      <c r="D578" t="s">
        <v>58</v>
      </c>
      <c r="E578" t="s">
        <v>497</v>
      </c>
      <c r="F578" t="s">
        <v>502</v>
      </c>
      <c r="G578">
        <v>50000</v>
      </c>
      <c r="H578">
        <v>1956</v>
      </c>
      <c r="I578" t="s">
        <v>58</v>
      </c>
      <c r="J578" t="s">
        <v>58</v>
      </c>
      <c r="K578" t="s">
        <v>58</v>
      </c>
      <c r="L578" t="s">
        <v>58</v>
      </c>
      <c r="M578" t="s">
        <v>58</v>
      </c>
      <c r="N578" t="s">
        <v>61</v>
      </c>
      <c r="Q578" t="s">
        <v>58</v>
      </c>
      <c r="R578" s="11" t="str">
        <f>HYPERLINK("\\imagefiles.bcgov\imagery\scanned_maps\moe_terrain_maps\Scanned_T_maps_all\C04\C04-5060","\\imagefiles.bcgov\imagery\scanned_maps\moe_terrain_maps\Scanned_T_maps_all\C04\C04-5060")</f>
        <v>\\imagefiles.bcgov\imagery\scanned_maps\moe_terrain_maps\Scanned_T_maps_all\C04\C04-5060</v>
      </c>
      <c r="S578" t="s">
        <v>62</v>
      </c>
      <c r="T578" s="11" t="str">
        <f>HYPERLINK("http://www.env.gov.bc.ca/esd/distdata/ecosystems/TEI_Scanned_Maps/C04/C04-5060","http://www.env.gov.bc.ca/esd/distdata/ecosystems/TEI_Scanned_Maps/C04/C04-5060")</f>
        <v>http://www.env.gov.bc.ca/esd/distdata/ecosystems/TEI_Scanned_Maps/C04/C04-5060</v>
      </c>
      <c r="U578" t="s">
        <v>58</v>
      </c>
      <c r="V578" t="s">
        <v>58</v>
      </c>
      <c r="W578" t="s">
        <v>58</v>
      </c>
      <c r="X578" t="s">
        <v>58</v>
      </c>
      <c r="Y578" t="s">
        <v>58</v>
      </c>
      <c r="Z578" t="s">
        <v>58</v>
      </c>
      <c r="AA578" t="s">
        <v>58</v>
      </c>
      <c r="AC578" t="s">
        <v>58</v>
      </c>
      <c r="AE578" t="s">
        <v>58</v>
      </c>
      <c r="AG578" t="s">
        <v>63</v>
      </c>
      <c r="AH578" s="11" t="str">
        <f t="shared" ref="AH578:AH641" si="12">HYPERLINK("mailto: soilterrain@victoria1.gov.bc.ca","mailto: soilterrain@victoria1.gov.bc.ca")</f>
        <v>mailto: soilterrain@victoria1.gov.bc.ca</v>
      </c>
    </row>
    <row r="579" spans="1:34">
      <c r="A579" t="s">
        <v>1412</v>
      </c>
      <c r="B579" t="s">
        <v>56</v>
      </c>
      <c r="C579" s="10" t="s">
        <v>1413</v>
      </c>
      <c r="D579" t="s">
        <v>58</v>
      </c>
      <c r="E579" t="s">
        <v>497</v>
      </c>
      <c r="F579" t="s">
        <v>502</v>
      </c>
      <c r="G579">
        <v>50000</v>
      </c>
      <c r="H579">
        <v>1956</v>
      </c>
      <c r="I579" t="s">
        <v>58</v>
      </c>
      <c r="J579" t="s">
        <v>58</v>
      </c>
      <c r="K579" t="s">
        <v>58</v>
      </c>
      <c r="L579" t="s">
        <v>58</v>
      </c>
      <c r="M579" t="s">
        <v>58</v>
      </c>
      <c r="N579" t="s">
        <v>61</v>
      </c>
      <c r="Q579" t="s">
        <v>58</v>
      </c>
      <c r="R579" s="11" t="str">
        <f>HYPERLINK("\\imagefiles.bcgov\imagery\scanned_maps\moe_terrain_maps\Scanned_T_maps_all\C04\C04-5061","\\imagefiles.bcgov\imagery\scanned_maps\moe_terrain_maps\Scanned_T_maps_all\C04\C04-5061")</f>
        <v>\\imagefiles.bcgov\imagery\scanned_maps\moe_terrain_maps\Scanned_T_maps_all\C04\C04-5061</v>
      </c>
      <c r="S579" t="s">
        <v>62</v>
      </c>
      <c r="T579" s="11" t="str">
        <f>HYPERLINK("http://www.env.gov.bc.ca/esd/distdata/ecosystems/TEI_Scanned_Maps/C04/C04-5061","http://www.env.gov.bc.ca/esd/distdata/ecosystems/TEI_Scanned_Maps/C04/C04-5061")</f>
        <v>http://www.env.gov.bc.ca/esd/distdata/ecosystems/TEI_Scanned_Maps/C04/C04-5061</v>
      </c>
      <c r="U579" t="s">
        <v>58</v>
      </c>
      <c r="V579" t="s">
        <v>58</v>
      </c>
      <c r="W579" t="s">
        <v>58</v>
      </c>
      <c r="X579" t="s">
        <v>58</v>
      </c>
      <c r="Y579" t="s">
        <v>58</v>
      </c>
      <c r="Z579" t="s">
        <v>58</v>
      </c>
      <c r="AA579" t="s">
        <v>58</v>
      </c>
      <c r="AC579" t="s">
        <v>58</v>
      </c>
      <c r="AE579" t="s">
        <v>58</v>
      </c>
      <c r="AG579" t="s">
        <v>63</v>
      </c>
      <c r="AH579" s="11" t="str">
        <f t="shared" si="12"/>
        <v>mailto: soilterrain@victoria1.gov.bc.ca</v>
      </c>
    </row>
    <row r="580" spans="1:34">
      <c r="A580" t="s">
        <v>1414</v>
      </c>
      <c r="B580" t="s">
        <v>56</v>
      </c>
      <c r="C580" s="10" t="s">
        <v>1415</v>
      </c>
      <c r="D580" t="s">
        <v>58</v>
      </c>
      <c r="E580" t="s">
        <v>497</v>
      </c>
      <c r="F580" t="s">
        <v>502</v>
      </c>
      <c r="G580">
        <v>50000</v>
      </c>
      <c r="H580">
        <v>1956</v>
      </c>
      <c r="I580" t="s">
        <v>58</v>
      </c>
      <c r="J580" t="s">
        <v>58</v>
      </c>
      <c r="K580" t="s">
        <v>58</v>
      </c>
      <c r="L580" t="s">
        <v>58</v>
      </c>
      <c r="M580" t="s">
        <v>58</v>
      </c>
      <c r="N580" t="s">
        <v>61</v>
      </c>
      <c r="Q580" t="s">
        <v>58</v>
      </c>
      <c r="R580" s="11" t="str">
        <f>HYPERLINK("\\imagefiles.bcgov\imagery\scanned_maps\moe_terrain_maps\Scanned_T_maps_all\C04\C04-5062","\\imagefiles.bcgov\imagery\scanned_maps\moe_terrain_maps\Scanned_T_maps_all\C04\C04-5062")</f>
        <v>\\imagefiles.bcgov\imagery\scanned_maps\moe_terrain_maps\Scanned_T_maps_all\C04\C04-5062</v>
      </c>
      <c r="S580" t="s">
        <v>62</v>
      </c>
      <c r="T580" s="11" t="str">
        <f>HYPERLINK("http://www.env.gov.bc.ca/esd/distdata/ecosystems/TEI_Scanned_Maps/C04/C04-5062","http://www.env.gov.bc.ca/esd/distdata/ecosystems/TEI_Scanned_Maps/C04/C04-5062")</f>
        <v>http://www.env.gov.bc.ca/esd/distdata/ecosystems/TEI_Scanned_Maps/C04/C04-5062</v>
      </c>
      <c r="U580" t="s">
        <v>58</v>
      </c>
      <c r="V580" t="s">
        <v>58</v>
      </c>
      <c r="W580" t="s">
        <v>58</v>
      </c>
      <c r="X580" t="s">
        <v>58</v>
      </c>
      <c r="Y580" t="s">
        <v>58</v>
      </c>
      <c r="Z580" t="s">
        <v>58</v>
      </c>
      <c r="AA580" t="s">
        <v>58</v>
      </c>
      <c r="AC580" t="s">
        <v>58</v>
      </c>
      <c r="AE580" t="s">
        <v>58</v>
      </c>
      <c r="AG580" t="s">
        <v>63</v>
      </c>
      <c r="AH580" s="11" t="str">
        <f t="shared" si="12"/>
        <v>mailto: soilterrain@victoria1.gov.bc.ca</v>
      </c>
    </row>
    <row r="581" spans="1:34">
      <c r="A581" t="s">
        <v>1416</v>
      </c>
      <c r="B581" t="s">
        <v>56</v>
      </c>
      <c r="C581" s="10" t="s">
        <v>1417</v>
      </c>
      <c r="D581" t="s">
        <v>58</v>
      </c>
      <c r="E581" t="s">
        <v>497</v>
      </c>
      <c r="F581" t="s">
        <v>502</v>
      </c>
      <c r="G581">
        <v>50000</v>
      </c>
      <c r="H581">
        <v>1956</v>
      </c>
      <c r="I581" t="s">
        <v>58</v>
      </c>
      <c r="J581" t="s">
        <v>58</v>
      </c>
      <c r="K581" t="s">
        <v>58</v>
      </c>
      <c r="L581" t="s">
        <v>58</v>
      </c>
      <c r="M581" t="s">
        <v>58</v>
      </c>
      <c r="N581" t="s">
        <v>61</v>
      </c>
      <c r="Q581" t="s">
        <v>58</v>
      </c>
      <c r="R581" s="11" t="str">
        <f>HYPERLINK("\\imagefiles.bcgov\imagery\scanned_maps\moe_terrain_maps\Scanned_T_maps_all\C04\C04-5063","\\imagefiles.bcgov\imagery\scanned_maps\moe_terrain_maps\Scanned_T_maps_all\C04\C04-5063")</f>
        <v>\\imagefiles.bcgov\imagery\scanned_maps\moe_terrain_maps\Scanned_T_maps_all\C04\C04-5063</v>
      </c>
      <c r="S581" t="s">
        <v>62</v>
      </c>
      <c r="T581" s="11" t="str">
        <f>HYPERLINK("http://www.env.gov.bc.ca/esd/distdata/ecosystems/TEI_Scanned_Maps/C04/C04-5063","http://www.env.gov.bc.ca/esd/distdata/ecosystems/TEI_Scanned_Maps/C04/C04-5063")</f>
        <v>http://www.env.gov.bc.ca/esd/distdata/ecosystems/TEI_Scanned_Maps/C04/C04-5063</v>
      </c>
      <c r="U581" t="s">
        <v>58</v>
      </c>
      <c r="V581" t="s">
        <v>58</v>
      </c>
      <c r="W581" t="s">
        <v>58</v>
      </c>
      <c r="X581" t="s">
        <v>58</v>
      </c>
      <c r="Y581" t="s">
        <v>58</v>
      </c>
      <c r="Z581" t="s">
        <v>58</v>
      </c>
      <c r="AA581" t="s">
        <v>58</v>
      </c>
      <c r="AC581" t="s">
        <v>58</v>
      </c>
      <c r="AE581" t="s">
        <v>58</v>
      </c>
      <c r="AG581" t="s">
        <v>63</v>
      </c>
      <c r="AH581" s="11" t="str">
        <f t="shared" si="12"/>
        <v>mailto: soilterrain@victoria1.gov.bc.ca</v>
      </c>
    </row>
    <row r="582" spans="1:34">
      <c r="A582" t="s">
        <v>1418</v>
      </c>
      <c r="B582" t="s">
        <v>56</v>
      </c>
      <c r="C582" s="10" t="s">
        <v>1419</v>
      </c>
      <c r="D582" t="s">
        <v>58</v>
      </c>
      <c r="E582" t="s">
        <v>497</v>
      </c>
      <c r="F582" t="s">
        <v>502</v>
      </c>
      <c r="G582">
        <v>50000</v>
      </c>
      <c r="H582">
        <v>1956</v>
      </c>
      <c r="I582" t="s">
        <v>58</v>
      </c>
      <c r="J582" t="s">
        <v>58</v>
      </c>
      <c r="K582" t="s">
        <v>58</v>
      </c>
      <c r="L582" t="s">
        <v>58</v>
      </c>
      <c r="M582" t="s">
        <v>58</v>
      </c>
      <c r="N582" t="s">
        <v>61</v>
      </c>
      <c r="Q582" t="s">
        <v>58</v>
      </c>
      <c r="R582" s="11" t="str">
        <f>HYPERLINK("\\imagefiles.bcgov\imagery\scanned_maps\moe_terrain_maps\Scanned_T_maps_all\C04\C04-5064","\\imagefiles.bcgov\imagery\scanned_maps\moe_terrain_maps\Scanned_T_maps_all\C04\C04-5064")</f>
        <v>\\imagefiles.bcgov\imagery\scanned_maps\moe_terrain_maps\Scanned_T_maps_all\C04\C04-5064</v>
      </c>
      <c r="S582" t="s">
        <v>62</v>
      </c>
      <c r="T582" s="11" t="str">
        <f>HYPERLINK("http://www.env.gov.bc.ca/esd/distdata/ecosystems/TEI_Scanned_Maps/C04/C04-5064","http://www.env.gov.bc.ca/esd/distdata/ecosystems/TEI_Scanned_Maps/C04/C04-5064")</f>
        <v>http://www.env.gov.bc.ca/esd/distdata/ecosystems/TEI_Scanned_Maps/C04/C04-5064</v>
      </c>
      <c r="U582" t="s">
        <v>58</v>
      </c>
      <c r="V582" t="s">
        <v>58</v>
      </c>
      <c r="W582" t="s">
        <v>58</v>
      </c>
      <c r="X582" t="s">
        <v>58</v>
      </c>
      <c r="Y582" t="s">
        <v>58</v>
      </c>
      <c r="Z582" t="s">
        <v>58</v>
      </c>
      <c r="AA582" t="s">
        <v>58</v>
      </c>
      <c r="AC582" t="s">
        <v>58</v>
      </c>
      <c r="AE582" t="s">
        <v>58</v>
      </c>
      <c r="AG582" t="s">
        <v>63</v>
      </c>
      <c r="AH582" s="11" t="str">
        <f t="shared" si="12"/>
        <v>mailto: soilterrain@victoria1.gov.bc.ca</v>
      </c>
    </row>
    <row r="583" spans="1:34">
      <c r="A583" t="s">
        <v>1420</v>
      </c>
      <c r="B583" t="s">
        <v>56</v>
      </c>
      <c r="C583" s="10" t="s">
        <v>1421</v>
      </c>
      <c r="D583" t="s">
        <v>58</v>
      </c>
      <c r="E583" t="s">
        <v>497</v>
      </c>
      <c r="F583" t="s">
        <v>502</v>
      </c>
      <c r="G583">
        <v>50000</v>
      </c>
      <c r="H583">
        <v>1956</v>
      </c>
      <c r="I583" t="s">
        <v>58</v>
      </c>
      <c r="J583" t="s">
        <v>58</v>
      </c>
      <c r="K583" t="s">
        <v>58</v>
      </c>
      <c r="L583" t="s">
        <v>58</v>
      </c>
      <c r="M583" t="s">
        <v>58</v>
      </c>
      <c r="N583" t="s">
        <v>61</v>
      </c>
      <c r="Q583" t="s">
        <v>58</v>
      </c>
      <c r="R583" s="11" t="str">
        <f>HYPERLINK("\\imagefiles.bcgov\imagery\scanned_maps\moe_terrain_maps\Scanned_T_maps_all\C04\C04-5065","\\imagefiles.bcgov\imagery\scanned_maps\moe_terrain_maps\Scanned_T_maps_all\C04\C04-5065")</f>
        <v>\\imagefiles.bcgov\imagery\scanned_maps\moe_terrain_maps\Scanned_T_maps_all\C04\C04-5065</v>
      </c>
      <c r="S583" t="s">
        <v>62</v>
      </c>
      <c r="T583" s="11" t="str">
        <f>HYPERLINK("http://www.env.gov.bc.ca/esd/distdata/ecosystems/TEI_Scanned_Maps/C04/C04-5065","http://www.env.gov.bc.ca/esd/distdata/ecosystems/TEI_Scanned_Maps/C04/C04-5065")</f>
        <v>http://www.env.gov.bc.ca/esd/distdata/ecosystems/TEI_Scanned_Maps/C04/C04-5065</v>
      </c>
      <c r="U583" t="s">
        <v>58</v>
      </c>
      <c r="V583" t="s">
        <v>58</v>
      </c>
      <c r="W583" t="s">
        <v>58</v>
      </c>
      <c r="X583" t="s">
        <v>58</v>
      </c>
      <c r="Y583" t="s">
        <v>58</v>
      </c>
      <c r="Z583" t="s">
        <v>58</v>
      </c>
      <c r="AA583" t="s">
        <v>58</v>
      </c>
      <c r="AC583" t="s">
        <v>58</v>
      </c>
      <c r="AE583" t="s">
        <v>58</v>
      </c>
      <c r="AG583" t="s">
        <v>63</v>
      </c>
      <c r="AH583" s="11" t="str">
        <f t="shared" si="12"/>
        <v>mailto: soilterrain@victoria1.gov.bc.ca</v>
      </c>
    </row>
    <row r="584" spans="1:34">
      <c r="A584" t="s">
        <v>1422</v>
      </c>
      <c r="B584" t="s">
        <v>56</v>
      </c>
      <c r="C584" s="10" t="s">
        <v>1423</v>
      </c>
      <c r="D584" t="s">
        <v>58</v>
      </c>
      <c r="E584" t="s">
        <v>497</v>
      </c>
      <c r="F584" t="s">
        <v>502</v>
      </c>
      <c r="G584">
        <v>50000</v>
      </c>
      <c r="H584">
        <v>1956</v>
      </c>
      <c r="I584" t="s">
        <v>58</v>
      </c>
      <c r="J584" t="s">
        <v>58</v>
      </c>
      <c r="K584" t="s">
        <v>58</v>
      </c>
      <c r="L584" t="s">
        <v>58</v>
      </c>
      <c r="M584" t="s">
        <v>58</v>
      </c>
      <c r="N584" t="s">
        <v>61</v>
      </c>
      <c r="Q584" t="s">
        <v>58</v>
      </c>
      <c r="R584" s="11" t="str">
        <f>HYPERLINK("\\imagefiles.bcgov\imagery\scanned_maps\moe_terrain_maps\Scanned_T_maps_all\C04\C04-5066","\\imagefiles.bcgov\imagery\scanned_maps\moe_terrain_maps\Scanned_T_maps_all\C04\C04-5066")</f>
        <v>\\imagefiles.bcgov\imagery\scanned_maps\moe_terrain_maps\Scanned_T_maps_all\C04\C04-5066</v>
      </c>
      <c r="S584" t="s">
        <v>62</v>
      </c>
      <c r="T584" s="11" t="str">
        <f>HYPERLINK("http://www.env.gov.bc.ca/esd/distdata/ecosystems/TEI_Scanned_Maps/C04/C04-5066","http://www.env.gov.bc.ca/esd/distdata/ecosystems/TEI_Scanned_Maps/C04/C04-5066")</f>
        <v>http://www.env.gov.bc.ca/esd/distdata/ecosystems/TEI_Scanned_Maps/C04/C04-5066</v>
      </c>
      <c r="U584" t="s">
        <v>58</v>
      </c>
      <c r="V584" t="s">
        <v>58</v>
      </c>
      <c r="W584" t="s">
        <v>58</v>
      </c>
      <c r="X584" t="s">
        <v>58</v>
      </c>
      <c r="Y584" t="s">
        <v>58</v>
      </c>
      <c r="Z584" t="s">
        <v>58</v>
      </c>
      <c r="AA584" t="s">
        <v>58</v>
      </c>
      <c r="AC584" t="s">
        <v>58</v>
      </c>
      <c r="AE584" t="s">
        <v>58</v>
      </c>
      <c r="AG584" t="s">
        <v>63</v>
      </c>
      <c r="AH584" s="11" t="str">
        <f t="shared" si="12"/>
        <v>mailto: soilterrain@victoria1.gov.bc.ca</v>
      </c>
    </row>
    <row r="585" spans="1:34">
      <c r="A585" t="s">
        <v>1424</v>
      </c>
      <c r="B585" t="s">
        <v>56</v>
      </c>
      <c r="C585" s="10" t="s">
        <v>1425</v>
      </c>
      <c r="D585" t="s">
        <v>58</v>
      </c>
      <c r="E585" t="s">
        <v>497</v>
      </c>
      <c r="F585" t="s">
        <v>502</v>
      </c>
      <c r="G585">
        <v>50000</v>
      </c>
      <c r="H585">
        <v>1956</v>
      </c>
      <c r="I585" t="s">
        <v>58</v>
      </c>
      <c r="J585" t="s">
        <v>58</v>
      </c>
      <c r="K585" t="s">
        <v>58</v>
      </c>
      <c r="L585" t="s">
        <v>58</v>
      </c>
      <c r="M585" t="s">
        <v>58</v>
      </c>
      <c r="N585" t="s">
        <v>61</v>
      </c>
      <c r="Q585" t="s">
        <v>58</v>
      </c>
      <c r="R585" s="11" t="str">
        <f>HYPERLINK("\\imagefiles.bcgov\imagery\scanned_maps\moe_terrain_maps\Scanned_T_maps_all\C04\C04-5067","\\imagefiles.bcgov\imagery\scanned_maps\moe_terrain_maps\Scanned_T_maps_all\C04\C04-5067")</f>
        <v>\\imagefiles.bcgov\imagery\scanned_maps\moe_terrain_maps\Scanned_T_maps_all\C04\C04-5067</v>
      </c>
      <c r="S585" t="s">
        <v>62</v>
      </c>
      <c r="T585" s="11" t="str">
        <f>HYPERLINK("http://www.env.gov.bc.ca/esd/distdata/ecosystems/TEI_Scanned_Maps/C04/C04-5067","http://www.env.gov.bc.ca/esd/distdata/ecosystems/TEI_Scanned_Maps/C04/C04-5067")</f>
        <v>http://www.env.gov.bc.ca/esd/distdata/ecosystems/TEI_Scanned_Maps/C04/C04-5067</v>
      </c>
      <c r="U585" t="s">
        <v>58</v>
      </c>
      <c r="V585" t="s">
        <v>58</v>
      </c>
      <c r="W585" t="s">
        <v>58</v>
      </c>
      <c r="X585" t="s">
        <v>58</v>
      </c>
      <c r="Y585" t="s">
        <v>58</v>
      </c>
      <c r="Z585" t="s">
        <v>58</v>
      </c>
      <c r="AA585" t="s">
        <v>58</v>
      </c>
      <c r="AC585" t="s">
        <v>58</v>
      </c>
      <c r="AE585" t="s">
        <v>58</v>
      </c>
      <c r="AG585" t="s">
        <v>63</v>
      </c>
      <c r="AH585" s="11" t="str">
        <f t="shared" si="12"/>
        <v>mailto: soilterrain@victoria1.gov.bc.ca</v>
      </c>
    </row>
    <row r="586" spans="1:34">
      <c r="A586" t="s">
        <v>1426</v>
      </c>
      <c r="B586" t="s">
        <v>56</v>
      </c>
      <c r="C586" s="10" t="s">
        <v>1427</v>
      </c>
      <c r="D586" t="s">
        <v>58</v>
      </c>
      <c r="E586" t="s">
        <v>497</v>
      </c>
      <c r="F586" t="s">
        <v>1428</v>
      </c>
      <c r="G586">
        <v>50000</v>
      </c>
      <c r="H586" t="s">
        <v>187</v>
      </c>
      <c r="I586" t="s">
        <v>58</v>
      </c>
      <c r="J586" t="s">
        <v>58</v>
      </c>
      <c r="K586" t="s">
        <v>58</v>
      </c>
      <c r="L586" t="s">
        <v>58</v>
      </c>
      <c r="M586" t="s">
        <v>58</v>
      </c>
      <c r="N586" t="s">
        <v>61</v>
      </c>
      <c r="Q586" t="s">
        <v>58</v>
      </c>
      <c r="R586" s="11" t="str">
        <f>HYPERLINK("\\imagefiles.bcgov\imagery\scanned_maps\moe_terrain_maps\Scanned_T_maps_all\C05\C05-2093","\\imagefiles.bcgov\imagery\scanned_maps\moe_terrain_maps\Scanned_T_maps_all\C05\C05-2093")</f>
        <v>\\imagefiles.bcgov\imagery\scanned_maps\moe_terrain_maps\Scanned_T_maps_all\C05\C05-2093</v>
      </c>
      <c r="S586" t="s">
        <v>62</v>
      </c>
      <c r="T586" s="11" t="str">
        <f>HYPERLINK("http://www.env.gov.bc.ca/esd/distdata/ecosystems/TEI_Scanned_Maps/C05/C05-2093","http://www.env.gov.bc.ca/esd/distdata/ecosystems/TEI_Scanned_Maps/C05/C05-2093")</f>
        <v>http://www.env.gov.bc.ca/esd/distdata/ecosystems/TEI_Scanned_Maps/C05/C05-2093</v>
      </c>
      <c r="U586" t="s">
        <v>58</v>
      </c>
      <c r="V586" t="s">
        <v>58</v>
      </c>
      <c r="W586" t="s">
        <v>58</v>
      </c>
      <c r="X586" t="s">
        <v>58</v>
      </c>
      <c r="Y586" t="s">
        <v>58</v>
      </c>
      <c r="Z586" t="s">
        <v>58</v>
      </c>
      <c r="AA586" t="s">
        <v>58</v>
      </c>
      <c r="AC586" t="s">
        <v>58</v>
      </c>
      <c r="AE586" t="s">
        <v>58</v>
      </c>
      <c r="AG586" t="s">
        <v>63</v>
      </c>
      <c r="AH586" s="11" t="str">
        <f t="shared" si="12"/>
        <v>mailto: soilterrain@victoria1.gov.bc.ca</v>
      </c>
    </row>
    <row r="587" spans="1:34">
      <c r="A587" t="s">
        <v>1429</v>
      </c>
      <c r="B587" t="s">
        <v>56</v>
      </c>
      <c r="C587" s="10" t="s">
        <v>1430</v>
      </c>
      <c r="D587" t="s">
        <v>58</v>
      </c>
      <c r="E587" t="s">
        <v>497</v>
      </c>
      <c r="F587" t="s">
        <v>502</v>
      </c>
      <c r="G587">
        <v>50000</v>
      </c>
      <c r="H587">
        <v>1981</v>
      </c>
      <c r="I587" t="s">
        <v>58</v>
      </c>
      <c r="J587" t="s">
        <v>58</v>
      </c>
      <c r="K587" t="s">
        <v>58</v>
      </c>
      <c r="L587" t="s">
        <v>58</v>
      </c>
      <c r="M587" t="s">
        <v>58</v>
      </c>
      <c r="N587" t="s">
        <v>61</v>
      </c>
      <c r="Q587" t="s">
        <v>58</v>
      </c>
      <c r="R587" s="11" t="str">
        <f>HYPERLINK("\\imagefiles.bcgov\imagery\scanned_maps\moe_terrain_maps\Scanned_T_maps_all\C05\C05-2094","\\imagefiles.bcgov\imagery\scanned_maps\moe_terrain_maps\Scanned_T_maps_all\C05\C05-2094")</f>
        <v>\\imagefiles.bcgov\imagery\scanned_maps\moe_terrain_maps\Scanned_T_maps_all\C05\C05-2094</v>
      </c>
      <c r="S587" t="s">
        <v>62</v>
      </c>
      <c r="T587" s="11" t="str">
        <f>HYPERLINK("http://www.env.gov.bc.ca/esd/distdata/ecosystems/TEI_Scanned_Maps/C05/C05-2094","http://www.env.gov.bc.ca/esd/distdata/ecosystems/TEI_Scanned_Maps/C05/C05-2094")</f>
        <v>http://www.env.gov.bc.ca/esd/distdata/ecosystems/TEI_Scanned_Maps/C05/C05-2094</v>
      </c>
      <c r="U587" t="s">
        <v>58</v>
      </c>
      <c r="V587" t="s">
        <v>58</v>
      </c>
      <c r="W587" t="s">
        <v>58</v>
      </c>
      <c r="X587" t="s">
        <v>58</v>
      </c>
      <c r="Y587" t="s">
        <v>58</v>
      </c>
      <c r="Z587" t="s">
        <v>58</v>
      </c>
      <c r="AA587" t="s">
        <v>58</v>
      </c>
      <c r="AC587" t="s">
        <v>58</v>
      </c>
      <c r="AE587" t="s">
        <v>58</v>
      </c>
      <c r="AG587" t="s">
        <v>63</v>
      </c>
      <c r="AH587" s="11" t="str">
        <f t="shared" si="12"/>
        <v>mailto: soilterrain@victoria1.gov.bc.ca</v>
      </c>
    </row>
    <row r="588" spans="1:34">
      <c r="A588" t="s">
        <v>1431</v>
      </c>
      <c r="B588" t="s">
        <v>56</v>
      </c>
      <c r="C588" s="10" t="s">
        <v>1432</v>
      </c>
      <c r="D588" t="s">
        <v>58</v>
      </c>
      <c r="E588" t="s">
        <v>497</v>
      </c>
      <c r="F588" t="s">
        <v>502</v>
      </c>
      <c r="G588">
        <v>50000</v>
      </c>
      <c r="H588" t="s">
        <v>187</v>
      </c>
      <c r="I588" t="s">
        <v>58</v>
      </c>
      <c r="J588" t="s">
        <v>58</v>
      </c>
      <c r="K588" t="s">
        <v>58</v>
      </c>
      <c r="L588" t="s">
        <v>58</v>
      </c>
      <c r="M588" t="s">
        <v>58</v>
      </c>
      <c r="N588" t="s">
        <v>61</v>
      </c>
      <c r="Q588" t="s">
        <v>58</v>
      </c>
      <c r="R588" s="11" t="str">
        <f>HYPERLINK("\\imagefiles.bcgov\imagery\scanned_maps\moe_terrain_maps\Scanned_T_maps_all\C05\C05-2096","\\imagefiles.bcgov\imagery\scanned_maps\moe_terrain_maps\Scanned_T_maps_all\C05\C05-2096")</f>
        <v>\\imagefiles.bcgov\imagery\scanned_maps\moe_terrain_maps\Scanned_T_maps_all\C05\C05-2096</v>
      </c>
      <c r="S588" t="s">
        <v>62</v>
      </c>
      <c r="T588" s="11" t="str">
        <f>HYPERLINK("http://www.env.gov.bc.ca/esd/distdata/ecosystems/TEI_Scanned_Maps/C05/C05-2096","http://www.env.gov.bc.ca/esd/distdata/ecosystems/TEI_Scanned_Maps/C05/C05-2096")</f>
        <v>http://www.env.gov.bc.ca/esd/distdata/ecosystems/TEI_Scanned_Maps/C05/C05-2096</v>
      </c>
      <c r="U588" t="s">
        <v>58</v>
      </c>
      <c r="V588" t="s">
        <v>58</v>
      </c>
      <c r="W588" t="s">
        <v>58</v>
      </c>
      <c r="X588" t="s">
        <v>58</v>
      </c>
      <c r="Y588" t="s">
        <v>58</v>
      </c>
      <c r="Z588" t="s">
        <v>58</v>
      </c>
      <c r="AA588" t="s">
        <v>58</v>
      </c>
      <c r="AC588" t="s">
        <v>58</v>
      </c>
      <c r="AE588" t="s">
        <v>58</v>
      </c>
      <c r="AG588" t="s">
        <v>63</v>
      </c>
      <c r="AH588" s="11" t="str">
        <f t="shared" si="12"/>
        <v>mailto: soilterrain@victoria1.gov.bc.ca</v>
      </c>
    </row>
    <row r="589" spans="1:34">
      <c r="A589" t="s">
        <v>1433</v>
      </c>
      <c r="B589" t="s">
        <v>56</v>
      </c>
      <c r="C589" s="10" t="s">
        <v>1434</v>
      </c>
      <c r="D589" t="s">
        <v>58</v>
      </c>
      <c r="E589" t="s">
        <v>497</v>
      </c>
      <c r="F589" t="s">
        <v>502</v>
      </c>
      <c r="G589">
        <v>50000</v>
      </c>
      <c r="H589">
        <v>1986</v>
      </c>
      <c r="I589" t="s">
        <v>58</v>
      </c>
      <c r="J589" t="s">
        <v>58</v>
      </c>
      <c r="K589" t="s">
        <v>58</v>
      </c>
      <c r="L589" t="s">
        <v>58</v>
      </c>
      <c r="M589" t="s">
        <v>58</v>
      </c>
      <c r="N589" t="s">
        <v>61</v>
      </c>
      <c r="Q589" t="s">
        <v>58</v>
      </c>
      <c r="R589" s="11" t="str">
        <f>HYPERLINK("\\imagefiles.bcgov\imagery\scanned_maps\moe_terrain_maps\Scanned_T_maps_all\C05\C05-2098","\\imagefiles.bcgov\imagery\scanned_maps\moe_terrain_maps\Scanned_T_maps_all\C05\C05-2098")</f>
        <v>\\imagefiles.bcgov\imagery\scanned_maps\moe_terrain_maps\Scanned_T_maps_all\C05\C05-2098</v>
      </c>
      <c r="S589" t="s">
        <v>62</v>
      </c>
      <c r="T589" s="11" t="str">
        <f>HYPERLINK("http://www.env.gov.bc.ca/esd/distdata/ecosystems/TEI_Scanned_Maps/C05/C05-2098","http://www.env.gov.bc.ca/esd/distdata/ecosystems/TEI_Scanned_Maps/C05/C05-2098")</f>
        <v>http://www.env.gov.bc.ca/esd/distdata/ecosystems/TEI_Scanned_Maps/C05/C05-2098</v>
      </c>
      <c r="U589" t="s">
        <v>58</v>
      </c>
      <c r="V589" t="s">
        <v>58</v>
      </c>
      <c r="W589" t="s">
        <v>58</v>
      </c>
      <c r="X589" t="s">
        <v>58</v>
      </c>
      <c r="Y589" t="s">
        <v>58</v>
      </c>
      <c r="Z589" t="s">
        <v>58</v>
      </c>
      <c r="AA589" t="s">
        <v>58</v>
      </c>
      <c r="AC589" t="s">
        <v>58</v>
      </c>
      <c r="AE589" t="s">
        <v>58</v>
      </c>
      <c r="AG589" t="s">
        <v>63</v>
      </c>
      <c r="AH589" s="11" t="str">
        <f t="shared" si="12"/>
        <v>mailto: soilterrain@victoria1.gov.bc.ca</v>
      </c>
    </row>
    <row r="590" spans="1:34">
      <c r="A590" t="s">
        <v>1435</v>
      </c>
      <c r="B590" t="s">
        <v>56</v>
      </c>
      <c r="C590" s="10" t="s">
        <v>1436</v>
      </c>
      <c r="D590" t="s">
        <v>58</v>
      </c>
      <c r="E590" t="s">
        <v>497</v>
      </c>
      <c r="F590" t="s">
        <v>502</v>
      </c>
      <c r="G590">
        <v>50000</v>
      </c>
      <c r="H590">
        <v>1983</v>
      </c>
      <c r="I590" t="s">
        <v>58</v>
      </c>
      <c r="J590" t="s">
        <v>58</v>
      </c>
      <c r="K590" t="s">
        <v>58</v>
      </c>
      <c r="L590" t="s">
        <v>58</v>
      </c>
      <c r="M590" t="s">
        <v>58</v>
      </c>
      <c r="N590" t="s">
        <v>61</v>
      </c>
      <c r="Q590" t="s">
        <v>58</v>
      </c>
      <c r="R590" s="11" t="str">
        <f>HYPERLINK("\\imagefiles.bcgov\imagery\scanned_maps\moe_terrain_maps\Scanned_T_maps_all\C05\C05-2100","\\imagefiles.bcgov\imagery\scanned_maps\moe_terrain_maps\Scanned_T_maps_all\C05\C05-2100")</f>
        <v>\\imagefiles.bcgov\imagery\scanned_maps\moe_terrain_maps\Scanned_T_maps_all\C05\C05-2100</v>
      </c>
      <c r="S590" t="s">
        <v>62</v>
      </c>
      <c r="T590" s="11" t="str">
        <f>HYPERLINK("http://www.env.gov.bc.ca/esd/distdata/ecosystems/TEI_Scanned_Maps/C05/C05-2100","http://www.env.gov.bc.ca/esd/distdata/ecosystems/TEI_Scanned_Maps/C05/C05-2100")</f>
        <v>http://www.env.gov.bc.ca/esd/distdata/ecosystems/TEI_Scanned_Maps/C05/C05-2100</v>
      </c>
      <c r="U590" t="s">
        <v>58</v>
      </c>
      <c r="V590" t="s">
        <v>58</v>
      </c>
      <c r="W590" t="s">
        <v>58</v>
      </c>
      <c r="X590" t="s">
        <v>58</v>
      </c>
      <c r="Y590" t="s">
        <v>58</v>
      </c>
      <c r="Z590" t="s">
        <v>58</v>
      </c>
      <c r="AA590" t="s">
        <v>58</v>
      </c>
      <c r="AC590" t="s">
        <v>58</v>
      </c>
      <c r="AE590" t="s">
        <v>58</v>
      </c>
      <c r="AG590" t="s">
        <v>63</v>
      </c>
      <c r="AH590" s="11" t="str">
        <f t="shared" si="12"/>
        <v>mailto: soilterrain@victoria1.gov.bc.ca</v>
      </c>
    </row>
    <row r="591" spans="1:34">
      <c r="A591" t="s">
        <v>1437</v>
      </c>
      <c r="B591" t="s">
        <v>56</v>
      </c>
      <c r="C591" s="10" t="s">
        <v>1438</v>
      </c>
      <c r="D591" t="s">
        <v>58</v>
      </c>
      <c r="E591" t="s">
        <v>497</v>
      </c>
      <c r="F591" t="s">
        <v>502</v>
      </c>
      <c r="G591">
        <v>50000</v>
      </c>
      <c r="H591" t="s">
        <v>187</v>
      </c>
      <c r="I591" t="s">
        <v>58</v>
      </c>
      <c r="J591" t="s">
        <v>58</v>
      </c>
      <c r="K591" t="s">
        <v>58</v>
      </c>
      <c r="L591" t="s">
        <v>58</v>
      </c>
      <c r="M591" t="s">
        <v>58</v>
      </c>
      <c r="N591" t="s">
        <v>61</v>
      </c>
      <c r="Q591" t="s">
        <v>58</v>
      </c>
      <c r="R591" s="11" t="str">
        <f>HYPERLINK("\\imagefiles.bcgov\imagery\scanned_maps\moe_terrain_maps\Scanned_T_maps_all\C05\C05-2102","\\imagefiles.bcgov\imagery\scanned_maps\moe_terrain_maps\Scanned_T_maps_all\C05\C05-2102")</f>
        <v>\\imagefiles.bcgov\imagery\scanned_maps\moe_terrain_maps\Scanned_T_maps_all\C05\C05-2102</v>
      </c>
      <c r="S591" t="s">
        <v>62</v>
      </c>
      <c r="T591" s="11" t="str">
        <f>HYPERLINK("http://www.env.gov.bc.ca/esd/distdata/ecosystems/TEI_Scanned_Maps/C05/C05-2102","http://www.env.gov.bc.ca/esd/distdata/ecosystems/TEI_Scanned_Maps/C05/C05-2102")</f>
        <v>http://www.env.gov.bc.ca/esd/distdata/ecosystems/TEI_Scanned_Maps/C05/C05-2102</v>
      </c>
      <c r="U591" t="s">
        <v>58</v>
      </c>
      <c r="V591" t="s">
        <v>58</v>
      </c>
      <c r="W591" t="s">
        <v>58</v>
      </c>
      <c r="X591" t="s">
        <v>58</v>
      </c>
      <c r="Y591" t="s">
        <v>58</v>
      </c>
      <c r="Z591" t="s">
        <v>58</v>
      </c>
      <c r="AA591" t="s">
        <v>58</v>
      </c>
      <c r="AC591" t="s">
        <v>58</v>
      </c>
      <c r="AE591" t="s">
        <v>58</v>
      </c>
      <c r="AG591" t="s">
        <v>63</v>
      </c>
      <c r="AH591" s="11" t="str">
        <f t="shared" si="12"/>
        <v>mailto: soilterrain@victoria1.gov.bc.ca</v>
      </c>
    </row>
    <row r="592" spans="1:34">
      <c r="A592" t="s">
        <v>1439</v>
      </c>
      <c r="B592" t="s">
        <v>56</v>
      </c>
      <c r="C592" s="10" t="s">
        <v>1440</v>
      </c>
      <c r="D592" t="s">
        <v>58</v>
      </c>
      <c r="E592" t="s">
        <v>497</v>
      </c>
      <c r="F592" t="s">
        <v>502</v>
      </c>
      <c r="G592">
        <v>50000</v>
      </c>
      <c r="H592">
        <v>1986</v>
      </c>
      <c r="I592" t="s">
        <v>58</v>
      </c>
      <c r="J592" t="s">
        <v>58</v>
      </c>
      <c r="K592" t="s">
        <v>58</v>
      </c>
      <c r="L592" t="s">
        <v>58</v>
      </c>
      <c r="M592" t="s">
        <v>58</v>
      </c>
      <c r="N592" t="s">
        <v>61</v>
      </c>
      <c r="Q592" t="s">
        <v>58</v>
      </c>
      <c r="R592" s="11" t="str">
        <f>HYPERLINK("\\imagefiles.bcgov\imagery\scanned_maps\moe_terrain_maps\Scanned_T_maps_all\C05\C05-2104","\\imagefiles.bcgov\imagery\scanned_maps\moe_terrain_maps\Scanned_T_maps_all\C05\C05-2104")</f>
        <v>\\imagefiles.bcgov\imagery\scanned_maps\moe_terrain_maps\Scanned_T_maps_all\C05\C05-2104</v>
      </c>
      <c r="S592" t="s">
        <v>62</v>
      </c>
      <c r="T592" s="11" t="str">
        <f>HYPERLINK("http://www.env.gov.bc.ca/esd/distdata/ecosystems/TEI_Scanned_Maps/C05/C05-2104","http://www.env.gov.bc.ca/esd/distdata/ecosystems/TEI_Scanned_Maps/C05/C05-2104")</f>
        <v>http://www.env.gov.bc.ca/esd/distdata/ecosystems/TEI_Scanned_Maps/C05/C05-2104</v>
      </c>
      <c r="U592" t="s">
        <v>58</v>
      </c>
      <c r="V592" t="s">
        <v>58</v>
      </c>
      <c r="W592" t="s">
        <v>58</v>
      </c>
      <c r="X592" t="s">
        <v>58</v>
      </c>
      <c r="Y592" t="s">
        <v>58</v>
      </c>
      <c r="Z592" t="s">
        <v>58</v>
      </c>
      <c r="AA592" t="s">
        <v>58</v>
      </c>
      <c r="AC592" t="s">
        <v>58</v>
      </c>
      <c r="AE592" t="s">
        <v>58</v>
      </c>
      <c r="AG592" t="s">
        <v>63</v>
      </c>
      <c r="AH592" s="11" t="str">
        <f t="shared" si="12"/>
        <v>mailto: soilterrain@victoria1.gov.bc.ca</v>
      </c>
    </row>
    <row r="593" spans="1:34">
      <c r="A593" t="s">
        <v>1441</v>
      </c>
      <c r="B593" t="s">
        <v>56</v>
      </c>
      <c r="C593" s="10" t="s">
        <v>1442</v>
      </c>
      <c r="D593" t="s">
        <v>58</v>
      </c>
      <c r="E593" t="s">
        <v>497</v>
      </c>
      <c r="F593" t="s">
        <v>1428</v>
      </c>
      <c r="G593">
        <v>50000</v>
      </c>
      <c r="H593">
        <v>1983</v>
      </c>
      <c r="I593" t="s">
        <v>58</v>
      </c>
      <c r="J593" t="s">
        <v>58</v>
      </c>
      <c r="K593" t="s">
        <v>58</v>
      </c>
      <c r="L593" t="s">
        <v>58</v>
      </c>
      <c r="M593" t="s">
        <v>58</v>
      </c>
      <c r="N593" t="s">
        <v>61</v>
      </c>
      <c r="Q593" t="s">
        <v>58</v>
      </c>
      <c r="R593" s="11" t="str">
        <f>HYPERLINK("\\imagefiles.bcgov\imagery\scanned_maps\moe_terrain_maps\Scanned_T_maps_all\C05\C05-2107","\\imagefiles.bcgov\imagery\scanned_maps\moe_terrain_maps\Scanned_T_maps_all\C05\C05-2107")</f>
        <v>\\imagefiles.bcgov\imagery\scanned_maps\moe_terrain_maps\Scanned_T_maps_all\C05\C05-2107</v>
      </c>
      <c r="S593" t="s">
        <v>62</v>
      </c>
      <c r="T593" s="11" t="str">
        <f>HYPERLINK("http://www.env.gov.bc.ca/esd/distdata/ecosystems/TEI_Scanned_Maps/C05/C05-2107","http://www.env.gov.bc.ca/esd/distdata/ecosystems/TEI_Scanned_Maps/C05/C05-2107")</f>
        <v>http://www.env.gov.bc.ca/esd/distdata/ecosystems/TEI_Scanned_Maps/C05/C05-2107</v>
      </c>
      <c r="U593" t="s">
        <v>58</v>
      </c>
      <c r="V593" t="s">
        <v>58</v>
      </c>
      <c r="W593" t="s">
        <v>58</v>
      </c>
      <c r="X593" t="s">
        <v>58</v>
      </c>
      <c r="Y593" t="s">
        <v>58</v>
      </c>
      <c r="Z593" t="s">
        <v>58</v>
      </c>
      <c r="AA593" t="s">
        <v>58</v>
      </c>
      <c r="AC593" t="s">
        <v>58</v>
      </c>
      <c r="AE593" t="s">
        <v>58</v>
      </c>
      <c r="AG593" t="s">
        <v>63</v>
      </c>
      <c r="AH593" s="11" t="str">
        <f t="shared" si="12"/>
        <v>mailto: soilterrain@victoria1.gov.bc.ca</v>
      </c>
    </row>
    <row r="594" spans="1:34">
      <c r="A594" t="s">
        <v>1443</v>
      </c>
      <c r="B594" t="s">
        <v>56</v>
      </c>
      <c r="C594" s="10" t="s">
        <v>1444</v>
      </c>
      <c r="D594" t="s">
        <v>58</v>
      </c>
      <c r="E594" t="s">
        <v>497</v>
      </c>
      <c r="F594" t="s">
        <v>1139</v>
      </c>
      <c r="G594">
        <v>50000</v>
      </c>
      <c r="H594">
        <v>1986</v>
      </c>
      <c r="I594" t="s">
        <v>58</v>
      </c>
      <c r="J594" t="s">
        <v>58</v>
      </c>
      <c r="K594" t="s">
        <v>58</v>
      </c>
      <c r="L594" t="s">
        <v>58</v>
      </c>
      <c r="M594" t="s">
        <v>58</v>
      </c>
      <c r="N594" t="s">
        <v>61</v>
      </c>
      <c r="Q594" t="s">
        <v>58</v>
      </c>
      <c r="R594" s="11" t="str">
        <f>HYPERLINK("\\imagefiles.bcgov\imagery\scanned_maps\moe_terrain_maps\Scanned_T_maps_all\C05\C05-2139","\\imagefiles.bcgov\imagery\scanned_maps\moe_terrain_maps\Scanned_T_maps_all\C05\C05-2139")</f>
        <v>\\imagefiles.bcgov\imagery\scanned_maps\moe_terrain_maps\Scanned_T_maps_all\C05\C05-2139</v>
      </c>
      <c r="S594" t="s">
        <v>62</v>
      </c>
      <c r="T594" s="11" t="str">
        <f>HYPERLINK("http://www.env.gov.bc.ca/esd/distdata/ecosystems/TEI_Scanned_Maps/C05/C05-2139","http://www.env.gov.bc.ca/esd/distdata/ecosystems/TEI_Scanned_Maps/C05/C05-2139")</f>
        <v>http://www.env.gov.bc.ca/esd/distdata/ecosystems/TEI_Scanned_Maps/C05/C05-2139</v>
      </c>
      <c r="U594" t="s">
        <v>58</v>
      </c>
      <c r="V594" t="s">
        <v>58</v>
      </c>
      <c r="W594" t="s">
        <v>58</v>
      </c>
      <c r="X594" t="s">
        <v>58</v>
      </c>
      <c r="Y594" t="s">
        <v>58</v>
      </c>
      <c r="Z594" t="s">
        <v>58</v>
      </c>
      <c r="AA594" t="s">
        <v>58</v>
      </c>
      <c r="AC594" t="s">
        <v>58</v>
      </c>
      <c r="AE594" t="s">
        <v>58</v>
      </c>
      <c r="AG594" t="s">
        <v>63</v>
      </c>
      <c r="AH594" s="11" t="str">
        <f t="shared" si="12"/>
        <v>mailto: soilterrain@victoria1.gov.bc.ca</v>
      </c>
    </row>
    <row r="595" spans="1:34">
      <c r="A595" t="s">
        <v>1445</v>
      </c>
      <c r="B595" t="s">
        <v>56</v>
      </c>
      <c r="C595" s="10" t="s">
        <v>1446</v>
      </c>
      <c r="D595" t="s">
        <v>58</v>
      </c>
      <c r="E595" t="s">
        <v>497</v>
      </c>
      <c r="F595" t="s">
        <v>502</v>
      </c>
      <c r="G595">
        <v>50000</v>
      </c>
      <c r="H595">
        <v>1980</v>
      </c>
      <c r="I595" t="s">
        <v>58</v>
      </c>
      <c r="J595" t="s">
        <v>58</v>
      </c>
      <c r="K595" t="s">
        <v>58</v>
      </c>
      <c r="L595" t="s">
        <v>58</v>
      </c>
      <c r="M595" t="s">
        <v>58</v>
      </c>
      <c r="N595" t="s">
        <v>61</v>
      </c>
      <c r="Q595" t="s">
        <v>58</v>
      </c>
      <c r="R595" s="11" t="str">
        <f>HYPERLINK("\\imagefiles.bcgov\imagery\scanned_maps\moe_terrain_maps\Scanned_T_maps_all\C05\C05-2141","\\imagefiles.bcgov\imagery\scanned_maps\moe_terrain_maps\Scanned_T_maps_all\C05\C05-2141")</f>
        <v>\\imagefiles.bcgov\imagery\scanned_maps\moe_terrain_maps\Scanned_T_maps_all\C05\C05-2141</v>
      </c>
      <c r="S595" t="s">
        <v>62</v>
      </c>
      <c r="T595" s="11" t="str">
        <f>HYPERLINK("http://www.env.gov.bc.ca/esd/distdata/ecosystems/TEI_Scanned_Maps/C05/C05-2141","http://www.env.gov.bc.ca/esd/distdata/ecosystems/TEI_Scanned_Maps/C05/C05-2141")</f>
        <v>http://www.env.gov.bc.ca/esd/distdata/ecosystems/TEI_Scanned_Maps/C05/C05-2141</v>
      </c>
      <c r="U595" t="s">
        <v>58</v>
      </c>
      <c r="V595" t="s">
        <v>58</v>
      </c>
      <c r="W595" t="s">
        <v>58</v>
      </c>
      <c r="X595" t="s">
        <v>58</v>
      </c>
      <c r="Y595" t="s">
        <v>58</v>
      </c>
      <c r="Z595" t="s">
        <v>58</v>
      </c>
      <c r="AA595" t="s">
        <v>58</v>
      </c>
      <c r="AC595" t="s">
        <v>58</v>
      </c>
      <c r="AE595" t="s">
        <v>58</v>
      </c>
      <c r="AG595" t="s">
        <v>63</v>
      </c>
      <c r="AH595" s="11" t="str">
        <f t="shared" si="12"/>
        <v>mailto: soilterrain@victoria1.gov.bc.ca</v>
      </c>
    </row>
    <row r="596" spans="1:34">
      <c r="A596" t="s">
        <v>1447</v>
      </c>
      <c r="B596" t="s">
        <v>56</v>
      </c>
      <c r="C596" s="10" t="s">
        <v>1448</v>
      </c>
      <c r="D596" t="s">
        <v>58</v>
      </c>
      <c r="E596" t="s">
        <v>497</v>
      </c>
      <c r="F596" t="s">
        <v>502</v>
      </c>
      <c r="G596">
        <v>50000</v>
      </c>
      <c r="H596">
        <v>1986</v>
      </c>
      <c r="I596" t="s">
        <v>58</v>
      </c>
      <c r="J596" t="s">
        <v>58</v>
      </c>
      <c r="K596" t="s">
        <v>58</v>
      </c>
      <c r="L596" t="s">
        <v>58</v>
      </c>
      <c r="M596" t="s">
        <v>58</v>
      </c>
      <c r="N596" t="s">
        <v>61</v>
      </c>
      <c r="Q596" t="s">
        <v>58</v>
      </c>
      <c r="R596" s="11" t="str">
        <f>HYPERLINK("\\imagefiles.bcgov\imagery\scanned_maps\moe_terrain_maps\Scanned_T_maps_all\C05\C05-2143","\\imagefiles.bcgov\imagery\scanned_maps\moe_terrain_maps\Scanned_T_maps_all\C05\C05-2143")</f>
        <v>\\imagefiles.bcgov\imagery\scanned_maps\moe_terrain_maps\Scanned_T_maps_all\C05\C05-2143</v>
      </c>
      <c r="S596" t="s">
        <v>62</v>
      </c>
      <c r="T596" s="11" t="str">
        <f>HYPERLINK("http://www.env.gov.bc.ca/esd/distdata/ecosystems/TEI_Scanned_Maps/C05/C05-2143","http://www.env.gov.bc.ca/esd/distdata/ecosystems/TEI_Scanned_Maps/C05/C05-2143")</f>
        <v>http://www.env.gov.bc.ca/esd/distdata/ecosystems/TEI_Scanned_Maps/C05/C05-2143</v>
      </c>
      <c r="U596" t="s">
        <v>58</v>
      </c>
      <c r="V596" t="s">
        <v>58</v>
      </c>
      <c r="W596" t="s">
        <v>58</v>
      </c>
      <c r="X596" t="s">
        <v>58</v>
      </c>
      <c r="Y596" t="s">
        <v>58</v>
      </c>
      <c r="Z596" t="s">
        <v>58</v>
      </c>
      <c r="AA596" t="s">
        <v>58</v>
      </c>
      <c r="AC596" t="s">
        <v>58</v>
      </c>
      <c r="AE596" t="s">
        <v>58</v>
      </c>
      <c r="AG596" t="s">
        <v>63</v>
      </c>
      <c r="AH596" s="11" t="str">
        <f t="shared" si="12"/>
        <v>mailto: soilterrain@victoria1.gov.bc.ca</v>
      </c>
    </row>
    <row r="597" spans="1:34">
      <c r="A597" t="s">
        <v>1449</v>
      </c>
      <c r="B597" t="s">
        <v>56</v>
      </c>
      <c r="C597" s="10" t="s">
        <v>1450</v>
      </c>
      <c r="D597" t="s">
        <v>58</v>
      </c>
      <c r="E597" t="s">
        <v>497</v>
      </c>
      <c r="F597" t="s">
        <v>502</v>
      </c>
      <c r="G597">
        <v>50000</v>
      </c>
      <c r="H597" t="s">
        <v>187</v>
      </c>
      <c r="I597" t="s">
        <v>58</v>
      </c>
      <c r="J597" t="s">
        <v>58</v>
      </c>
      <c r="K597" t="s">
        <v>58</v>
      </c>
      <c r="L597" t="s">
        <v>58</v>
      </c>
      <c r="M597" t="s">
        <v>58</v>
      </c>
      <c r="N597" t="s">
        <v>61</v>
      </c>
      <c r="Q597" t="s">
        <v>58</v>
      </c>
      <c r="R597" s="11" t="str">
        <f>HYPERLINK("\\imagefiles.bcgov\imagery\scanned_maps\moe_terrain_maps\Scanned_T_maps_all\C05\C05-2145","\\imagefiles.bcgov\imagery\scanned_maps\moe_terrain_maps\Scanned_T_maps_all\C05\C05-2145")</f>
        <v>\\imagefiles.bcgov\imagery\scanned_maps\moe_terrain_maps\Scanned_T_maps_all\C05\C05-2145</v>
      </c>
      <c r="S597" t="s">
        <v>62</v>
      </c>
      <c r="T597" s="11" t="str">
        <f>HYPERLINK("http://www.env.gov.bc.ca/esd/distdata/ecosystems/TEI_Scanned_Maps/C05/C05-2145","http://www.env.gov.bc.ca/esd/distdata/ecosystems/TEI_Scanned_Maps/C05/C05-2145")</f>
        <v>http://www.env.gov.bc.ca/esd/distdata/ecosystems/TEI_Scanned_Maps/C05/C05-2145</v>
      </c>
      <c r="U597" t="s">
        <v>58</v>
      </c>
      <c r="V597" t="s">
        <v>58</v>
      </c>
      <c r="W597" t="s">
        <v>58</v>
      </c>
      <c r="X597" t="s">
        <v>58</v>
      </c>
      <c r="Y597" t="s">
        <v>58</v>
      </c>
      <c r="Z597" t="s">
        <v>58</v>
      </c>
      <c r="AA597" t="s">
        <v>58</v>
      </c>
      <c r="AC597" t="s">
        <v>58</v>
      </c>
      <c r="AE597" t="s">
        <v>58</v>
      </c>
      <c r="AG597" t="s">
        <v>63</v>
      </c>
      <c r="AH597" s="11" t="str">
        <f t="shared" si="12"/>
        <v>mailto: soilterrain@victoria1.gov.bc.ca</v>
      </c>
    </row>
    <row r="598" spans="1:34">
      <c r="A598" t="s">
        <v>1451</v>
      </c>
      <c r="B598" t="s">
        <v>56</v>
      </c>
      <c r="C598" s="10" t="s">
        <v>1452</v>
      </c>
      <c r="D598" t="s">
        <v>58</v>
      </c>
      <c r="E598" t="s">
        <v>497</v>
      </c>
      <c r="F598" t="s">
        <v>502</v>
      </c>
      <c r="G598">
        <v>50000</v>
      </c>
      <c r="H598">
        <v>1973</v>
      </c>
      <c r="I598" t="s">
        <v>58</v>
      </c>
      <c r="J598" t="s">
        <v>58</v>
      </c>
      <c r="K598" t="s">
        <v>58</v>
      </c>
      <c r="L598" t="s">
        <v>58</v>
      </c>
      <c r="M598" t="s">
        <v>58</v>
      </c>
      <c r="N598" t="s">
        <v>61</v>
      </c>
      <c r="Q598" t="s">
        <v>58</v>
      </c>
      <c r="R598" s="11" t="str">
        <f>HYPERLINK("\\imagefiles.bcgov\imagery\scanned_maps\moe_terrain_maps\Scanned_T_maps_all\C05\C05-2147","\\imagefiles.bcgov\imagery\scanned_maps\moe_terrain_maps\Scanned_T_maps_all\C05\C05-2147")</f>
        <v>\\imagefiles.bcgov\imagery\scanned_maps\moe_terrain_maps\Scanned_T_maps_all\C05\C05-2147</v>
      </c>
      <c r="S598" t="s">
        <v>62</v>
      </c>
      <c r="T598" s="11" t="str">
        <f>HYPERLINK("http://www.env.gov.bc.ca/esd/distdata/ecosystems/TEI_Scanned_Maps/C05/C05-2147","http://www.env.gov.bc.ca/esd/distdata/ecosystems/TEI_Scanned_Maps/C05/C05-2147")</f>
        <v>http://www.env.gov.bc.ca/esd/distdata/ecosystems/TEI_Scanned_Maps/C05/C05-2147</v>
      </c>
      <c r="U598" t="s">
        <v>58</v>
      </c>
      <c r="V598" t="s">
        <v>58</v>
      </c>
      <c r="W598" t="s">
        <v>58</v>
      </c>
      <c r="X598" t="s">
        <v>58</v>
      </c>
      <c r="Y598" t="s">
        <v>58</v>
      </c>
      <c r="Z598" t="s">
        <v>58</v>
      </c>
      <c r="AA598" t="s">
        <v>58</v>
      </c>
      <c r="AC598" t="s">
        <v>58</v>
      </c>
      <c r="AE598" t="s">
        <v>58</v>
      </c>
      <c r="AG598" t="s">
        <v>63</v>
      </c>
      <c r="AH598" s="11" t="str">
        <f t="shared" si="12"/>
        <v>mailto: soilterrain@victoria1.gov.bc.ca</v>
      </c>
    </row>
    <row r="599" spans="1:34">
      <c r="A599" t="s">
        <v>1453</v>
      </c>
      <c r="B599" t="s">
        <v>56</v>
      </c>
      <c r="C599" s="10" t="s">
        <v>1454</v>
      </c>
      <c r="D599" t="s">
        <v>58</v>
      </c>
      <c r="E599" t="s">
        <v>497</v>
      </c>
      <c r="F599" t="s">
        <v>1139</v>
      </c>
      <c r="G599">
        <v>50000</v>
      </c>
      <c r="H599">
        <v>1986</v>
      </c>
      <c r="I599" t="s">
        <v>58</v>
      </c>
      <c r="J599" t="s">
        <v>58</v>
      </c>
      <c r="K599" t="s">
        <v>58</v>
      </c>
      <c r="L599" t="s">
        <v>58</v>
      </c>
      <c r="M599" t="s">
        <v>58</v>
      </c>
      <c r="N599" t="s">
        <v>61</v>
      </c>
      <c r="Q599" t="s">
        <v>58</v>
      </c>
      <c r="R599" s="11" t="str">
        <f>HYPERLINK("\\imagefiles.bcgov\imagery\scanned_maps\moe_terrain_maps\Scanned_T_maps_all\C05\C05-2149","\\imagefiles.bcgov\imagery\scanned_maps\moe_terrain_maps\Scanned_T_maps_all\C05\C05-2149")</f>
        <v>\\imagefiles.bcgov\imagery\scanned_maps\moe_terrain_maps\Scanned_T_maps_all\C05\C05-2149</v>
      </c>
      <c r="S599" t="s">
        <v>62</v>
      </c>
      <c r="T599" s="11" t="str">
        <f>HYPERLINK("http://www.env.gov.bc.ca/esd/distdata/ecosystems/TEI_Scanned_Maps/C05/C05-2149","http://www.env.gov.bc.ca/esd/distdata/ecosystems/TEI_Scanned_Maps/C05/C05-2149")</f>
        <v>http://www.env.gov.bc.ca/esd/distdata/ecosystems/TEI_Scanned_Maps/C05/C05-2149</v>
      </c>
      <c r="U599" t="s">
        <v>58</v>
      </c>
      <c r="V599" t="s">
        <v>58</v>
      </c>
      <c r="W599" t="s">
        <v>58</v>
      </c>
      <c r="X599" t="s">
        <v>58</v>
      </c>
      <c r="Y599" t="s">
        <v>58</v>
      </c>
      <c r="Z599" t="s">
        <v>58</v>
      </c>
      <c r="AA599" t="s">
        <v>58</v>
      </c>
      <c r="AC599" t="s">
        <v>58</v>
      </c>
      <c r="AE599" t="s">
        <v>58</v>
      </c>
      <c r="AG599" t="s">
        <v>63</v>
      </c>
      <c r="AH599" s="11" t="str">
        <f t="shared" si="12"/>
        <v>mailto: soilterrain@victoria1.gov.bc.ca</v>
      </c>
    </row>
    <row r="600" spans="1:34">
      <c r="A600" t="s">
        <v>1455</v>
      </c>
      <c r="B600" t="s">
        <v>56</v>
      </c>
      <c r="C600" s="10" t="s">
        <v>1456</v>
      </c>
      <c r="D600" t="s">
        <v>58</v>
      </c>
      <c r="E600" t="s">
        <v>497</v>
      </c>
      <c r="F600" t="s">
        <v>1139</v>
      </c>
      <c r="G600">
        <v>50000</v>
      </c>
      <c r="H600" t="s">
        <v>187</v>
      </c>
      <c r="I600" t="s">
        <v>58</v>
      </c>
      <c r="J600" t="s">
        <v>58</v>
      </c>
      <c r="K600" t="s">
        <v>58</v>
      </c>
      <c r="L600" t="s">
        <v>58</v>
      </c>
      <c r="M600" t="s">
        <v>58</v>
      </c>
      <c r="N600" t="s">
        <v>61</v>
      </c>
      <c r="Q600" t="s">
        <v>58</v>
      </c>
      <c r="R600" s="11" t="str">
        <f>HYPERLINK("\\imagefiles.bcgov\imagery\scanned_maps\moe_terrain_maps\Scanned_T_maps_all\C05\C05-2151","\\imagefiles.bcgov\imagery\scanned_maps\moe_terrain_maps\Scanned_T_maps_all\C05\C05-2151")</f>
        <v>\\imagefiles.bcgov\imagery\scanned_maps\moe_terrain_maps\Scanned_T_maps_all\C05\C05-2151</v>
      </c>
      <c r="S600" t="s">
        <v>62</v>
      </c>
      <c r="T600" s="11" t="str">
        <f>HYPERLINK("http://www.env.gov.bc.ca/esd/distdata/ecosystems/TEI_Scanned_Maps/C05/C05-2151","http://www.env.gov.bc.ca/esd/distdata/ecosystems/TEI_Scanned_Maps/C05/C05-2151")</f>
        <v>http://www.env.gov.bc.ca/esd/distdata/ecosystems/TEI_Scanned_Maps/C05/C05-2151</v>
      </c>
      <c r="U600" t="s">
        <v>58</v>
      </c>
      <c r="V600" t="s">
        <v>58</v>
      </c>
      <c r="W600" t="s">
        <v>58</v>
      </c>
      <c r="X600" t="s">
        <v>58</v>
      </c>
      <c r="Y600" t="s">
        <v>58</v>
      </c>
      <c r="Z600" t="s">
        <v>58</v>
      </c>
      <c r="AA600" t="s">
        <v>58</v>
      </c>
      <c r="AC600" t="s">
        <v>58</v>
      </c>
      <c r="AE600" t="s">
        <v>58</v>
      </c>
      <c r="AG600" t="s">
        <v>63</v>
      </c>
      <c r="AH600" s="11" t="str">
        <f t="shared" si="12"/>
        <v>mailto: soilterrain@victoria1.gov.bc.ca</v>
      </c>
    </row>
    <row r="601" spans="1:34">
      <c r="A601" t="s">
        <v>1457</v>
      </c>
      <c r="B601" t="s">
        <v>56</v>
      </c>
      <c r="C601" s="10" t="s">
        <v>1458</v>
      </c>
      <c r="D601" t="s">
        <v>58</v>
      </c>
      <c r="E601" t="s">
        <v>497</v>
      </c>
      <c r="F601" t="s">
        <v>1459</v>
      </c>
      <c r="G601">
        <v>50000</v>
      </c>
      <c r="H601">
        <v>1973</v>
      </c>
      <c r="I601" t="s">
        <v>58</v>
      </c>
      <c r="J601" t="s">
        <v>58</v>
      </c>
      <c r="K601" t="s">
        <v>58</v>
      </c>
      <c r="L601" t="s">
        <v>58</v>
      </c>
      <c r="M601" t="s">
        <v>58</v>
      </c>
      <c r="N601" t="s">
        <v>61</v>
      </c>
      <c r="Q601" t="s">
        <v>58</v>
      </c>
      <c r="R601" s="11" t="str">
        <f>HYPERLINK("\\imagefiles.bcgov\imagery\scanned_maps\moe_terrain_maps\Scanned_T_maps_all\C05\C05-2153","\\imagefiles.bcgov\imagery\scanned_maps\moe_terrain_maps\Scanned_T_maps_all\C05\C05-2153")</f>
        <v>\\imagefiles.bcgov\imagery\scanned_maps\moe_terrain_maps\Scanned_T_maps_all\C05\C05-2153</v>
      </c>
      <c r="S601" t="s">
        <v>62</v>
      </c>
      <c r="T601" s="11" t="str">
        <f>HYPERLINK("http://www.env.gov.bc.ca/esd/distdata/ecosystems/TEI_Scanned_Maps/C05/C05-2153","http://www.env.gov.bc.ca/esd/distdata/ecosystems/TEI_Scanned_Maps/C05/C05-2153")</f>
        <v>http://www.env.gov.bc.ca/esd/distdata/ecosystems/TEI_Scanned_Maps/C05/C05-2153</v>
      </c>
      <c r="U601" t="s">
        <v>58</v>
      </c>
      <c r="V601" t="s">
        <v>58</v>
      </c>
      <c r="W601" t="s">
        <v>58</v>
      </c>
      <c r="X601" t="s">
        <v>58</v>
      </c>
      <c r="Y601" t="s">
        <v>58</v>
      </c>
      <c r="Z601" t="s">
        <v>58</v>
      </c>
      <c r="AA601" t="s">
        <v>58</v>
      </c>
      <c r="AC601" t="s">
        <v>58</v>
      </c>
      <c r="AE601" t="s">
        <v>58</v>
      </c>
      <c r="AG601" t="s">
        <v>63</v>
      </c>
      <c r="AH601" s="11" t="str">
        <f t="shared" si="12"/>
        <v>mailto: soilterrain@victoria1.gov.bc.ca</v>
      </c>
    </row>
    <row r="602" spans="1:34">
      <c r="A602" t="s">
        <v>1460</v>
      </c>
      <c r="B602" t="s">
        <v>56</v>
      </c>
      <c r="C602" s="10" t="s">
        <v>1458</v>
      </c>
      <c r="D602" t="s">
        <v>58</v>
      </c>
      <c r="E602" t="s">
        <v>497</v>
      </c>
      <c r="F602" t="s">
        <v>1461</v>
      </c>
      <c r="G602">
        <v>50000</v>
      </c>
      <c r="H602">
        <v>1986</v>
      </c>
      <c r="I602" t="s">
        <v>58</v>
      </c>
      <c r="J602" t="s">
        <v>58</v>
      </c>
      <c r="K602" t="s">
        <v>58</v>
      </c>
      <c r="L602" t="s">
        <v>58</v>
      </c>
      <c r="M602" t="s">
        <v>58</v>
      </c>
      <c r="N602" t="s">
        <v>61</v>
      </c>
      <c r="Q602" t="s">
        <v>58</v>
      </c>
      <c r="R602" s="11" t="str">
        <f>HYPERLINK("\\imagefiles.bcgov\imagery\scanned_maps\moe_terrain_maps\Scanned_T_maps_all\C05\C05-2154","\\imagefiles.bcgov\imagery\scanned_maps\moe_terrain_maps\Scanned_T_maps_all\C05\C05-2154")</f>
        <v>\\imagefiles.bcgov\imagery\scanned_maps\moe_terrain_maps\Scanned_T_maps_all\C05\C05-2154</v>
      </c>
      <c r="S602" t="s">
        <v>62</v>
      </c>
      <c r="T602" s="11" t="str">
        <f>HYPERLINK("http://www.env.gov.bc.ca/esd/distdata/ecosystems/TEI_Scanned_Maps/C05/C05-2154","http://www.env.gov.bc.ca/esd/distdata/ecosystems/TEI_Scanned_Maps/C05/C05-2154")</f>
        <v>http://www.env.gov.bc.ca/esd/distdata/ecosystems/TEI_Scanned_Maps/C05/C05-2154</v>
      </c>
      <c r="U602" t="s">
        <v>58</v>
      </c>
      <c r="V602" t="s">
        <v>58</v>
      </c>
      <c r="W602" t="s">
        <v>58</v>
      </c>
      <c r="X602" t="s">
        <v>58</v>
      </c>
      <c r="Y602" t="s">
        <v>58</v>
      </c>
      <c r="Z602" t="s">
        <v>58</v>
      </c>
      <c r="AA602" t="s">
        <v>58</v>
      </c>
      <c r="AC602" t="s">
        <v>58</v>
      </c>
      <c r="AE602" t="s">
        <v>58</v>
      </c>
      <c r="AG602" t="s">
        <v>63</v>
      </c>
      <c r="AH602" s="11" t="str">
        <f t="shared" si="12"/>
        <v>mailto: soilterrain@victoria1.gov.bc.ca</v>
      </c>
    </row>
    <row r="603" spans="1:34">
      <c r="A603" t="s">
        <v>1462</v>
      </c>
      <c r="B603" t="s">
        <v>56</v>
      </c>
      <c r="C603" s="10" t="s">
        <v>1463</v>
      </c>
      <c r="D603" t="s">
        <v>61</v>
      </c>
      <c r="E603" t="s">
        <v>497</v>
      </c>
      <c r="F603" t="s">
        <v>1459</v>
      </c>
      <c r="G603">
        <v>50000</v>
      </c>
      <c r="H603" t="s">
        <v>187</v>
      </c>
      <c r="I603" t="s">
        <v>58</v>
      </c>
      <c r="J603" t="s">
        <v>58</v>
      </c>
      <c r="K603" t="s">
        <v>58</v>
      </c>
      <c r="L603" t="s">
        <v>58</v>
      </c>
      <c r="M603" t="s">
        <v>58</v>
      </c>
      <c r="N603" t="s">
        <v>61</v>
      </c>
      <c r="Q603" t="s">
        <v>58</v>
      </c>
      <c r="R603" s="11" t="str">
        <f>HYPERLINK("\\imagefiles.bcgov\imagery\scanned_maps\moe_terrain_maps\Scanned_T_maps_all\C05\C05-2156","\\imagefiles.bcgov\imagery\scanned_maps\moe_terrain_maps\Scanned_T_maps_all\C05\C05-2156")</f>
        <v>\\imagefiles.bcgov\imagery\scanned_maps\moe_terrain_maps\Scanned_T_maps_all\C05\C05-2156</v>
      </c>
      <c r="S603" t="s">
        <v>62</v>
      </c>
      <c r="T603" s="11" t="str">
        <f>HYPERLINK("http://www.env.gov.bc.ca/esd/distdata/ecosystems/TEI_Scanned_Maps/C05/C05-2156","http://www.env.gov.bc.ca/esd/distdata/ecosystems/TEI_Scanned_Maps/C05/C05-2156")</f>
        <v>http://www.env.gov.bc.ca/esd/distdata/ecosystems/TEI_Scanned_Maps/C05/C05-2156</v>
      </c>
      <c r="U603" t="s">
        <v>58</v>
      </c>
      <c r="V603" t="s">
        <v>58</v>
      </c>
      <c r="W603" t="s">
        <v>58</v>
      </c>
      <c r="X603" t="s">
        <v>58</v>
      </c>
      <c r="Y603" t="s">
        <v>58</v>
      </c>
      <c r="Z603" t="s">
        <v>58</v>
      </c>
      <c r="AA603" t="s">
        <v>58</v>
      </c>
      <c r="AC603" t="s">
        <v>58</v>
      </c>
      <c r="AE603" t="s">
        <v>58</v>
      </c>
      <c r="AG603" t="s">
        <v>63</v>
      </c>
      <c r="AH603" s="11" t="str">
        <f t="shared" si="12"/>
        <v>mailto: soilterrain@victoria1.gov.bc.ca</v>
      </c>
    </row>
    <row r="604" spans="1:34">
      <c r="A604" t="s">
        <v>1464</v>
      </c>
      <c r="B604" t="s">
        <v>56</v>
      </c>
      <c r="C604" s="10" t="s">
        <v>1463</v>
      </c>
      <c r="D604" t="s">
        <v>58</v>
      </c>
      <c r="E604" t="s">
        <v>497</v>
      </c>
      <c r="F604" t="s">
        <v>1461</v>
      </c>
      <c r="G604">
        <v>50000</v>
      </c>
      <c r="H604">
        <v>1973</v>
      </c>
      <c r="I604" t="s">
        <v>58</v>
      </c>
      <c r="J604" t="s">
        <v>58</v>
      </c>
      <c r="K604" t="s">
        <v>58</v>
      </c>
      <c r="L604" t="s">
        <v>58</v>
      </c>
      <c r="M604" t="s">
        <v>58</v>
      </c>
      <c r="N604" t="s">
        <v>61</v>
      </c>
      <c r="Q604" t="s">
        <v>58</v>
      </c>
      <c r="R604" s="11" t="str">
        <f>HYPERLINK("\\imagefiles.bcgov\imagery\scanned_maps\moe_terrain_maps\Scanned_T_maps_all\C05\C05-2157","\\imagefiles.bcgov\imagery\scanned_maps\moe_terrain_maps\Scanned_T_maps_all\C05\C05-2157")</f>
        <v>\\imagefiles.bcgov\imagery\scanned_maps\moe_terrain_maps\Scanned_T_maps_all\C05\C05-2157</v>
      </c>
      <c r="S604" t="s">
        <v>62</v>
      </c>
      <c r="T604" s="11" t="str">
        <f>HYPERLINK("http://www.env.gov.bc.ca/esd/distdata/ecosystems/TEI_Scanned_Maps/C05/C05-2157","http://www.env.gov.bc.ca/esd/distdata/ecosystems/TEI_Scanned_Maps/C05/C05-2157")</f>
        <v>http://www.env.gov.bc.ca/esd/distdata/ecosystems/TEI_Scanned_Maps/C05/C05-2157</v>
      </c>
      <c r="U604" t="s">
        <v>58</v>
      </c>
      <c r="V604" t="s">
        <v>58</v>
      </c>
      <c r="W604" t="s">
        <v>58</v>
      </c>
      <c r="X604" t="s">
        <v>58</v>
      </c>
      <c r="Y604" t="s">
        <v>58</v>
      </c>
      <c r="Z604" t="s">
        <v>58</v>
      </c>
      <c r="AA604" t="s">
        <v>58</v>
      </c>
      <c r="AC604" t="s">
        <v>58</v>
      </c>
      <c r="AE604" t="s">
        <v>58</v>
      </c>
      <c r="AG604" t="s">
        <v>63</v>
      </c>
      <c r="AH604" s="11" t="str">
        <f t="shared" si="12"/>
        <v>mailto: soilterrain@victoria1.gov.bc.ca</v>
      </c>
    </row>
    <row r="605" spans="1:34">
      <c r="A605" t="s">
        <v>1465</v>
      </c>
      <c r="B605" t="s">
        <v>56</v>
      </c>
      <c r="C605" s="10" t="s">
        <v>1466</v>
      </c>
      <c r="D605" t="s">
        <v>58</v>
      </c>
      <c r="E605" t="s">
        <v>497</v>
      </c>
      <c r="F605" t="s">
        <v>502</v>
      </c>
      <c r="G605">
        <v>50000</v>
      </c>
      <c r="H605">
        <v>1986</v>
      </c>
      <c r="I605" t="s">
        <v>58</v>
      </c>
      <c r="J605" t="s">
        <v>58</v>
      </c>
      <c r="K605" t="s">
        <v>58</v>
      </c>
      <c r="L605" t="s">
        <v>58</v>
      </c>
      <c r="M605" t="s">
        <v>58</v>
      </c>
      <c r="N605" t="s">
        <v>61</v>
      </c>
      <c r="Q605" t="s">
        <v>58</v>
      </c>
      <c r="R605" s="11" t="str">
        <f>HYPERLINK("\\imagefiles.bcgov\imagery\scanned_maps\moe_terrain_maps\Scanned_T_maps_all\C05\C05-2159","\\imagefiles.bcgov\imagery\scanned_maps\moe_terrain_maps\Scanned_T_maps_all\C05\C05-2159")</f>
        <v>\\imagefiles.bcgov\imagery\scanned_maps\moe_terrain_maps\Scanned_T_maps_all\C05\C05-2159</v>
      </c>
      <c r="S605" t="s">
        <v>62</v>
      </c>
      <c r="T605" s="11" t="str">
        <f>HYPERLINK("http://www.env.gov.bc.ca/esd/distdata/ecosystems/TEI_Scanned_Maps/C05/C05-2159","http://www.env.gov.bc.ca/esd/distdata/ecosystems/TEI_Scanned_Maps/C05/C05-2159")</f>
        <v>http://www.env.gov.bc.ca/esd/distdata/ecosystems/TEI_Scanned_Maps/C05/C05-2159</v>
      </c>
      <c r="U605" t="s">
        <v>58</v>
      </c>
      <c r="V605" t="s">
        <v>58</v>
      </c>
      <c r="W605" t="s">
        <v>58</v>
      </c>
      <c r="X605" t="s">
        <v>58</v>
      </c>
      <c r="Y605" t="s">
        <v>58</v>
      </c>
      <c r="Z605" t="s">
        <v>58</v>
      </c>
      <c r="AA605" t="s">
        <v>58</v>
      </c>
      <c r="AC605" t="s">
        <v>58</v>
      </c>
      <c r="AE605" t="s">
        <v>58</v>
      </c>
      <c r="AG605" t="s">
        <v>63</v>
      </c>
      <c r="AH605" s="11" t="str">
        <f t="shared" si="12"/>
        <v>mailto: soilterrain@victoria1.gov.bc.ca</v>
      </c>
    </row>
    <row r="606" spans="1:34">
      <c r="A606" t="s">
        <v>1467</v>
      </c>
      <c r="B606" t="s">
        <v>56</v>
      </c>
      <c r="C606" s="10" t="s">
        <v>1468</v>
      </c>
      <c r="D606" t="s">
        <v>58</v>
      </c>
      <c r="E606" t="s">
        <v>497</v>
      </c>
      <c r="F606" t="s">
        <v>502</v>
      </c>
      <c r="G606">
        <v>50000</v>
      </c>
      <c r="H606">
        <v>1973</v>
      </c>
      <c r="I606" t="s">
        <v>58</v>
      </c>
      <c r="J606" t="s">
        <v>58</v>
      </c>
      <c r="K606" t="s">
        <v>58</v>
      </c>
      <c r="L606" t="s">
        <v>58</v>
      </c>
      <c r="M606" t="s">
        <v>58</v>
      </c>
      <c r="N606" t="s">
        <v>61</v>
      </c>
      <c r="Q606" t="s">
        <v>58</v>
      </c>
      <c r="R606" s="11" t="str">
        <f>HYPERLINK("\\imagefiles.bcgov\imagery\scanned_maps\moe_terrain_maps\Scanned_T_maps_all\C05\C05-2161","\\imagefiles.bcgov\imagery\scanned_maps\moe_terrain_maps\Scanned_T_maps_all\C05\C05-2161")</f>
        <v>\\imagefiles.bcgov\imagery\scanned_maps\moe_terrain_maps\Scanned_T_maps_all\C05\C05-2161</v>
      </c>
      <c r="S606" t="s">
        <v>62</v>
      </c>
      <c r="T606" s="11" t="str">
        <f>HYPERLINK("http://www.env.gov.bc.ca/esd/distdata/ecosystems/TEI_Scanned_Maps/C05/C05-2161","http://www.env.gov.bc.ca/esd/distdata/ecosystems/TEI_Scanned_Maps/C05/C05-2161")</f>
        <v>http://www.env.gov.bc.ca/esd/distdata/ecosystems/TEI_Scanned_Maps/C05/C05-2161</v>
      </c>
      <c r="U606" t="s">
        <v>58</v>
      </c>
      <c r="V606" t="s">
        <v>58</v>
      </c>
      <c r="W606" t="s">
        <v>58</v>
      </c>
      <c r="X606" t="s">
        <v>58</v>
      </c>
      <c r="Y606" t="s">
        <v>58</v>
      </c>
      <c r="Z606" t="s">
        <v>58</v>
      </c>
      <c r="AA606" t="s">
        <v>58</v>
      </c>
      <c r="AC606" t="s">
        <v>58</v>
      </c>
      <c r="AE606" t="s">
        <v>58</v>
      </c>
      <c r="AG606" t="s">
        <v>63</v>
      </c>
      <c r="AH606" s="11" t="str">
        <f t="shared" si="12"/>
        <v>mailto: soilterrain@victoria1.gov.bc.ca</v>
      </c>
    </row>
    <row r="607" spans="1:34">
      <c r="A607" t="s">
        <v>1469</v>
      </c>
      <c r="B607" t="s">
        <v>56</v>
      </c>
      <c r="C607" s="10" t="s">
        <v>1470</v>
      </c>
      <c r="D607" t="s">
        <v>58</v>
      </c>
      <c r="E607" t="s">
        <v>497</v>
      </c>
      <c r="F607" t="s">
        <v>502</v>
      </c>
      <c r="G607">
        <v>50000</v>
      </c>
      <c r="H607">
        <v>1986</v>
      </c>
      <c r="I607" t="s">
        <v>58</v>
      </c>
      <c r="J607" t="s">
        <v>58</v>
      </c>
      <c r="K607" t="s">
        <v>58</v>
      </c>
      <c r="L607" t="s">
        <v>58</v>
      </c>
      <c r="M607" t="s">
        <v>58</v>
      </c>
      <c r="N607" t="s">
        <v>61</v>
      </c>
      <c r="Q607" t="s">
        <v>58</v>
      </c>
      <c r="R607" s="11" t="str">
        <f>HYPERLINK("\\imagefiles.bcgov\imagery\scanned_maps\moe_terrain_maps\Scanned_T_maps_all\C05\C05-2163","\\imagefiles.bcgov\imagery\scanned_maps\moe_terrain_maps\Scanned_T_maps_all\C05\C05-2163")</f>
        <v>\\imagefiles.bcgov\imagery\scanned_maps\moe_terrain_maps\Scanned_T_maps_all\C05\C05-2163</v>
      </c>
      <c r="S607" t="s">
        <v>62</v>
      </c>
      <c r="T607" s="11" t="str">
        <f>HYPERLINK("http://www.env.gov.bc.ca/esd/distdata/ecosystems/TEI_Scanned_Maps/C05/C05-2163","http://www.env.gov.bc.ca/esd/distdata/ecosystems/TEI_Scanned_Maps/C05/C05-2163")</f>
        <v>http://www.env.gov.bc.ca/esd/distdata/ecosystems/TEI_Scanned_Maps/C05/C05-2163</v>
      </c>
      <c r="U607" t="s">
        <v>58</v>
      </c>
      <c r="V607" t="s">
        <v>58</v>
      </c>
      <c r="W607" t="s">
        <v>58</v>
      </c>
      <c r="X607" t="s">
        <v>58</v>
      </c>
      <c r="Y607" t="s">
        <v>58</v>
      </c>
      <c r="Z607" t="s">
        <v>58</v>
      </c>
      <c r="AA607" t="s">
        <v>58</v>
      </c>
      <c r="AC607" t="s">
        <v>58</v>
      </c>
      <c r="AE607" t="s">
        <v>58</v>
      </c>
      <c r="AG607" t="s">
        <v>63</v>
      </c>
      <c r="AH607" s="11" t="str">
        <f t="shared" si="12"/>
        <v>mailto: soilterrain@victoria1.gov.bc.ca</v>
      </c>
    </row>
    <row r="608" spans="1:34">
      <c r="A608" t="s">
        <v>1471</v>
      </c>
      <c r="B608" t="s">
        <v>56</v>
      </c>
      <c r="C608" s="10" t="s">
        <v>1472</v>
      </c>
      <c r="D608" t="s">
        <v>58</v>
      </c>
      <c r="E608" t="s">
        <v>497</v>
      </c>
      <c r="F608" t="s">
        <v>502</v>
      </c>
      <c r="G608">
        <v>50000</v>
      </c>
      <c r="H608">
        <v>1973</v>
      </c>
      <c r="I608" t="s">
        <v>58</v>
      </c>
      <c r="J608" t="s">
        <v>58</v>
      </c>
      <c r="K608" t="s">
        <v>58</v>
      </c>
      <c r="L608" t="s">
        <v>58</v>
      </c>
      <c r="M608" t="s">
        <v>58</v>
      </c>
      <c r="N608" t="s">
        <v>61</v>
      </c>
      <c r="Q608" t="s">
        <v>58</v>
      </c>
      <c r="R608" s="11" t="str">
        <f>HYPERLINK("\\imagefiles.bcgov\imagery\scanned_maps\moe_terrain_maps\Scanned_T_maps_all\C05\C05-2165","\\imagefiles.bcgov\imagery\scanned_maps\moe_terrain_maps\Scanned_T_maps_all\C05\C05-2165")</f>
        <v>\\imagefiles.bcgov\imagery\scanned_maps\moe_terrain_maps\Scanned_T_maps_all\C05\C05-2165</v>
      </c>
      <c r="S608" t="s">
        <v>62</v>
      </c>
      <c r="T608" s="11" t="str">
        <f>HYPERLINK("http://www.env.gov.bc.ca/esd/distdata/ecosystems/TEI_Scanned_Maps/C05/C05-2165","http://www.env.gov.bc.ca/esd/distdata/ecosystems/TEI_Scanned_Maps/C05/C05-2165")</f>
        <v>http://www.env.gov.bc.ca/esd/distdata/ecosystems/TEI_Scanned_Maps/C05/C05-2165</v>
      </c>
      <c r="U608" t="s">
        <v>58</v>
      </c>
      <c r="V608" t="s">
        <v>58</v>
      </c>
      <c r="W608" t="s">
        <v>58</v>
      </c>
      <c r="X608" t="s">
        <v>58</v>
      </c>
      <c r="Y608" t="s">
        <v>58</v>
      </c>
      <c r="Z608" t="s">
        <v>58</v>
      </c>
      <c r="AA608" t="s">
        <v>58</v>
      </c>
      <c r="AC608" t="s">
        <v>58</v>
      </c>
      <c r="AE608" t="s">
        <v>58</v>
      </c>
      <c r="AG608" t="s">
        <v>63</v>
      </c>
      <c r="AH608" s="11" t="str">
        <f t="shared" si="12"/>
        <v>mailto: soilterrain@victoria1.gov.bc.ca</v>
      </c>
    </row>
    <row r="609" spans="1:34">
      <c r="A609" t="s">
        <v>1473</v>
      </c>
      <c r="B609" t="s">
        <v>56</v>
      </c>
      <c r="C609" s="10" t="s">
        <v>1474</v>
      </c>
      <c r="D609" t="s">
        <v>58</v>
      </c>
      <c r="E609" t="s">
        <v>497</v>
      </c>
      <c r="F609" t="s">
        <v>1459</v>
      </c>
      <c r="G609">
        <v>50000</v>
      </c>
      <c r="H609">
        <v>1986</v>
      </c>
      <c r="I609" t="s">
        <v>58</v>
      </c>
      <c r="J609" t="s">
        <v>58</v>
      </c>
      <c r="K609" t="s">
        <v>58</v>
      </c>
      <c r="L609" t="s">
        <v>58</v>
      </c>
      <c r="M609" t="s">
        <v>58</v>
      </c>
      <c r="N609" t="s">
        <v>61</v>
      </c>
      <c r="Q609" t="s">
        <v>58</v>
      </c>
      <c r="R609" s="11" t="str">
        <f>HYPERLINK("\\imagefiles.bcgov\imagery\scanned_maps\moe_terrain_maps\Scanned_T_maps_all\C05\C05-2167","\\imagefiles.bcgov\imagery\scanned_maps\moe_terrain_maps\Scanned_T_maps_all\C05\C05-2167")</f>
        <v>\\imagefiles.bcgov\imagery\scanned_maps\moe_terrain_maps\Scanned_T_maps_all\C05\C05-2167</v>
      </c>
      <c r="S609" t="s">
        <v>62</v>
      </c>
      <c r="T609" s="11" t="str">
        <f>HYPERLINK("http://www.env.gov.bc.ca/esd/distdata/ecosystems/TEI_Scanned_Maps/C05/C05-2167","http://www.env.gov.bc.ca/esd/distdata/ecosystems/TEI_Scanned_Maps/C05/C05-2167")</f>
        <v>http://www.env.gov.bc.ca/esd/distdata/ecosystems/TEI_Scanned_Maps/C05/C05-2167</v>
      </c>
      <c r="U609" t="s">
        <v>58</v>
      </c>
      <c r="V609" t="s">
        <v>58</v>
      </c>
      <c r="W609" t="s">
        <v>58</v>
      </c>
      <c r="X609" t="s">
        <v>58</v>
      </c>
      <c r="Y609" t="s">
        <v>58</v>
      </c>
      <c r="Z609" t="s">
        <v>58</v>
      </c>
      <c r="AA609" t="s">
        <v>58</v>
      </c>
      <c r="AC609" t="s">
        <v>58</v>
      </c>
      <c r="AE609" t="s">
        <v>58</v>
      </c>
      <c r="AG609" t="s">
        <v>63</v>
      </c>
      <c r="AH609" s="11" t="str">
        <f t="shared" si="12"/>
        <v>mailto: soilterrain@victoria1.gov.bc.ca</v>
      </c>
    </row>
    <row r="610" spans="1:34">
      <c r="A610" t="s">
        <v>1475</v>
      </c>
      <c r="B610" t="s">
        <v>56</v>
      </c>
      <c r="C610" s="10" t="s">
        <v>1474</v>
      </c>
      <c r="D610" t="s">
        <v>58</v>
      </c>
      <c r="E610" t="s">
        <v>497</v>
      </c>
      <c r="F610" t="s">
        <v>1461</v>
      </c>
      <c r="G610">
        <v>50000</v>
      </c>
      <c r="H610" t="s">
        <v>187</v>
      </c>
      <c r="I610" t="s">
        <v>58</v>
      </c>
      <c r="J610" t="s">
        <v>58</v>
      </c>
      <c r="K610" t="s">
        <v>58</v>
      </c>
      <c r="L610" t="s">
        <v>58</v>
      </c>
      <c r="M610" t="s">
        <v>58</v>
      </c>
      <c r="N610" t="s">
        <v>61</v>
      </c>
      <c r="Q610" t="s">
        <v>58</v>
      </c>
      <c r="R610" s="11" t="str">
        <f>HYPERLINK("\\imagefiles.bcgov\imagery\scanned_maps\moe_terrain_maps\Scanned_T_maps_all\C05\C05-2168","\\imagefiles.bcgov\imagery\scanned_maps\moe_terrain_maps\Scanned_T_maps_all\C05\C05-2168")</f>
        <v>\\imagefiles.bcgov\imagery\scanned_maps\moe_terrain_maps\Scanned_T_maps_all\C05\C05-2168</v>
      </c>
      <c r="S610" t="s">
        <v>62</v>
      </c>
      <c r="T610" s="11" t="str">
        <f>HYPERLINK("http://www.env.gov.bc.ca/esd/distdata/ecosystems/TEI_Scanned_Maps/C05/C05-2168","http://www.env.gov.bc.ca/esd/distdata/ecosystems/TEI_Scanned_Maps/C05/C05-2168")</f>
        <v>http://www.env.gov.bc.ca/esd/distdata/ecosystems/TEI_Scanned_Maps/C05/C05-2168</v>
      </c>
      <c r="U610" t="s">
        <v>58</v>
      </c>
      <c r="V610" t="s">
        <v>58</v>
      </c>
      <c r="W610" t="s">
        <v>58</v>
      </c>
      <c r="X610" t="s">
        <v>58</v>
      </c>
      <c r="Y610" t="s">
        <v>58</v>
      </c>
      <c r="Z610" t="s">
        <v>58</v>
      </c>
      <c r="AA610" t="s">
        <v>58</v>
      </c>
      <c r="AC610" t="s">
        <v>58</v>
      </c>
      <c r="AE610" t="s">
        <v>58</v>
      </c>
      <c r="AG610" t="s">
        <v>63</v>
      </c>
      <c r="AH610" s="11" t="str">
        <f t="shared" si="12"/>
        <v>mailto: soilterrain@victoria1.gov.bc.ca</v>
      </c>
    </row>
    <row r="611" spans="1:34">
      <c r="A611" t="s">
        <v>1476</v>
      </c>
      <c r="B611" t="s">
        <v>56</v>
      </c>
      <c r="C611" s="10" t="s">
        <v>1477</v>
      </c>
      <c r="D611" t="s">
        <v>58</v>
      </c>
      <c r="E611" t="s">
        <v>497</v>
      </c>
      <c r="F611" t="s">
        <v>1459</v>
      </c>
      <c r="G611">
        <v>50000</v>
      </c>
      <c r="H611">
        <v>1983</v>
      </c>
      <c r="I611" t="s">
        <v>58</v>
      </c>
      <c r="J611" t="s">
        <v>58</v>
      </c>
      <c r="K611" t="s">
        <v>58</v>
      </c>
      <c r="L611" t="s">
        <v>58</v>
      </c>
      <c r="M611" t="s">
        <v>58</v>
      </c>
      <c r="N611" t="s">
        <v>61</v>
      </c>
      <c r="Q611" t="s">
        <v>58</v>
      </c>
      <c r="R611" s="11" t="str">
        <f>HYPERLINK("\\imagefiles.bcgov\imagery\scanned_maps\moe_terrain_maps\Scanned_T_maps_all\C05\C05-2170","\\imagefiles.bcgov\imagery\scanned_maps\moe_terrain_maps\Scanned_T_maps_all\C05\C05-2170")</f>
        <v>\\imagefiles.bcgov\imagery\scanned_maps\moe_terrain_maps\Scanned_T_maps_all\C05\C05-2170</v>
      </c>
      <c r="S611" t="s">
        <v>62</v>
      </c>
      <c r="T611" s="11" t="str">
        <f>HYPERLINK("http://www.env.gov.bc.ca/esd/distdata/ecosystems/TEI_Scanned_Maps/C05/C05-2170","http://www.env.gov.bc.ca/esd/distdata/ecosystems/TEI_Scanned_Maps/C05/C05-2170")</f>
        <v>http://www.env.gov.bc.ca/esd/distdata/ecosystems/TEI_Scanned_Maps/C05/C05-2170</v>
      </c>
      <c r="U611" t="s">
        <v>58</v>
      </c>
      <c r="V611" t="s">
        <v>58</v>
      </c>
      <c r="W611" t="s">
        <v>58</v>
      </c>
      <c r="X611" t="s">
        <v>58</v>
      </c>
      <c r="Y611" t="s">
        <v>58</v>
      </c>
      <c r="Z611" t="s">
        <v>58</v>
      </c>
      <c r="AA611" t="s">
        <v>58</v>
      </c>
      <c r="AC611" t="s">
        <v>58</v>
      </c>
      <c r="AE611" t="s">
        <v>58</v>
      </c>
      <c r="AG611" t="s">
        <v>63</v>
      </c>
      <c r="AH611" s="11" t="str">
        <f t="shared" si="12"/>
        <v>mailto: soilterrain@victoria1.gov.bc.ca</v>
      </c>
    </row>
    <row r="612" spans="1:34">
      <c r="A612" t="s">
        <v>1478</v>
      </c>
      <c r="B612" t="s">
        <v>56</v>
      </c>
      <c r="C612" s="10" t="s">
        <v>1477</v>
      </c>
      <c r="D612" t="s">
        <v>58</v>
      </c>
      <c r="E612" t="s">
        <v>497</v>
      </c>
      <c r="F612" t="s">
        <v>1461</v>
      </c>
      <c r="G612">
        <v>50000</v>
      </c>
      <c r="H612" t="s">
        <v>187</v>
      </c>
      <c r="I612" t="s">
        <v>58</v>
      </c>
      <c r="J612" t="s">
        <v>58</v>
      </c>
      <c r="K612" t="s">
        <v>58</v>
      </c>
      <c r="L612" t="s">
        <v>58</v>
      </c>
      <c r="M612" t="s">
        <v>58</v>
      </c>
      <c r="N612" t="s">
        <v>61</v>
      </c>
      <c r="Q612" t="s">
        <v>58</v>
      </c>
      <c r="R612" s="11" t="str">
        <f>HYPERLINK("\\imagefiles.bcgov\imagery\scanned_maps\moe_terrain_maps\Scanned_T_maps_all\C05\C05-2171","\\imagefiles.bcgov\imagery\scanned_maps\moe_terrain_maps\Scanned_T_maps_all\C05\C05-2171")</f>
        <v>\\imagefiles.bcgov\imagery\scanned_maps\moe_terrain_maps\Scanned_T_maps_all\C05\C05-2171</v>
      </c>
      <c r="S612" t="s">
        <v>62</v>
      </c>
      <c r="T612" s="11" t="str">
        <f>HYPERLINK("http://www.env.gov.bc.ca/esd/distdata/ecosystems/TEI_Scanned_Maps/C05/C05-2171","http://www.env.gov.bc.ca/esd/distdata/ecosystems/TEI_Scanned_Maps/C05/C05-2171")</f>
        <v>http://www.env.gov.bc.ca/esd/distdata/ecosystems/TEI_Scanned_Maps/C05/C05-2171</v>
      </c>
      <c r="U612" t="s">
        <v>58</v>
      </c>
      <c r="V612" t="s">
        <v>58</v>
      </c>
      <c r="W612" t="s">
        <v>58</v>
      </c>
      <c r="X612" t="s">
        <v>58</v>
      </c>
      <c r="Y612" t="s">
        <v>58</v>
      </c>
      <c r="Z612" t="s">
        <v>58</v>
      </c>
      <c r="AA612" t="s">
        <v>58</v>
      </c>
      <c r="AC612" t="s">
        <v>58</v>
      </c>
      <c r="AE612" t="s">
        <v>58</v>
      </c>
      <c r="AG612" t="s">
        <v>63</v>
      </c>
      <c r="AH612" s="11" t="str">
        <f t="shared" si="12"/>
        <v>mailto: soilterrain@victoria1.gov.bc.ca</v>
      </c>
    </row>
    <row r="613" spans="1:34">
      <c r="A613" t="s">
        <v>1479</v>
      </c>
      <c r="B613" t="s">
        <v>56</v>
      </c>
      <c r="C613" s="10" t="s">
        <v>597</v>
      </c>
      <c r="D613" t="s">
        <v>61</v>
      </c>
      <c r="E613" t="s">
        <v>497</v>
      </c>
      <c r="F613" t="s">
        <v>1139</v>
      </c>
      <c r="G613">
        <v>50000</v>
      </c>
      <c r="H613">
        <v>1986</v>
      </c>
      <c r="I613" t="s">
        <v>58</v>
      </c>
      <c r="J613" t="s">
        <v>58</v>
      </c>
      <c r="K613" t="s">
        <v>58</v>
      </c>
      <c r="L613" t="s">
        <v>58</v>
      </c>
      <c r="M613" t="s">
        <v>58</v>
      </c>
      <c r="N613" t="s">
        <v>61</v>
      </c>
      <c r="Q613" t="s">
        <v>58</v>
      </c>
      <c r="R613" s="11" t="str">
        <f>HYPERLINK("\\imagefiles.bcgov\imagery\scanned_maps\moe_terrain_maps\Scanned_T_maps_all\C05\C05-2203","\\imagefiles.bcgov\imagery\scanned_maps\moe_terrain_maps\Scanned_T_maps_all\C05\C05-2203")</f>
        <v>\\imagefiles.bcgov\imagery\scanned_maps\moe_terrain_maps\Scanned_T_maps_all\C05\C05-2203</v>
      </c>
      <c r="S613" t="s">
        <v>62</v>
      </c>
      <c r="T613" s="11" t="str">
        <f>HYPERLINK("http://www.env.gov.bc.ca/esd/distdata/ecosystems/TEI_Scanned_Maps/C05/C05-2203","http://www.env.gov.bc.ca/esd/distdata/ecosystems/TEI_Scanned_Maps/C05/C05-2203")</f>
        <v>http://www.env.gov.bc.ca/esd/distdata/ecosystems/TEI_Scanned_Maps/C05/C05-2203</v>
      </c>
      <c r="U613" t="s">
        <v>58</v>
      </c>
      <c r="V613" t="s">
        <v>58</v>
      </c>
      <c r="W613" t="s">
        <v>58</v>
      </c>
      <c r="X613" t="s">
        <v>58</v>
      </c>
      <c r="Y613" t="s">
        <v>58</v>
      </c>
      <c r="Z613" t="s">
        <v>58</v>
      </c>
      <c r="AA613" t="s">
        <v>58</v>
      </c>
      <c r="AC613" t="s">
        <v>58</v>
      </c>
      <c r="AE613" t="s">
        <v>58</v>
      </c>
      <c r="AG613" t="s">
        <v>63</v>
      </c>
      <c r="AH613" s="11" t="str">
        <f t="shared" si="12"/>
        <v>mailto: soilterrain@victoria1.gov.bc.ca</v>
      </c>
    </row>
    <row r="614" spans="1:34">
      <c r="A614" t="s">
        <v>1480</v>
      </c>
      <c r="B614" t="s">
        <v>56</v>
      </c>
      <c r="C614" s="10" t="s">
        <v>600</v>
      </c>
      <c r="D614" t="s">
        <v>58</v>
      </c>
      <c r="E614" t="s">
        <v>497</v>
      </c>
      <c r="F614" t="s">
        <v>1139</v>
      </c>
      <c r="G614">
        <v>50000</v>
      </c>
      <c r="H614">
        <v>1981</v>
      </c>
      <c r="I614" t="s">
        <v>58</v>
      </c>
      <c r="J614" t="s">
        <v>58</v>
      </c>
      <c r="K614" t="s">
        <v>58</v>
      </c>
      <c r="L614" t="s">
        <v>58</v>
      </c>
      <c r="M614" t="s">
        <v>58</v>
      </c>
      <c r="N614" t="s">
        <v>61</v>
      </c>
      <c r="Q614" t="s">
        <v>58</v>
      </c>
      <c r="R614" s="11" t="str">
        <f>HYPERLINK("\\imagefiles.bcgov\imagery\scanned_maps\moe_terrain_maps\Scanned_T_maps_all\C05\C05-2204","\\imagefiles.bcgov\imagery\scanned_maps\moe_terrain_maps\Scanned_T_maps_all\C05\C05-2204")</f>
        <v>\\imagefiles.bcgov\imagery\scanned_maps\moe_terrain_maps\Scanned_T_maps_all\C05\C05-2204</v>
      </c>
      <c r="S614" t="s">
        <v>62</v>
      </c>
      <c r="T614" s="11" t="str">
        <f>HYPERLINK("http://www.env.gov.bc.ca/esd/distdata/ecosystems/TEI_Scanned_Maps/C05/C05-2204","http://www.env.gov.bc.ca/esd/distdata/ecosystems/TEI_Scanned_Maps/C05/C05-2204")</f>
        <v>http://www.env.gov.bc.ca/esd/distdata/ecosystems/TEI_Scanned_Maps/C05/C05-2204</v>
      </c>
      <c r="U614" t="s">
        <v>58</v>
      </c>
      <c r="V614" t="s">
        <v>58</v>
      </c>
      <c r="W614" t="s">
        <v>58</v>
      </c>
      <c r="X614" t="s">
        <v>58</v>
      </c>
      <c r="Y614" t="s">
        <v>58</v>
      </c>
      <c r="Z614" t="s">
        <v>58</v>
      </c>
      <c r="AA614" t="s">
        <v>58</v>
      </c>
      <c r="AC614" t="s">
        <v>58</v>
      </c>
      <c r="AE614" t="s">
        <v>58</v>
      </c>
      <c r="AG614" t="s">
        <v>63</v>
      </c>
      <c r="AH614" s="11" t="str">
        <f t="shared" si="12"/>
        <v>mailto: soilterrain@victoria1.gov.bc.ca</v>
      </c>
    </row>
    <row r="615" spans="1:34">
      <c r="A615" t="s">
        <v>1481</v>
      </c>
      <c r="B615" t="s">
        <v>56</v>
      </c>
      <c r="C615" s="10" t="s">
        <v>1482</v>
      </c>
      <c r="D615" t="s">
        <v>58</v>
      </c>
      <c r="E615" t="s">
        <v>497</v>
      </c>
      <c r="F615" t="s">
        <v>1139</v>
      </c>
      <c r="G615">
        <v>50000</v>
      </c>
      <c r="H615" t="s">
        <v>187</v>
      </c>
      <c r="I615" t="s">
        <v>58</v>
      </c>
      <c r="J615" t="s">
        <v>58</v>
      </c>
      <c r="K615" t="s">
        <v>58</v>
      </c>
      <c r="L615" t="s">
        <v>58</v>
      </c>
      <c r="M615" t="s">
        <v>58</v>
      </c>
      <c r="N615" t="s">
        <v>61</v>
      </c>
      <c r="Q615" t="s">
        <v>58</v>
      </c>
      <c r="R615" s="11" t="str">
        <f>HYPERLINK("\\imagefiles.bcgov\imagery\scanned_maps\moe_terrain_maps\Scanned_T_maps_all\C05\C05-2209","\\imagefiles.bcgov\imagery\scanned_maps\moe_terrain_maps\Scanned_T_maps_all\C05\C05-2209")</f>
        <v>\\imagefiles.bcgov\imagery\scanned_maps\moe_terrain_maps\Scanned_T_maps_all\C05\C05-2209</v>
      </c>
      <c r="S615" t="s">
        <v>62</v>
      </c>
      <c r="T615" s="11" t="str">
        <f>HYPERLINK("http://www.env.gov.bc.ca/esd/distdata/ecosystems/TEI_Scanned_Maps/C05/C05-2209","http://www.env.gov.bc.ca/esd/distdata/ecosystems/TEI_Scanned_Maps/C05/C05-2209")</f>
        <v>http://www.env.gov.bc.ca/esd/distdata/ecosystems/TEI_Scanned_Maps/C05/C05-2209</v>
      </c>
      <c r="U615" t="s">
        <v>58</v>
      </c>
      <c r="V615" t="s">
        <v>58</v>
      </c>
      <c r="W615" t="s">
        <v>58</v>
      </c>
      <c r="X615" t="s">
        <v>58</v>
      </c>
      <c r="Y615" t="s">
        <v>58</v>
      </c>
      <c r="Z615" t="s">
        <v>58</v>
      </c>
      <c r="AA615" t="s">
        <v>58</v>
      </c>
      <c r="AC615" t="s">
        <v>58</v>
      </c>
      <c r="AE615" t="s">
        <v>58</v>
      </c>
      <c r="AG615" t="s">
        <v>63</v>
      </c>
      <c r="AH615" s="11" t="str">
        <f t="shared" si="12"/>
        <v>mailto: soilterrain@victoria1.gov.bc.ca</v>
      </c>
    </row>
    <row r="616" spans="1:34">
      <c r="A616" t="s">
        <v>1483</v>
      </c>
      <c r="B616" t="s">
        <v>56</v>
      </c>
      <c r="C616" s="10" t="s">
        <v>1484</v>
      </c>
      <c r="D616" t="s">
        <v>58</v>
      </c>
      <c r="E616" t="s">
        <v>497</v>
      </c>
      <c r="F616" t="s">
        <v>1139</v>
      </c>
      <c r="G616">
        <v>50000</v>
      </c>
      <c r="H616">
        <v>1986</v>
      </c>
      <c r="I616" t="s">
        <v>58</v>
      </c>
      <c r="J616" t="s">
        <v>58</v>
      </c>
      <c r="K616" t="s">
        <v>58</v>
      </c>
      <c r="L616" t="s">
        <v>58</v>
      </c>
      <c r="M616" t="s">
        <v>58</v>
      </c>
      <c r="N616" t="s">
        <v>61</v>
      </c>
      <c r="Q616" t="s">
        <v>58</v>
      </c>
      <c r="R616" s="11" t="str">
        <f>HYPERLINK("\\imagefiles.bcgov\imagery\scanned_maps\moe_terrain_maps\Scanned_T_maps_all\C05\C05-2210","\\imagefiles.bcgov\imagery\scanned_maps\moe_terrain_maps\Scanned_T_maps_all\C05\C05-2210")</f>
        <v>\\imagefiles.bcgov\imagery\scanned_maps\moe_terrain_maps\Scanned_T_maps_all\C05\C05-2210</v>
      </c>
      <c r="S616" t="s">
        <v>62</v>
      </c>
      <c r="T616" s="11" t="str">
        <f>HYPERLINK("http://www.env.gov.bc.ca/esd/distdata/ecosystems/TEI_Scanned_Maps/C05/C05-2210","http://www.env.gov.bc.ca/esd/distdata/ecosystems/TEI_Scanned_Maps/C05/C05-2210")</f>
        <v>http://www.env.gov.bc.ca/esd/distdata/ecosystems/TEI_Scanned_Maps/C05/C05-2210</v>
      </c>
      <c r="U616" t="s">
        <v>58</v>
      </c>
      <c r="V616" t="s">
        <v>58</v>
      </c>
      <c r="W616" t="s">
        <v>58</v>
      </c>
      <c r="X616" t="s">
        <v>58</v>
      </c>
      <c r="Y616" t="s">
        <v>58</v>
      </c>
      <c r="Z616" t="s">
        <v>58</v>
      </c>
      <c r="AA616" t="s">
        <v>58</v>
      </c>
      <c r="AC616" t="s">
        <v>58</v>
      </c>
      <c r="AE616" t="s">
        <v>58</v>
      </c>
      <c r="AG616" t="s">
        <v>63</v>
      </c>
      <c r="AH616" s="11" t="str">
        <f t="shared" si="12"/>
        <v>mailto: soilterrain@victoria1.gov.bc.ca</v>
      </c>
    </row>
    <row r="617" spans="1:34">
      <c r="A617" t="s">
        <v>1485</v>
      </c>
      <c r="B617" t="s">
        <v>56</v>
      </c>
      <c r="C617" s="10" t="s">
        <v>1486</v>
      </c>
      <c r="D617" t="s">
        <v>58</v>
      </c>
      <c r="E617" t="s">
        <v>497</v>
      </c>
      <c r="F617" t="s">
        <v>1139</v>
      </c>
      <c r="G617">
        <v>50000</v>
      </c>
      <c r="H617">
        <v>1983</v>
      </c>
      <c r="I617" t="s">
        <v>58</v>
      </c>
      <c r="J617" t="s">
        <v>58</v>
      </c>
      <c r="K617" t="s">
        <v>58</v>
      </c>
      <c r="L617" t="s">
        <v>58</v>
      </c>
      <c r="M617" t="s">
        <v>58</v>
      </c>
      <c r="N617" t="s">
        <v>61</v>
      </c>
      <c r="Q617" t="s">
        <v>58</v>
      </c>
      <c r="R617" s="11" t="str">
        <f>HYPERLINK("\\imagefiles.bcgov\imagery\scanned_maps\moe_terrain_maps\Scanned_T_maps_all\C05\C05-2211","\\imagefiles.bcgov\imagery\scanned_maps\moe_terrain_maps\Scanned_T_maps_all\C05\C05-2211")</f>
        <v>\\imagefiles.bcgov\imagery\scanned_maps\moe_terrain_maps\Scanned_T_maps_all\C05\C05-2211</v>
      </c>
      <c r="S617" t="s">
        <v>62</v>
      </c>
      <c r="T617" s="11" t="str">
        <f>HYPERLINK("http://www.env.gov.bc.ca/esd/distdata/ecosystems/TEI_Scanned_Maps/C05/C05-2211","http://www.env.gov.bc.ca/esd/distdata/ecosystems/TEI_Scanned_Maps/C05/C05-2211")</f>
        <v>http://www.env.gov.bc.ca/esd/distdata/ecosystems/TEI_Scanned_Maps/C05/C05-2211</v>
      </c>
      <c r="U617" t="s">
        <v>58</v>
      </c>
      <c r="V617" t="s">
        <v>58</v>
      </c>
      <c r="W617" t="s">
        <v>58</v>
      </c>
      <c r="X617" t="s">
        <v>58</v>
      </c>
      <c r="Y617" t="s">
        <v>58</v>
      </c>
      <c r="Z617" t="s">
        <v>58</v>
      </c>
      <c r="AA617" t="s">
        <v>58</v>
      </c>
      <c r="AC617" t="s">
        <v>58</v>
      </c>
      <c r="AE617" t="s">
        <v>58</v>
      </c>
      <c r="AG617" t="s">
        <v>63</v>
      </c>
      <c r="AH617" s="11" t="str">
        <f t="shared" si="12"/>
        <v>mailto: soilterrain@victoria1.gov.bc.ca</v>
      </c>
    </row>
    <row r="618" spans="1:34">
      <c r="A618" t="s">
        <v>1487</v>
      </c>
      <c r="B618" t="s">
        <v>56</v>
      </c>
      <c r="C618" s="10" t="s">
        <v>1488</v>
      </c>
      <c r="D618" t="s">
        <v>58</v>
      </c>
      <c r="E618" t="s">
        <v>497</v>
      </c>
      <c r="F618" t="s">
        <v>1139</v>
      </c>
      <c r="G618">
        <v>50000</v>
      </c>
      <c r="H618">
        <v>1968</v>
      </c>
      <c r="I618" t="s">
        <v>58</v>
      </c>
      <c r="J618" t="s">
        <v>58</v>
      </c>
      <c r="K618" t="s">
        <v>58</v>
      </c>
      <c r="L618" t="s">
        <v>58</v>
      </c>
      <c r="M618" t="s">
        <v>58</v>
      </c>
      <c r="N618" t="s">
        <v>61</v>
      </c>
      <c r="Q618" t="s">
        <v>58</v>
      </c>
      <c r="R618" s="11" t="str">
        <f>HYPERLINK("\\imagefiles.bcgov\imagery\scanned_maps\moe_terrain_maps\Scanned_T_maps_all\C05\C05-2213","\\imagefiles.bcgov\imagery\scanned_maps\moe_terrain_maps\Scanned_T_maps_all\C05\C05-2213")</f>
        <v>\\imagefiles.bcgov\imagery\scanned_maps\moe_terrain_maps\Scanned_T_maps_all\C05\C05-2213</v>
      </c>
      <c r="S618" t="s">
        <v>62</v>
      </c>
      <c r="T618" s="11" t="str">
        <f>HYPERLINK("http://www.env.gov.bc.ca/esd/distdata/ecosystems/TEI_Scanned_Maps/C05/C05-2213","http://www.env.gov.bc.ca/esd/distdata/ecosystems/TEI_Scanned_Maps/C05/C05-2213")</f>
        <v>http://www.env.gov.bc.ca/esd/distdata/ecosystems/TEI_Scanned_Maps/C05/C05-2213</v>
      </c>
      <c r="U618" t="s">
        <v>58</v>
      </c>
      <c r="V618" t="s">
        <v>58</v>
      </c>
      <c r="W618" t="s">
        <v>58</v>
      </c>
      <c r="X618" t="s">
        <v>58</v>
      </c>
      <c r="Y618" t="s">
        <v>58</v>
      </c>
      <c r="Z618" t="s">
        <v>58</v>
      </c>
      <c r="AA618" t="s">
        <v>58</v>
      </c>
      <c r="AC618" t="s">
        <v>58</v>
      </c>
      <c r="AE618" t="s">
        <v>58</v>
      </c>
      <c r="AG618" t="s">
        <v>63</v>
      </c>
      <c r="AH618" s="11" t="str">
        <f t="shared" si="12"/>
        <v>mailto: soilterrain@victoria1.gov.bc.ca</v>
      </c>
    </row>
    <row r="619" spans="1:34">
      <c r="A619" t="s">
        <v>1489</v>
      </c>
      <c r="B619" t="s">
        <v>56</v>
      </c>
      <c r="C619" s="10" t="s">
        <v>1490</v>
      </c>
      <c r="D619" t="s">
        <v>58</v>
      </c>
      <c r="E619" t="s">
        <v>497</v>
      </c>
      <c r="F619" t="s">
        <v>1139</v>
      </c>
      <c r="G619">
        <v>50000</v>
      </c>
      <c r="H619">
        <v>1986</v>
      </c>
      <c r="I619" t="s">
        <v>58</v>
      </c>
      <c r="J619" t="s">
        <v>58</v>
      </c>
      <c r="K619" t="s">
        <v>58</v>
      </c>
      <c r="L619" t="s">
        <v>58</v>
      </c>
      <c r="M619" t="s">
        <v>58</v>
      </c>
      <c r="N619" t="s">
        <v>61</v>
      </c>
      <c r="Q619" t="s">
        <v>58</v>
      </c>
      <c r="R619" s="11" t="str">
        <f>HYPERLINK("\\imagefiles.bcgov\imagery\scanned_maps\moe_terrain_maps\Scanned_T_maps_all\C05\C05-2227","\\imagefiles.bcgov\imagery\scanned_maps\moe_terrain_maps\Scanned_T_maps_all\C05\C05-2227")</f>
        <v>\\imagefiles.bcgov\imagery\scanned_maps\moe_terrain_maps\Scanned_T_maps_all\C05\C05-2227</v>
      </c>
      <c r="S619" t="s">
        <v>62</v>
      </c>
      <c r="T619" s="11" t="str">
        <f>HYPERLINK("http://www.env.gov.bc.ca/esd/distdata/ecosystems/TEI_Scanned_Maps/C05/C05-2227","http://www.env.gov.bc.ca/esd/distdata/ecosystems/TEI_Scanned_Maps/C05/C05-2227")</f>
        <v>http://www.env.gov.bc.ca/esd/distdata/ecosystems/TEI_Scanned_Maps/C05/C05-2227</v>
      </c>
      <c r="U619" t="s">
        <v>58</v>
      </c>
      <c r="V619" t="s">
        <v>58</v>
      </c>
      <c r="W619" t="s">
        <v>58</v>
      </c>
      <c r="X619" t="s">
        <v>58</v>
      </c>
      <c r="Y619" t="s">
        <v>58</v>
      </c>
      <c r="Z619" t="s">
        <v>58</v>
      </c>
      <c r="AA619" t="s">
        <v>58</v>
      </c>
      <c r="AC619" t="s">
        <v>58</v>
      </c>
      <c r="AE619" t="s">
        <v>58</v>
      </c>
      <c r="AG619" t="s">
        <v>63</v>
      </c>
      <c r="AH619" s="11" t="str">
        <f t="shared" si="12"/>
        <v>mailto: soilterrain@victoria1.gov.bc.ca</v>
      </c>
    </row>
    <row r="620" spans="1:34">
      <c r="A620" t="s">
        <v>1491</v>
      </c>
      <c r="B620" t="s">
        <v>56</v>
      </c>
      <c r="C620" s="10" t="s">
        <v>1492</v>
      </c>
      <c r="D620" t="s">
        <v>58</v>
      </c>
      <c r="E620" t="s">
        <v>497</v>
      </c>
      <c r="F620" t="s">
        <v>1139</v>
      </c>
      <c r="G620">
        <v>50000</v>
      </c>
      <c r="H620">
        <v>1973</v>
      </c>
      <c r="I620" t="s">
        <v>58</v>
      </c>
      <c r="J620" t="s">
        <v>58</v>
      </c>
      <c r="K620" t="s">
        <v>58</v>
      </c>
      <c r="L620" t="s">
        <v>58</v>
      </c>
      <c r="M620" t="s">
        <v>58</v>
      </c>
      <c r="N620" t="s">
        <v>61</v>
      </c>
      <c r="Q620" t="s">
        <v>58</v>
      </c>
      <c r="R620" s="11" t="str">
        <f>HYPERLINK("\\imagefiles.bcgov\imagery\scanned_maps\moe_terrain_maps\Scanned_T_maps_all\C05\C05-2229","\\imagefiles.bcgov\imagery\scanned_maps\moe_terrain_maps\Scanned_T_maps_all\C05\C05-2229")</f>
        <v>\\imagefiles.bcgov\imagery\scanned_maps\moe_terrain_maps\Scanned_T_maps_all\C05\C05-2229</v>
      </c>
      <c r="S620" t="s">
        <v>62</v>
      </c>
      <c r="T620" s="11" t="str">
        <f>HYPERLINK("http://www.env.gov.bc.ca/esd/distdata/ecosystems/TEI_Scanned_Maps/C05/C05-2229","http://www.env.gov.bc.ca/esd/distdata/ecosystems/TEI_Scanned_Maps/C05/C05-2229")</f>
        <v>http://www.env.gov.bc.ca/esd/distdata/ecosystems/TEI_Scanned_Maps/C05/C05-2229</v>
      </c>
      <c r="U620" t="s">
        <v>58</v>
      </c>
      <c r="V620" t="s">
        <v>58</v>
      </c>
      <c r="W620" t="s">
        <v>58</v>
      </c>
      <c r="X620" t="s">
        <v>58</v>
      </c>
      <c r="Y620" t="s">
        <v>58</v>
      </c>
      <c r="Z620" t="s">
        <v>58</v>
      </c>
      <c r="AA620" t="s">
        <v>58</v>
      </c>
      <c r="AC620" t="s">
        <v>58</v>
      </c>
      <c r="AE620" t="s">
        <v>58</v>
      </c>
      <c r="AG620" t="s">
        <v>63</v>
      </c>
      <c r="AH620" s="11" t="str">
        <f t="shared" si="12"/>
        <v>mailto: soilterrain@victoria1.gov.bc.ca</v>
      </c>
    </row>
    <row r="621" spans="1:34">
      <c r="A621" t="s">
        <v>1493</v>
      </c>
      <c r="B621" t="s">
        <v>56</v>
      </c>
      <c r="C621" s="10" t="s">
        <v>1494</v>
      </c>
      <c r="D621" t="s">
        <v>58</v>
      </c>
      <c r="E621" t="s">
        <v>497</v>
      </c>
      <c r="F621" t="s">
        <v>1139</v>
      </c>
      <c r="G621">
        <v>50000</v>
      </c>
      <c r="H621">
        <v>1986</v>
      </c>
      <c r="I621" t="s">
        <v>58</v>
      </c>
      <c r="J621" t="s">
        <v>58</v>
      </c>
      <c r="K621" t="s">
        <v>58</v>
      </c>
      <c r="L621" t="s">
        <v>58</v>
      </c>
      <c r="M621" t="s">
        <v>58</v>
      </c>
      <c r="N621" t="s">
        <v>61</v>
      </c>
      <c r="Q621" t="s">
        <v>58</v>
      </c>
      <c r="R621" s="11" t="str">
        <f>HYPERLINK("\\imagefiles.bcgov\imagery\scanned_maps\moe_terrain_maps\Scanned_T_maps_all\C05\C05-2231","\\imagefiles.bcgov\imagery\scanned_maps\moe_terrain_maps\Scanned_T_maps_all\C05\C05-2231")</f>
        <v>\\imagefiles.bcgov\imagery\scanned_maps\moe_terrain_maps\Scanned_T_maps_all\C05\C05-2231</v>
      </c>
      <c r="S621" t="s">
        <v>62</v>
      </c>
      <c r="T621" s="11" t="str">
        <f>HYPERLINK("http://www.env.gov.bc.ca/esd/distdata/ecosystems/TEI_Scanned_Maps/C05/C05-2231","http://www.env.gov.bc.ca/esd/distdata/ecosystems/TEI_Scanned_Maps/C05/C05-2231")</f>
        <v>http://www.env.gov.bc.ca/esd/distdata/ecosystems/TEI_Scanned_Maps/C05/C05-2231</v>
      </c>
      <c r="U621" t="s">
        <v>58</v>
      </c>
      <c r="V621" t="s">
        <v>58</v>
      </c>
      <c r="W621" t="s">
        <v>58</v>
      </c>
      <c r="X621" t="s">
        <v>58</v>
      </c>
      <c r="Y621" t="s">
        <v>58</v>
      </c>
      <c r="Z621" t="s">
        <v>58</v>
      </c>
      <c r="AA621" t="s">
        <v>58</v>
      </c>
      <c r="AC621" t="s">
        <v>58</v>
      </c>
      <c r="AE621" t="s">
        <v>58</v>
      </c>
      <c r="AG621" t="s">
        <v>63</v>
      </c>
      <c r="AH621" s="11" t="str">
        <f t="shared" si="12"/>
        <v>mailto: soilterrain@victoria1.gov.bc.ca</v>
      </c>
    </row>
    <row r="622" spans="1:34">
      <c r="A622" t="s">
        <v>1495</v>
      </c>
      <c r="B622" t="s">
        <v>56</v>
      </c>
      <c r="C622" s="10" t="s">
        <v>942</v>
      </c>
      <c r="D622" t="s">
        <v>58</v>
      </c>
      <c r="E622" t="s">
        <v>497</v>
      </c>
      <c r="F622" t="s">
        <v>1139</v>
      </c>
      <c r="G622">
        <v>50000</v>
      </c>
      <c r="H622">
        <v>1973</v>
      </c>
      <c r="I622" t="s">
        <v>58</v>
      </c>
      <c r="J622" t="s">
        <v>58</v>
      </c>
      <c r="K622" t="s">
        <v>58</v>
      </c>
      <c r="L622" t="s">
        <v>58</v>
      </c>
      <c r="M622" t="s">
        <v>58</v>
      </c>
      <c r="N622" t="s">
        <v>61</v>
      </c>
      <c r="Q622" t="s">
        <v>58</v>
      </c>
      <c r="R622" s="11" t="str">
        <f>HYPERLINK("\\imagefiles.bcgov\imagery\scanned_maps\moe_terrain_maps\Scanned_T_maps_all\C05\C05-2233","\\imagefiles.bcgov\imagery\scanned_maps\moe_terrain_maps\Scanned_T_maps_all\C05\C05-2233")</f>
        <v>\\imagefiles.bcgov\imagery\scanned_maps\moe_terrain_maps\Scanned_T_maps_all\C05\C05-2233</v>
      </c>
      <c r="S622" t="s">
        <v>62</v>
      </c>
      <c r="T622" s="11" t="str">
        <f>HYPERLINK("http://www.env.gov.bc.ca/esd/distdata/ecosystems/TEI_Scanned_Maps/C05/C05-2233","http://www.env.gov.bc.ca/esd/distdata/ecosystems/TEI_Scanned_Maps/C05/C05-2233")</f>
        <v>http://www.env.gov.bc.ca/esd/distdata/ecosystems/TEI_Scanned_Maps/C05/C05-2233</v>
      </c>
      <c r="U622" t="s">
        <v>58</v>
      </c>
      <c r="V622" t="s">
        <v>58</v>
      </c>
      <c r="W622" t="s">
        <v>58</v>
      </c>
      <c r="X622" t="s">
        <v>58</v>
      </c>
      <c r="Y622" t="s">
        <v>58</v>
      </c>
      <c r="Z622" t="s">
        <v>58</v>
      </c>
      <c r="AA622" t="s">
        <v>58</v>
      </c>
      <c r="AC622" t="s">
        <v>58</v>
      </c>
      <c r="AE622" t="s">
        <v>58</v>
      </c>
      <c r="AG622" t="s">
        <v>63</v>
      </c>
      <c r="AH622" s="11" t="str">
        <f t="shared" si="12"/>
        <v>mailto: soilterrain@victoria1.gov.bc.ca</v>
      </c>
    </row>
    <row r="623" spans="1:34">
      <c r="A623" t="s">
        <v>1496</v>
      </c>
      <c r="B623" t="s">
        <v>56</v>
      </c>
      <c r="C623" s="10" t="s">
        <v>1497</v>
      </c>
      <c r="D623" t="s">
        <v>58</v>
      </c>
      <c r="E623" t="s">
        <v>497</v>
      </c>
      <c r="F623" t="s">
        <v>1139</v>
      </c>
      <c r="G623">
        <v>50000</v>
      </c>
      <c r="H623">
        <v>1986</v>
      </c>
      <c r="I623" t="s">
        <v>58</v>
      </c>
      <c r="J623" t="s">
        <v>58</v>
      </c>
      <c r="K623" t="s">
        <v>58</v>
      </c>
      <c r="L623" t="s">
        <v>58</v>
      </c>
      <c r="M623" t="s">
        <v>58</v>
      </c>
      <c r="N623" t="s">
        <v>61</v>
      </c>
      <c r="Q623" t="s">
        <v>58</v>
      </c>
      <c r="R623" s="11" t="str">
        <f>HYPERLINK("\\imagefiles.bcgov\imagery\scanned_maps\moe_terrain_maps\Scanned_T_maps_all\C05\C05-2235","\\imagefiles.bcgov\imagery\scanned_maps\moe_terrain_maps\Scanned_T_maps_all\C05\C05-2235")</f>
        <v>\\imagefiles.bcgov\imagery\scanned_maps\moe_terrain_maps\Scanned_T_maps_all\C05\C05-2235</v>
      </c>
      <c r="S623" t="s">
        <v>62</v>
      </c>
      <c r="T623" s="11" t="str">
        <f>HYPERLINK("http://www.env.gov.bc.ca/esd/distdata/ecosystems/TEI_Scanned_Maps/C05/C05-2235","http://www.env.gov.bc.ca/esd/distdata/ecosystems/TEI_Scanned_Maps/C05/C05-2235")</f>
        <v>http://www.env.gov.bc.ca/esd/distdata/ecosystems/TEI_Scanned_Maps/C05/C05-2235</v>
      </c>
      <c r="U623" t="s">
        <v>58</v>
      </c>
      <c r="V623" t="s">
        <v>58</v>
      </c>
      <c r="W623" t="s">
        <v>58</v>
      </c>
      <c r="X623" t="s">
        <v>58</v>
      </c>
      <c r="Y623" t="s">
        <v>58</v>
      </c>
      <c r="Z623" t="s">
        <v>58</v>
      </c>
      <c r="AA623" t="s">
        <v>58</v>
      </c>
      <c r="AC623" t="s">
        <v>58</v>
      </c>
      <c r="AE623" t="s">
        <v>58</v>
      </c>
      <c r="AG623" t="s">
        <v>63</v>
      </c>
      <c r="AH623" s="11" t="str">
        <f t="shared" si="12"/>
        <v>mailto: soilterrain@victoria1.gov.bc.ca</v>
      </c>
    </row>
    <row r="624" spans="1:34">
      <c r="A624" t="s">
        <v>1498</v>
      </c>
      <c r="B624" t="s">
        <v>56</v>
      </c>
      <c r="C624" s="10" t="s">
        <v>1499</v>
      </c>
      <c r="D624" t="s">
        <v>58</v>
      </c>
      <c r="E624" t="s">
        <v>497</v>
      </c>
      <c r="F624" t="s">
        <v>1139</v>
      </c>
      <c r="G624">
        <v>50000</v>
      </c>
      <c r="H624" t="s">
        <v>187</v>
      </c>
      <c r="I624" t="s">
        <v>58</v>
      </c>
      <c r="J624" t="s">
        <v>58</v>
      </c>
      <c r="K624" t="s">
        <v>58</v>
      </c>
      <c r="L624" t="s">
        <v>58</v>
      </c>
      <c r="M624" t="s">
        <v>58</v>
      </c>
      <c r="N624" t="s">
        <v>61</v>
      </c>
      <c r="Q624" t="s">
        <v>58</v>
      </c>
      <c r="R624" s="11" t="str">
        <f>HYPERLINK("\\imagefiles.bcgov\imagery\scanned_maps\moe_terrain_maps\Scanned_T_maps_all\C05\C05-2237","\\imagefiles.bcgov\imagery\scanned_maps\moe_terrain_maps\Scanned_T_maps_all\C05\C05-2237")</f>
        <v>\\imagefiles.bcgov\imagery\scanned_maps\moe_terrain_maps\Scanned_T_maps_all\C05\C05-2237</v>
      </c>
      <c r="S624" t="s">
        <v>62</v>
      </c>
      <c r="T624" s="11" t="str">
        <f>HYPERLINK("http://www.env.gov.bc.ca/esd/distdata/ecosystems/TEI_Scanned_Maps/C05/C05-2237","http://www.env.gov.bc.ca/esd/distdata/ecosystems/TEI_Scanned_Maps/C05/C05-2237")</f>
        <v>http://www.env.gov.bc.ca/esd/distdata/ecosystems/TEI_Scanned_Maps/C05/C05-2237</v>
      </c>
      <c r="U624" t="s">
        <v>58</v>
      </c>
      <c r="V624" t="s">
        <v>58</v>
      </c>
      <c r="W624" t="s">
        <v>58</v>
      </c>
      <c r="X624" t="s">
        <v>58</v>
      </c>
      <c r="Y624" t="s">
        <v>58</v>
      </c>
      <c r="Z624" t="s">
        <v>58</v>
      </c>
      <c r="AA624" t="s">
        <v>58</v>
      </c>
      <c r="AC624" t="s">
        <v>58</v>
      </c>
      <c r="AE624" t="s">
        <v>58</v>
      </c>
      <c r="AG624" t="s">
        <v>63</v>
      </c>
      <c r="AH624" s="11" t="str">
        <f t="shared" si="12"/>
        <v>mailto: soilterrain@victoria1.gov.bc.ca</v>
      </c>
    </row>
    <row r="625" spans="1:34">
      <c r="A625" t="s">
        <v>1500</v>
      </c>
      <c r="B625" t="s">
        <v>56</v>
      </c>
      <c r="C625" s="10" t="s">
        <v>1501</v>
      </c>
      <c r="D625" t="s">
        <v>58</v>
      </c>
      <c r="E625" t="s">
        <v>497</v>
      </c>
      <c r="F625" t="s">
        <v>1139</v>
      </c>
      <c r="G625">
        <v>50000</v>
      </c>
      <c r="H625" t="s">
        <v>187</v>
      </c>
      <c r="I625" t="s">
        <v>58</v>
      </c>
      <c r="J625" t="s">
        <v>58</v>
      </c>
      <c r="K625" t="s">
        <v>58</v>
      </c>
      <c r="L625" t="s">
        <v>58</v>
      </c>
      <c r="M625" t="s">
        <v>58</v>
      </c>
      <c r="N625" t="s">
        <v>61</v>
      </c>
      <c r="Q625" t="s">
        <v>58</v>
      </c>
      <c r="R625" s="11" t="str">
        <f>HYPERLINK("\\imagefiles.bcgov\imagery\scanned_maps\moe_terrain_maps\Scanned_T_maps_all\C05\C05-2239","\\imagefiles.bcgov\imagery\scanned_maps\moe_terrain_maps\Scanned_T_maps_all\C05\C05-2239")</f>
        <v>\\imagefiles.bcgov\imagery\scanned_maps\moe_terrain_maps\Scanned_T_maps_all\C05\C05-2239</v>
      </c>
      <c r="S625" t="s">
        <v>62</v>
      </c>
      <c r="T625" s="11" t="str">
        <f>HYPERLINK("http://www.env.gov.bc.ca/esd/distdata/ecosystems/TEI_Scanned_Maps/C05/C05-2239","http://www.env.gov.bc.ca/esd/distdata/ecosystems/TEI_Scanned_Maps/C05/C05-2239")</f>
        <v>http://www.env.gov.bc.ca/esd/distdata/ecosystems/TEI_Scanned_Maps/C05/C05-2239</v>
      </c>
      <c r="U625" t="s">
        <v>58</v>
      </c>
      <c r="V625" t="s">
        <v>58</v>
      </c>
      <c r="W625" t="s">
        <v>58</v>
      </c>
      <c r="X625" t="s">
        <v>58</v>
      </c>
      <c r="Y625" t="s">
        <v>58</v>
      </c>
      <c r="Z625" t="s">
        <v>58</v>
      </c>
      <c r="AA625" t="s">
        <v>58</v>
      </c>
      <c r="AC625" t="s">
        <v>58</v>
      </c>
      <c r="AE625" t="s">
        <v>58</v>
      </c>
      <c r="AG625" t="s">
        <v>63</v>
      </c>
      <c r="AH625" s="11" t="str">
        <f t="shared" si="12"/>
        <v>mailto: soilterrain@victoria1.gov.bc.ca</v>
      </c>
    </row>
    <row r="626" spans="1:34">
      <c r="A626" t="s">
        <v>1502</v>
      </c>
      <c r="B626" t="s">
        <v>56</v>
      </c>
      <c r="C626" s="10" t="s">
        <v>1503</v>
      </c>
      <c r="D626" t="s">
        <v>58</v>
      </c>
      <c r="E626" t="s">
        <v>497</v>
      </c>
      <c r="F626" t="s">
        <v>1139</v>
      </c>
      <c r="G626">
        <v>50000</v>
      </c>
      <c r="H626">
        <v>1974</v>
      </c>
      <c r="I626" t="s">
        <v>58</v>
      </c>
      <c r="J626" t="s">
        <v>58</v>
      </c>
      <c r="K626" t="s">
        <v>58</v>
      </c>
      <c r="L626" t="s">
        <v>58</v>
      </c>
      <c r="M626" t="s">
        <v>58</v>
      </c>
      <c r="N626" t="s">
        <v>61</v>
      </c>
      <c r="Q626" t="s">
        <v>58</v>
      </c>
      <c r="R626" s="11" t="str">
        <f>HYPERLINK("\\imagefiles.bcgov\imagery\scanned_maps\moe_terrain_maps\Scanned_T_maps_all\C05\C05-2241","\\imagefiles.bcgov\imagery\scanned_maps\moe_terrain_maps\Scanned_T_maps_all\C05\C05-2241")</f>
        <v>\\imagefiles.bcgov\imagery\scanned_maps\moe_terrain_maps\Scanned_T_maps_all\C05\C05-2241</v>
      </c>
      <c r="S626" t="s">
        <v>62</v>
      </c>
      <c r="T626" s="11" t="str">
        <f>HYPERLINK("http://www.env.gov.bc.ca/esd/distdata/ecosystems/TEI_Scanned_Maps/C05/C05-2241","http://www.env.gov.bc.ca/esd/distdata/ecosystems/TEI_Scanned_Maps/C05/C05-2241")</f>
        <v>http://www.env.gov.bc.ca/esd/distdata/ecosystems/TEI_Scanned_Maps/C05/C05-2241</v>
      </c>
      <c r="U626" t="s">
        <v>58</v>
      </c>
      <c r="V626" t="s">
        <v>58</v>
      </c>
      <c r="W626" t="s">
        <v>58</v>
      </c>
      <c r="X626" t="s">
        <v>58</v>
      </c>
      <c r="Y626" t="s">
        <v>58</v>
      </c>
      <c r="Z626" t="s">
        <v>58</v>
      </c>
      <c r="AA626" t="s">
        <v>58</v>
      </c>
      <c r="AC626" t="s">
        <v>58</v>
      </c>
      <c r="AE626" t="s">
        <v>58</v>
      </c>
      <c r="AG626" t="s">
        <v>63</v>
      </c>
      <c r="AH626" s="11" t="str">
        <f t="shared" si="12"/>
        <v>mailto: soilterrain@victoria1.gov.bc.ca</v>
      </c>
    </row>
    <row r="627" spans="1:34">
      <c r="A627" t="s">
        <v>1504</v>
      </c>
      <c r="B627" t="s">
        <v>56</v>
      </c>
      <c r="C627" s="10" t="s">
        <v>1505</v>
      </c>
      <c r="D627" t="s">
        <v>58</v>
      </c>
      <c r="E627" t="s">
        <v>497</v>
      </c>
      <c r="F627" t="s">
        <v>1461</v>
      </c>
      <c r="G627">
        <v>50000</v>
      </c>
      <c r="H627" t="s">
        <v>187</v>
      </c>
      <c r="I627" t="s">
        <v>58</v>
      </c>
      <c r="J627" t="s">
        <v>58</v>
      </c>
      <c r="K627" t="s">
        <v>58</v>
      </c>
      <c r="L627" t="s">
        <v>58</v>
      </c>
      <c r="M627" t="s">
        <v>58</v>
      </c>
      <c r="N627" t="s">
        <v>61</v>
      </c>
      <c r="Q627" t="s">
        <v>58</v>
      </c>
      <c r="R627" s="11" t="str">
        <f>HYPERLINK("\\imagefiles.bcgov\imagery\scanned_maps\moe_terrain_maps\Scanned_T_maps_all\C05\C05-2265","\\imagefiles.bcgov\imagery\scanned_maps\moe_terrain_maps\Scanned_T_maps_all\C05\C05-2265")</f>
        <v>\\imagefiles.bcgov\imagery\scanned_maps\moe_terrain_maps\Scanned_T_maps_all\C05\C05-2265</v>
      </c>
      <c r="S627" t="s">
        <v>62</v>
      </c>
      <c r="T627" s="11" t="str">
        <f>HYPERLINK("http://www.env.gov.bc.ca/esd/distdata/ecosystems/TEI_Scanned_Maps/C05/C05-2265","http://www.env.gov.bc.ca/esd/distdata/ecosystems/TEI_Scanned_Maps/C05/C05-2265")</f>
        <v>http://www.env.gov.bc.ca/esd/distdata/ecosystems/TEI_Scanned_Maps/C05/C05-2265</v>
      </c>
      <c r="U627" t="s">
        <v>58</v>
      </c>
      <c r="V627" t="s">
        <v>58</v>
      </c>
      <c r="W627" t="s">
        <v>58</v>
      </c>
      <c r="X627" t="s">
        <v>58</v>
      </c>
      <c r="Y627" t="s">
        <v>58</v>
      </c>
      <c r="Z627" t="s">
        <v>58</v>
      </c>
      <c r="AA627" t="s">
        <v>58</v>
      </c>
      <c r="AC627" t="s">
        <v>58</v>
      </c>
      <c r="AE627" t="s">
        <v>58</v>
      </c>
      <c r="AG627" t="s">
        <v>63</v>
      </c>
      <c r="AH627" s="11" t="str">
        <f t="shared" si="12"/>
        <v>mailto: soilterrain@victoria1.gov.bc.ca</v>
      </c>
    </row>
    <row r="628" spans="1:34">
      <c r="A628" t="s">
        <v>1506</v>
      </c>
      <c r="B628" t="s">
        <v>56</v>
      </c>
      <c r="C628" s="10" t="s">
        <v>1505</v>
      </c>
      <c r="D628" t="s">
        <v>61</v>
      </c>
      <c r="E628" t="s">
        <v>497</v>
      </c>
      <c r="F628" t="s">
        <v>1459</v>
      </c>
      <c r="G628">
        <v>50000</v>
      </c>
      <c r="H628" t="s">
        <v>187</v>
      </c>
      <c r="I628" t="s">
        <v>58</v>
      </c>
      <c r="J628" t="s">
        <v>58</v>
      </c>
      <c r="K628" t="s">
        <v>58</v>
      </c>
      <c r="L628" t="s">
        <v>58</v>
      </c>
      <c r="M628" t="s">
        <v>58</v>
      </c>
      <c r="N628" t="s">
        <v>61</v>
      </c>
      <c r="Q628" t="s">
        <v>58</v>
      </c>
      <c r="R628" s="11" t="str">
        <f>HYPERLINK("\\imagefiles.bcgov\imagery\scanned_maps\moe_terrain_maps\Scanned_T_maps_all\C05\C05-2267","\\imagefiles.bcgov\imagery\scanned_maps\moe_terrain_maps\Scanned_T_maps_all\C05\C05-2267")</f>
        <v>\\imagefiles.bcgov\imagery\scanned_maps\moe_terrain_maps\Scanned_T_maps_all\C05\C05-2267</v>
      </c>
      <c r="S628" t="s">
        <v>62</v>
      </c>
      <c r="T628" s="11" t="str">
        <f>HYPERLINK("http://www.env.gov.bc.ca/esd/distdata/ecosystems/TEI_Scanned_Maps/C05/C05-2267","http://www.env.gov.bc.ca/esd/distdata/ecosystems/TEI_Scanned_Maps/C05/C05-2267")</f>
        <v>http://www.env.gov.bc.ca/esd/distdata/ecosystems/TEI_Scanned_Maps/C05/C05-2267</v>
      </c>
      <c r="U628" t="s">
        <v>58</v>
      </c>
      <c r="V628" t="s">
        <v>58</v>
      </c>
      <c r="W628" t="s">
        <v>58</v>
      </c>
      <c r="X628" t="s">
        <v>58</v>
      </c>
      <c r="Y628" t="s">
        <v>58</v>
      </c>
      <c r="Z628" t="s">
        <v>58</v>
      </c>
      <c r="AA628" t="s">
        <v>58</v>
      </c>
      <c r="AC628" t="s">
        <v>58</v>
      </c>
      <c r="AE628" t="s">
        <v>58</v>
      </c>
      <c r="AG628" t="s">
        <v>63</v>
      </c>
      <c r="AH628" s="11" t="str">
        <f t="shared" si="12"/>
        <v>mailto: soilterrain@victoria1.gov.bc.ca</v>
      </c>
    </row>
    <row r="629" spans="1:34">
      <c r="A629" t="s">
        <v>1507</v>
      </c>
      <c r="B629" t="s">
        <v>56</v>
      </c>
      <c r="C629" s="10" t="s">
        <v>1508</v>
      </c>
      <c r="D629" t="s">
        <v>58</v>
      </c>
      <c r="E629" t="s">
        <v>497</v>
      </c>
      <c r="F629" t="s">
        <v>1459</v>
      </c>
      <c r="G629">
        <v>50000</v>
      </c>
      <c r="H629">
        <v>1986</v>
      </c>
      <c r="I629" t="s">
        <v>58</v>
      </c>
      <c r="J629" t="s">
        <v>58</v>
      </c>
      <c r="K629" t="s">
        <v>58</v>
      </c>
      <c r="L629" t="s">
        <v>58</v>
      </c>
      <c r="M629" t="s">
        <v>58</v>
      </c>
      <c r="N629" t="s">
        <v>61</v>
      </c>
      <c r="Q629" t="s">
        <v>58</v>
      </c>
      <c r="R629" s="11" t="str">
        <f>HYPERLINK("\\imagefiles.bcgov\imagery\scanned_maps\moe_terrain_maps\Scanned_T_maps_all\C05\C05-2268","\\imagefiles.bcgov\imagery\scanned_maps\moe_terrain_maps\Scanned_T_maps_all\C05\C05-2268")</f>
        <v>\\imagefiles.bcgov\imagery\scanned_maps\moe_terrain_maps\Scanned_T_maps_all\C05\C05-2268</v>
      </c>
      <c r="S629" t="s">
        <v>62</v>
      </c>
      <c r="T629" s="11" t="str">
        <f>HYPERLINK("http://www.env.gov.bc.ca/esd/distdata/ecosystems/TEI_Scanned_Maps/C05/C05-2268","http://www.env.gov.bc.ca/esd/distdata/ecosystems/TEI_Scanned_Maps/C05/C05-2268")</f>
        <v>http://www.env.gov.bc.ca/esd/distdata/ecosystems/TEI_Scanned_Maps/C05/C05-2268</v>
      </c>
      <c r="U629" t="s">
        <v>58</v>
      </c>
      <c r="V629" t="s">
        <v>58</v>
      </c>
      <c r="W629" t="s">
        <v>58</v>
      </c>
      <c r="X629" t="s">
        <v>58</v>
      </c>
      <c r="Y629" t="s">
        <v>58</v>
      </c>
      <c r="Z629" t="s">
        <v>58</v>
      </c>
      <c r="AA629" t="s">
        <v>58</v>
      </c>
      <c r="AC629" t="s">
        <v>58</v>
      </c>
      <c r="AE629" t="s">
        <v>58</v>
      </c>
      <c r="AG629" t="s">
        <v>63</v>
      </c>
      <c r="AH629" s="11" t="str">
        <f t="shared" si="12"/>
        <v>mailto: soilterrain@victoria1.gov.bc.ca</v>
      </c>
    </row>
    <row r="630" spans="1:34">
      <c r="A630" t="s">
        <v>1509</v>
      </c>
      <c r="B630" t="s">
        <v>56</v>
      </c>
      <c r="C630" s="10" t="s">
        <v>1508</v>
      </c>
      <c r="D630" t="s">
        <v>58</v>
      </c>
      <c r="E630" t="s">
        <v>497</v>
      </c>
      <c r="F630" t="s">
        <v>1461</v>
      </c>
      <c r="G630">
        <v>50000</v>
      </c>
      <c r="H630" t="s">
        <v>187</v>
      </c>
      <c r="I630" t="s">
        <v>58</v>
      </c>
      <c r="J630" t="s">
        <v>58</v>
      </c>
      <c r="K630" t="s">
        <v>58</v>
      </c>
      <c r="L630" t="s">
        <v>58</v>
      </c>
      <c r="M630" t="s">
        <v>58</v>
      </c>
      <c r="N630" t="s">
        <v>61</v>
      </c>
      <c r="Q630" t="s">
        <v>58</v>
      </c>
      <c r="R630" s="11" t="str">
        <f>HYPERLINK("\\imagefiles.bcgov\imagery\scanned_maps\moe_terrain_maps\Scanned_T_maps_all\C05\C05-2269","\\imagefiles.bcgov\imagery\scanned_maps\moe_terrain_maps\Scanned_T_maps_all\C05\C05-2269")</f>
        <v>\\imagefiles.bcgov\imagery\scanned_maps\moe_terrain_maps\Scanned_T_maps_all\C05\C05-2269</v>
      </c>
      <c r="S630" t="s">
        <v>62</v>
      </c>
      <c r="T630" s="11" t="str">
        <f>HYPERLINK("http://www.env.gov.bc.ca/esd/distdata/ecosystems/TEI_Scanned_Maps/C05/C05-2269","http://www.env.gov.bc.ca/esd/distdata/ecosystems/TEI_Scanned_Maps/C05/C05-2269")</f>
        <v>http://www.env.gov.bc.ca/esd/distdata/ecosystems/TEI_Scanned_Maps/C05/C05-2269</v>
      </c>
      <c r="U630" t="s">
        <v>58</v>
      </c>
      <c r="V630" t="s">
        <v>58</v>
      </c>
      <c r="W630" t="s">
        <v>58</v>
      </c>
      <c r="X630" t="s">
        <v>58</v>
      </c>
      <c r="Y630" t="s">
        <v>58</v>
      </c>
      <c r="Z630" t="s">
        <v>58</v>
      </c>
      <c r="AA630" t="s">
        <v>58</v>
      </c>
      <c r="AC630" t="s">
        <v>58</v>
      </c>
      <c r="AE630" t="s">
        <v>58</v>
      </c>
      <c r="AG630" t="s">
        <v>63</v>
      </c>
      <c r="AH630" s="11" t="str">
        <f t="shared" si="12"/>
        <v>mailto: soilterrain@victoria1.gov.bc.ca</v>
      </c>
    </row>
    <row r="631" spans="1:34">
      <c r="A631" t="s">
        <v>1510</v>
      </c>
      <c r="B631" t="s">
        <v>56</v>
      </c>
      <c r="C631" s="10" t="s">
        <v>1511</v>
      </c>
      <c r="D631" t="s">
        <v>58</v>
      </c>
      <c r="E631" t="s">
        <v>497</v>
      </c>
      <c r="F631" t="s">
        <v>502</v>
      </c>
      <c r="G631">
        <v>50000</v>
      </c>
      <c r="H631" t="s">
        <v>187</v>
      </c>
      <c r="I631" t="s">
        <v>58</v>
      </c>
      <c r="J631" t="s">
        <v>58</v>
      </c>
      <c r="K631" t="s">
        <v>58</v>
      </c>
      <c r="L631" t="s">
        <v>58</v>
      </c>
      <c r="M631" t="s">
        <v>58</v>
      </c>
      <c r="N631" t="s">
        <v>61</v>
      </c>
      <c r="Q631" t="s">
        <v>58</v>
      </c>
      <c r="R631" s="11" t="str">
        <f>HYPERLINK("\\imagefiles.bcgov\imagery\scanned_maps\moe_terrain_maps\Scanned_T_maps_all\C05\C05-2271","\\imagefiles.bcgov\imagery\scanned_maps\moe_terrain_maps\Scanned_T_maps_all\C05\C05-2271")</f>
        <v>\\imagefiles.bcgov\imagery\scanned_maps\moe_terrain_maps\Scanned_T_maps_all\C05\C05-2271</v>
      </c>
      <c r="S631" t="s">
        <v>62</v>
      </c>
      <c r="T631" s="11" t="str">
        <f>HYPERLINK("http://www.env.gov.bc.ca/esd/distdata/ecosystems/TEI_Scanned_Maps/C05/C05-2271","http://www.env.gov.bc.ca/esd/distdata/ecosystems/TEI_Scanned_Maps/C05/C05-2271")</f>
        <v>http://www.env.gov.bc.ca/esd/distdata/ecosystems/TEI_Scanned_Maps/C05/C05-2271</v>
      </c>
      <c r="U631" t="s">
        <v>58</v>
      </c>
      <c r="V631" t="s">
        <v>58</v>
      </c>
      <c r="W631" t="s">
        <v>58</v>
      </c>
      <c r="X631" t="s">
        <v>58</v>
      </c>
      <c r="Y631" t="s">
        <v>58</v>
      </c>
      <c r="Z631" t="s">
        <v>58</v>
      </c>
      <c r="AA631" t="s">
        <v>58</v>
      </c>
      <c r="AC631" t="s">
        <v>58</v>
      </c>
      <c r="AE631" t="s">
        <v>58</v>
      </c>
      <c r="AG631" t="s">
        <v>63</v>
      </c>
      <c r="AH631" s="11" t="str">
        <f t="shared" si="12"/>
        <v>mailto: soilterrain@victoria1.gov.bc.ca</v>
      </c>
    </row>
    <row r="632" spans="1:34">
      <c r="A632" t="s">
        <v>1512</v>
      </c>
      <c r="B632" t="s">
        <v>56</v>
      </c>
      <c r="C632" s="10" t="s">
        <v>1513</v>
      </c>
      <c r="D632" t="s">
        <v>58</v>
      </c>
      <c r="E632" t="s">
        <v>497</v>
      </c>
      <c r="F632" t="s">
        <v>502</v>
      </c>
      <c r="G632">
        <v>50000</v>
      </c>
      <c r="H632" t="s">
        <v>187</v>
      </c>
      <c r="I632" t="s">
        <v>58</v>
      </c>
      <c r="J632" t="s">
        <v>58</v>
      </c>
      <c r="K632" t="s">
        <v>58</v>
      </c>
      <c r="L632" t="s">
        <v>58</v>
      </c>
      <c r="M632" t="s">
        <v>58</v>
      </c>
      <c r="N632" t="s">
        <v>61</v>
      </c>
      <c r="Q632" t="s">
        <v>58</v>
      </c>
      <c r="R632" s="11" t="str">
        <f>HYPERLINK("\\imagefiles.bcgov\imagery\scanned_maps\moe_terrain_maps\Scanned_T_maps_all\C05\C05-2273","\\imagefiles.bcgov\imagery\scanned_maps\moe_terrain_maps\Scanned_T_maps_all\C05\C05-2273")</f>
        <v>\\imagefiles.bcgov\imagery\scanned_maps\moe_terrain_maps\Scanned_T_maps_all\C05\C05-2273</v>
      </c>
      <c r="S632" t="s">
        <v>62</v>
      </c>
      <c r="T632" s="11" t="str">
        <f>HYPERLINK("http://www.env.gov.bc.ca/esd/distdata/ecosystems/TEI_Scanned_Maps/C05/C05-2273","http://www.env.gov.bc.ca/esd/distdata/ecosystems/TEI_Scanned_Maps/C05/C05-2273")</f>
        <v>http://www.env.gov.bc.ca/esd/distdata/ecosystems/TEI_Scanned_Maps/C05/C05-2273</v>
      </c>
      <c r="U632" t="s">
        <v>58</v>
      </c>
      <c r="V632" t="s">
        <v>58</v>
      </c>
      <c r="W632" t="s">
        <v>58</v>
      </c>
      <c r="X632" t="s">
        <v>58</v>
      </c>
      <c r="Y632" t="s">
        <v>58</v>
      </c>
      <c r="Z632" t="s">
        <v>58</v>
      </c>
      <c r="AA632" t="s">
        <v>58</v>
      </c>
      <c r="AC632" t="s">
        <v>58</v>
      </c>
      <c r="AE632" t="s">
        <v>58</v>
      </c>
      <c r="AG632" t="s">
        <v>63</v>
      </c>
      <c r="AH632" s="11" t="str">
        <f t="shared" si="12"/>
        <v>mailto: soilterrain@victoria1.gov.bc.ca</v>
      </c>
    </row>
    <row r="633" spans="1:34">
      <c r="A633" t="s">
        <v>1514</v>
      </c>
      <c r="B633" t="s">
        <v>56</v>
      </c>
      <c r="C633" s="10" t="s">
        <v>1515</v>
      </c>
      <c r="D633" t="s">
        <v>58</v>
      </c>
      <c r="E633" t="s">
        <v>497</v>
      </c>
      <c r="F633" t="s">
        <v>502</v>
      </c>
      <c r="G633">
        <v>50000</v>
      </c>
      <c r="H633">
        <v>1974</v>
      </c>
      <c r="I633" t="s">
        <v>58</v>
      </c>
      <c r="J633" t="s">
        <v>58</v>
      </c>
      <c r="K633" t="s">
        <v>58</v>
      </c>
      <c r="L633" t="s">
        <v>58</v>
      </c>
      <c r="M633" t="s">
        <v>58</v>
      </c>
      <c r="N633" t="s">
        <v>61</v>
      </c>
      <c r="Q633" t="s">
        <v>58</v>
      </c>
      <c r="R633" s="11" t="str">
        <f>HYPERLINK("\\imagefiles.bcgov\imagery\scanned_maps\moe_terrain_maps\Scanned_T_maps_all\C05\C05-2275","\\imagefiles.bcgov\imagery\scanned_maps\moe_terrain_maps\Scanned_T_maps_all\C05\C05-2275")</f>
        <v>\\imagefiles.bcgov\imagery\scanned_maps\moe_terrain_maps\Scanned_T_maps_all\C05\C05-2275</v>
      </c>
      <c r="S633" t="s">
        <v>62</v>
      </c>
      <c r="T633" s="11" t="str">
        <f>HYPERLINK("http://www.env.gov.bc.ca/esd/distdata/ecosystems/TEI_Scanned_Maps/C05/C05-2275","http://www.env.gov.bc.ca/esd/distdata/ecosystems/TEI_Scanned_Maps/C05/C05-2275")</f>
        <v>http://www.env.gov.bc.ca/esd/distdata/ecosystems/TEI_Scanned_Maps/C05/C05-2275</v>
      </c>
      <c r="U633" t="s">
        <v>58</v>
      </c>
      <c r="V633" t="s">
        <v>58</v>
      </c>
      <c r="W633" t="s">
        <v>58</v>
      </c>
      <c r="X633" t="s">
        <v>58</v>
      </c>
      <c r="Y633" t="s">
        <v>58</v>
      </c>
      <c r="Z633" t="s">
        <v>58</v>
      </c>
      <c r="AA633" t="s">
        <v>58</v>
      </c>
      <c r="AC633" t="s">
        <v>58</v>
      </c>
      <c r="AE633" t="s">
        <v>58</v>
      </c>
      <c r="AG633" t="s">
        <v>63</v>
      </c>
      <c r="AH633" s="11" t="str">
        <f t="shared" si="12"/>
        <v>mailto: soilterrain@victoria1.gov.bc.ca</v>
      </c>
    </row>
    <row r="634" spans="1:34">
      <c r="A634" t="s">
        <v>1516</v>
      </c>
      <c r="B634" t="s">
        <v>56</v>
      </c>
      <c r="C634" s="10" t="s">
        <v>1517</v>
      </c>
      <c r="D634" t="s">
        <v>58</v>
      </c>
      <c r="E634" t="s">
        <v>497</v>
      </c>
      <c r="F634" t="s">
        <v>502</v>
      </c>
      <c r="G634">
        <v>50000</v>
      </c>
      <c r="H634" t="s">
        <v>187</v>
      </c>
      <c r="I634" t="s">
        <v>58</v>
      </c>
      <c r="J634" t="s">
        <v>58</v>
      </c>
      <c r="K634" t="s">
        <v>58</v>
      </c>
      <c r="L634" t="s">
        <v>58</v>
      </c>
      <c r="M634" t="s">
        <v>58</v>
      </c>
      <c r="N634" t="s">
        <v>61</v>
      </c>
      <c r="Q634" t="s">
        <v>58</v>
      </c>
      <c r="R634" s="11" t="str">
        <f>HYPERLINK("\\imagefiles.bcgov\imagery\scanned_maps\moe_terrain_maps\Scanned_T_maps_all\C05\C05-2277","\\imagefiles.bcgov\imagery\scanned_maps\moe_terrain_maps\Scanned_T_maps_all\C05\C05-2277")</f>
        <v>\\imagefiles.bcgov\imagery\scanned_maps\moe_terrain_maps\Scanned_T_maps_all\C05\C05-2277</v>
      </c>
      <c r="S634" t="s">
        <v>62</v>
      </c>
      <c r="T634" s="11" t="str">
        <f>HYPERLINK("http://www.env.gov.bc.ca/esd/distdata/ecosystems/TEI_Scanned_Maps/C05/C05-2277","http://www.env.gov.bc.ca/esd/distdata/ecosystems/TEI_Scanned_Maps/C05/C05-2277")</f>
        <v>http://www.env.gov.bc.ca/esd/distdata/ecosystems/TEI_Scanned_Maps/C05/C05-2277</v>
      </c>
      <c r="U634" t="s">
        <v>58</v>
      </c>
      <c r="V634" t="s">
        <v>58</v>
      </c>
      <c r="W634" t="s">
        <v>58</v>
      </c>
      <c r="X634" t="s">
        <v>58</v>
      </c>
      <c r="Y634" t="s">
        <v>58</v>
      </c>
      <c r="Z634" t="s">
        <v>58</v>
      </c>
      <c r="AA634" t="s">
        <v>58</v>
      </c>
      <c r="AC634" t="s">
        <v>58</v>
      </c>
      <c r="AE634" t="s">
        <v>58</v>
      </c>
      <c r="AG634" t="s">
        <v>63</v>
      </c>
      <c r="AH634" s="11" t="str">
        <f t="shared" si="12"/>
        <v>mailto: soilterrain@victoria1.gov.bc.ca</v>
      </c>
    </row>
    <row r="635" spans="1:34">
      <c r="A635" t="s">
        <v>1518</v>
      </c>
      <c r="B635" t="s">
        <v>56</v>
      </c>
      <c r="C635" s="10" t="s">
        <v>1519</v>
      </c>
      <c r="D635" t="s">
        <v>58</v>
      </c>
      <c r="E635" t="s">
        <v>497</v>
      </c>
      <c r="F635" t="s">
        <v>1459</v>
      </c>
      <c r="G635">
        <v>50000</v>
      </c>
      <c r="H635" t="s">
        <v>187</v>
      </c>
      <c r="I635" t="s">
        <v>58</v>
      </c>
      <c r="J635" t="s">
        <v>58</v>
      </c>
      <c r="K635" t="s">
        <v>58</v>
      </c>
      <c r="L635" t="s">
        <v>58</v>
      </c>
      <c r="M635" t="s">
        <v>58</v>
      </c>
      <c r="N635" t="s">
        <v>61</v>
      </c>
      <c r="Q635" t="s">
        <v>58</v>
      </c>
      <c r="R635" s="11" t="str">
        <f>HYPERLINK("\\imagefiles.bcgov\imagery\scanned_maps\moe_terrain_maps\Scanned_T_maps_all\C05\C05-2279","\\imagefiles.bcgov\imagery\scanned_maps\moe_terrain_maps\Scanned_T_maps_all\C05\C05-2279")</f>
        <v>\\imagefiles.bcgov\imagery\scanned_maps\moe_terrain_maps\Scanned_T_maps_all\C05\C05-2279</v>
      </c>
      <c r="S635" t="s">
        <v>62</v>
      </c>
      <c r="T635" s="11" t="str">
        <f>HYPERLINK("http://www.env.gov.bc.ca/esd/distdata/ecosystems/TEI_Scanned_Maps/C05/C05-2279","http://www.env.gov.bc.ca/esd/distdata/ecosystems/TEI_Scanned_Maps/C05/C05-2279")</f>
        <v>http://www.env.gov.bc.ca/esd/distdata/ecosystems/TEI_Scanned_Maps/C05/C05-2279</v>
      </c>
      <c r="U635" t="s">
        <v>58</v>
      </c>
      <c r="V635" t="s">
        <v>58</v>
      </c>
      <c r="W635" t="s">
        <v>58</v>
      </c>
      <c r="X635" t="s">
        <v>58</v>
      </c>
      <c r="Y635" t="s">
        <v>58</v>
      </c>
      <c r="Z635" t="s">
        <v>58</v>
      </c>
      <c r="AA635" t="s">
        <v>58</v>
      </c>
      <c r="AC635" t="s">
        <v>58</v>
      </c>
      <c r="AE635" t="s">
        <v>58</v>
      </c>
      <c r="AG635" t="s">
        <v>63</v>
      </c>
      <c r="AH635" s="11" t="str">
        <f t="shared" si="12"/>
        <v>mailto: soilterrain@victoria1.gov.bc.ca</v>
      </c>
    </row>
    <row r="636" spans="1:34">
      <c r="A636" t="s">
        <v>1520</v>
      </c>
      <c r="B636" t="s">
        <v>56</v>
      </c>
      <c r="C636" s="10" t="s">
        <v>1519</v>
      </c>
      <c r="D636" t="s">
        <v>58</v>
      </c>
      <c r="E636" t="s">
        <v>497</v>
      </c>
      <c r="F636" t="s">
        <v>1461</v>
      </c>
      <c r="G636">
        <v>50000</v>
      </c>
      <c r="H636">
        <v>1986</v>
      </c>
      <c r="I636" t="s">
        <v>58</v>
      </c>
      <c r="J636" t="s">
        <v>58</v>
      </c>
      <c r="K636" t="s">
        <v>58</v>
      </c>
      <c r="L636" t="s">
        <v>58</v>
      </c>
      <c r="M636" t="s">
        <v>58</v>
      </c>
      <c r="N636" t="s">
        <v>61</v>
      </c>
      <c r="Q636" t="s">
        <v>58</v>
      </c>
      <c r="R636" s="11" t="str">
        <f>HYPERLINK("\\imagefiles.bcgov\imagery\scanned_maps\moe_terrain_maps\Scanned_T_maps_all\C05\C05-2280","\\imagefiles.bcgov\imagery\scanned_maps\moe_terrain_maps\Scanned_T_maps_all\C05\C05-2280")</f>
        <v>\\imagefiles.bcgov\imagery\scanned_maps\moe_terrain_maps\Scanned_T_maps_all\C05\C05-2280</v>
      </c>
      <c r="S636" t="s">
        <v>62</v>
      </c>
      <c r="T636" s="11" t="str">
        <f>HYPERLINK("http://www.env.gov.bc.ca/esd/distdata/ecosystems/TEI_Scanned_Maps/C05/C05-2280","http://www.env.gov.bc.ca/esd/distdata/ecosystems/TEI_Scanned_Maps/C05/C05-2280")</f>
        <v>http://www.env.gov.bc.ca/esd/distdata/ecosystems/TEI_Scanned_Maps/C05/C05-2280</v>
      </c>
      <c r="U636" t="s">
        <v>58</v>
      </c>
      <c r="V636" t="s">
        <v>58</v>
      </c>
      <c r="W636" t="s">
        <v>58</v>
      </c>
      <c r="X636" t="s">
        <v>58</v>
      </c>
      <c r="Y636" t="s">
        <v>58</v>
      </c>
      <c r="Z636" t="s">
        <v>58</v>
      </c>
      <c r="AA636" t="s">
        <v>58</v>
      </c>
      <c r="AC636" t="s">
        <v>58</v>
      </c>
      <c r="AE636" t="s">
        <v>58</v>
      </c>
      <c r="AG636" t="s">
        <v>63</v>
      </c>
      <c r="AH636" s="11" t="str">
        <f t="shared" si="12"/>
        <v>mailto: soilterrain@victoria1.gov.bc.ca</v>
      </c>
    </row>
    <row r="637" spans="1:34">
      <c r="A637" t="s">
        <v>1521</v>
      </c>
      <c r="B637" t="s">
        <v>56</v>
      </c>
      <c r="C637" s="10" t="s">
        <v>1522</v>
      </c>
      <c r="D637" t="s">
        <v>58</v>
      </c>
      <c r="E637" t="s">
        <v>497</v>
      </c>
      <c r="F637" t="s">
        <v>1523</v>
      </c>
      <c r="G637">
        <v>50000</v>
      </c>
      <c r="H637">
        <v>1987</v>
      </c>
      <c r="I637" t="s">
        <v>58</v>
      </c>
      <c r="J637" t="s">
        <v>58</v>
      </c>
      <c r="K637" t="s">
        <v>58</v>
      </c>
      <c r="L637" t="s">
        <v>58</v>
      </c>
      <c r="M637" t="s">
        <v>58</v>
      </c>
      <c r="N637" t="s">
        <v>61</v>
      </c>
      <c r="Q637" t="s">
        <v>58</v>
      </c>
      <c r="R637" s="11" t="str">
        <f>HYPERLINK("\\imagefiles.bcgov\imagery\scanned_maps\moe_terrain_maps\Scanned_T_maps_all\C05\C05-2282","\\imagefiles.bcgov\imagery\scanned_maps\moe_terrain_maps\Scanned_T_maps_all\C05\C05-2282")</f>
        <v>\\imagefiles.bcgov\imagery\scanned_maps\moe_terrain_maps\Scanned_T_maps_all\C05\C05-2282</v>
      </c>
      <c r="S637" t="s">
        <v>62</v>
      </c>
      <c r="T637" s="11" t="str">
        <f>HYPERLINK("http://www.env.gov.bc.ca/esd/distdata/ecosystems/TEI_Scanned_Maps/C05/C05-2282","http://www.env.gov.bc.ca/esd/distdata/ecosystems/TEI_Scanned_Maps/C05/C05-2282")</f>
        <v>http://www.env.gov.bc.ca/esd/distdata/ecosystems/TEI_Scanned_Maps/C05/C05-2282</v>
      </c>
      <c r="U637" t="s">
        <v>58</v>
      </c>
      <c r="V637" t="s">
        <v>58</v>
      </c>
      <c r="W637" t="s">
        <v>58</v>
      </c>
      <c r="X637" t="s">
        <v>58</v>
      </c>
      <c r="Y637" t="s">
        <v>58</v>
      </c>
      <c r="Z637" t="s">
        <v>58</v>
      </c>
      <c r="AA637" t="s">
        <v>58</v>
      </c>
      <c r="AC637" t="s">
        <v>58</v>
      </c>
      <c r="AE637" t="s">
        <v>58</v>
      </c>
      <c r="AG637" t="s">
        <v>63</v>
      </c>
      <c r="AH637" s="11" t="str">
        <f t="shared" si="12"/>
        <v>mailto: soilterrain@victoria1.gov.bc.ca</v>
      </c>
    </row>
    <row r="638" spans="1:34">
      <c r="A638" t="s">
        <v>1524</v>
      </c>
      <c r="B638" t="s">
        <v>56</v>
      </c>
      <c r="C638" s="10" t="s">
        <v>1522</v>
      </c>
      <c r="D638" t="s">
        <v>61</v>
      </c>
      <c r="E638" t="s">
        <v>497</v>
      </c>
      <c r="F638" t="s">
        <v>1459</v>
      </c>
      <c r="G638">
        <v>50000</v>
      </c>
      <c r="H638">
        <v>1987</v>
      </c>
      <c r="I638" t="s">
        <v>58</v>
      </c>
      <c r="J638" t="s">
        <v>58</v>
      </c>
      <c r="K638" t="s">
        <v>58</v>
      </c>
      <c r="L638" t="s">
        <v>58</v>
      </c>
      <c r="M638" t="s">
        <v>58</v>
      </c>
      <c r="N638" t="s">
        <v>61</v>
      </c>
      <c r="Q638" t="s">
        <v>58</v>
      </c>
      <c r="R638" s="11" t="str">
        <f>HYPERLINK("\\imagefiles.bcgov\imagery\scanned_maps\moe_terrain_maps\Scanned_T_maps_all\C05\C05-2284","\\imagefiles.bcgov\imagery\scanned_maps\moe_terrain_maps\Scanned_T_maps_all\C05\C05-2284")</f>
        <v>\\imagefiles.bcgov\imagery\scanned_maps\moe_terrain_maps\Scanned_T_maps_all\C05\C05-2284</v>
      </c>
      <c r="S638" t="s">
        <v>62</v>
      </c>
      <c r="T638" s="11" t="str">
        <f>HYPERLINK("http://www.env.gov.bc.ca/esd/distdata/ecosystems/TEI_Scanned_Maps/C05/C05-2284","http://www.env.gov.bc.ca/esd/distdata/ecosystems/TEI_Scanned_Maps/C05/C05-2284")</f>
        <v>http://www.env.gov.bc.ca/esd/distdata/ecosystems/TEI_Scanned_Maps/C05/C05-2284</v>
      </c>
      <c r="U638" t="s">
        <v>58</v>
      </c>
      <c r="V638" t="s">
        <v>58</v>
      </c>
      <c r="W638" t="s">
        <v>58</v>
      </c>
      <c r="X638" t="s">
        <v>58</v>
      </c>
      <c r="Y638" t="s">
        <v>58</v>
      </c>
      <c r="Z638" t="s">
        <v>58</v>
      </c>
      <c r="AA638" t="s">
        <v>58</v>
      </c>
      <c r="AC638" t="s">
        <v>58</v>
      </c>
      <c r="AE638" t="s">
        <v>58</v>
      </c>
      <c r="AG638" t="s">
        <v>63</v>
      </c>
      <c r="AH638" s="11" t="str">
        <f t="shared" si="12"/>
        <v>mailto: soilterrain@victoria1.gov.bc.ca</v>
      </c>
    </row>
    <row r="639" spans="1:34">
      <c r="A639" t="s">
        <v>1525</v>
      </c>
      <c r="B639" t="s">
        <v>56</v>
      </c>
      <c r="C639" s="10" t="s">
        <v>1526</v>
      </c>
      <c r="D639" t="s">
        <v>58</v>
      </c>
      <c r="E639" t="s">
        <v>497</v>
      </c>
      <c r="F639" t="s">
        <v>502</v>
      </c>
      <c r="G639">
        <v>50000</v>
      </c>
      <c r="H639">
        <v>1987</v>
      </c>
      <c r="I639" t="s">
        <v>58</v>
      </c>
      <c r="J639" t="s">
        <v>58</v>
      </c>
      <c r="K639" t="s">
        <v>58</v>
      </c>
      <c r="L639" t="s">
        <v>58</v>
      </c>
      <c r="M639" t="s">
        <v>58</v>
      </c>
      <c r="N639" t="s">
        <v>61</v>
      </c>
      <c r="Q639" t="s">
        <v>58</v>
      </c>
      <c r="R639" s="11" t="str">
        <f>HYPERLINK("\\imagefiles.bcgov\imagery\scanned_maps\moe_terrain_maps\Scanned_T_maps_all\C05\C05-2285","\\imagefiles.bcgov\imagery\scanned_maps\moe_terrain_maps\Scanned_T_maps_all\C05\C05-2285")</f>
        <v>\\imagefiles.bcgov\imagery\scanned_maps\moe_terrain_maps\Scanned_T_maps_all\C05\C05-2285</v>
      </c>
      <c r="S639" t="s">
        <v>62</v>
      </c>
      <c r="T639" s="11" t="str">
        <f>HYPERLINK("http://www.env.gov.bc.ca/esd/distdata/ecosystems/TEI_Scanned_Maps/C05/C05-2285","http://www.env.gov.bc.ca/esd/distdata/ecosystems/TEI_Scanned_Maps/C05/C05-2285")</f>
        <v>http://www.env.gov.bc.ca/esd/distdata/ecosystems/TEI_Scanned_Maps/C05/C05-2285</v>
      </c>
      <c r="U639" t="s">
        <v>58</v>
      </c>
      <c r="V639" t="s">
        <v>58</v>
      </c>
      <c r="W639" t="s">
        <v>58</v>
      </c>
      <c r="X639" t="s">
        <v>58</v>
      </c>
      <c r="Y639" t="s">
        <v>58</v>
      </c>
      <c r="Z639" t="s">
        <v>58</v>
      </c>
      <c r="AA639" t="s">
        <v>58</v>
      </c>
      <c r="AC639" t="s">
        <v>58</v>
      </c>
      <c r="AE639" t="s">
        <v>58</v>
      </c>
      <c r="AG639" t="s">
        <v>63</v>
      </c>
      <c r="AH639" s="11" t="str">
        <f t="shared" si="12"/>
        <v>mailto: soilterrain@victoria1.gov.bc.ca</v>
      </c>
    </row>
    <row r="640" spans="1:34">
      <c r="A640" t="s">
        <v>1527</v>
      </c>
      <c r="B640" t="s">
        <v>56</v>
      </c>
      <c r="C640" s="10" t="s">
        <v>1528</v>
      </c>
      <c r="D640" t="s">
        <v>58</v>
      </c>
      <c r="E640" t="s">
        <v>497</v>
      </c>
      <c r="F640" t="s">
        <v>502</v>
      </c>
      <c r="G640">
        <v>50000</v>
      </c>
      <c r="H640">
        <v>1987</v>
      </c>
      <c r="I640" t="s">
        <v>58</v>
      </c>
      <c r="J640" t="s">
        <v>58</v>
      </c>
      <c r="K640" t="s">
        <v>58</v>
      </c>
      <c r="L640" t="s">
        <v>58</v>
      </c>
      <c r="M640" t="s">
        <v>58</v>
      </c>
      <c r="N640" t="s">
        <v>61</v>
      </c>
      <c r="Q640" t="s">
        <v>58</v>
      </c>
      <c r="R640" s="11" t="str">
        <f>HYPERLINK("\\imagefiles.bcgov\imagery\scanned_maps\moe_terrain_maps\Scanned_T_maps_all\C05\C05-2287","\\imagefiles.bcgov\imagery\scanned_maps\moe_terrain_maps\Scanned_T_maps_all\C05\C05-2287")</f>
        <v>\\imagefiles.bcgov\imagery\scanned_maps\moe_terrain_maps\Scanned_T_maps_all\C05\C05-2287</v>
      </c>
      <c r="S640" t="s">
        <v>62</v>
      </c>
      <c r="T640" s="11" t="str">
        <f>HYPERLINK("http://www.env.gov.bc.ca/esd/distdata/ecosystems/TEI_Scanned_Maps/C05/C05-2287","http://www.env.gov.bc.ca/esd/distdata/ecosystems/TEI_Scanned_Maps/C05/C05-2287")</f>
        <v>http://www.env.gov.bc.ca/esd/distdata/ecosystems/TEI_Scanned_Maps/C05/C05-2287</v>
      </c>
      <c r="U640" t="s">
        <v>58</v>
      </c>
      <c r="V640" t="s">
        <v>58</v>
      </c>
      <c r="W640" t="s">
        <v>58</v>
      </c>
      <c r="X640" t="s">
        <v>58</v>
      </c>
      <c r="Y640" t="s">
        <v>58</v>
      </c>
      <c r="Z640" t="s">
        <v>58</v>
      </c>
      <c r="AA640" t="s">
        <v>58</v>
      </c>
      <c r="AC640" t="s">
        <v>58</v>
      </c>
      <c r="AE640" t="s">
        <v>58</v>
      </c>
      <c r="AG640" t="s">
        <v>63</v>
      </c>
      <c r="AH640" s="11" t="str">
        <f t="shared" si="12"/>
        <v>mailto: soilterrain@victoria1.gov.bc.ca</v>
      </c>
    </row>
    <row r="641" spans="1:34">
      <c r="A641" t="s">
        <v>1529</v>
      </c>
      <c r="B641" t="s">
        <v>56</v>
      </c>
      <c r="C641" s="10" t="s">
        <v>1530</v>
      </c>
      <c r="D641" t="s">
        <v>58</v>
      </c>
      <c r="E641" t="s">
        <v>497</v>
      </c>
      <c r="F641" t="s">
        <v>502</v>
      </c>
      <c r="G641">
        <v>50000</v>
      </c>
      <c r="H641">
        <v>1987</v>
      </c>
      <c r="I641" t="s">
        <v>58</v>
      </c>
      <c r="J641" t="s">
        <v>58</v>
      </c>
      <c r="K641" t="s">
        <v>58</v>
      </c>
      <c r="L641" t="s">
        <v>58</v>
      </c>
      <c r="M641" t="s">
        <v>58</v>
      </c>
      <c r="N641" t="s">
        <v>61</v>
      </c>
      <c r="Q641" t="s">
        <v>58</v>
      </c>
      <c r="R641" s="11" t="str">
        <f>HYPERLINK("\\imagefiles.bcgov\imagery\scanned_maps\moe_terrain_maps\Scanned_T_maps_all\C05\C05-2289","\\imagefiles.bcgov\imagery\scanned_maps\moe_terrain_maps\Scanned_T_maps_all\C05\C05-2289")</f>
        <v>\\imagefiles.bcgov\imagery\scanned_maps\moe_terrain_maps\Scanned_T_maps_all\C05\C05-2289</v>
      </c>
      <c r="S641" t="s">
        <v>62</v>
      </c>
      <c r="T641" s="11" t="str">
        <f>HYPERLINK("http://www.env.gov.bc.ca/esd/distdata/ecosystems/TEI_Scanned_Maps/C05/C05-2289","http://www.env.gov.bc.ca/esd/distdata/ecosystems/TEI_Scanned_Maps/C05/C05-2289")</f>
        <v>http://www.env.gov.bc.ca/esd/distdata/ecosystems/TEI_Scanned_Maps/C05/C05-2289</v>
      </c>
      <c r="U641" t="s">
        <v>58</v>
      </c>
      <c r="V641" t="s">
        <v>58</v>
      </c>
      <c r="W641" t="s">
        <v>58</v>
      </c>
      <c r="X641" t="s">
        <v>58</v>
      </c>
      <c r="Y641" t="s">
        <v>58</v>
      </c>
      <c r="Z641" t="s">
        <v>58</v>
      </c>
      <c r="AA641" t="s">
        <v>58</v>
      </c>
      <c r="AC641" t="s">
        <v>58</v>
      </c>
      <c r="AE641" t="s">
        <v>58</v>
      </c>
      <c r="AG641" t="s">
        <v>63</v>
      </c>
      <c r="AH641" s="11" t="str">
        <f t="shared" si="12"/>
        <v>mailto: soilterrain@victoria1.gov.bc.ca</v>
      </c>
    </row>
    <row r="642" spans="1:34">
      <c r="A642" t="s">
        <v>1531</v>
      </c>
      <c r="B642" t="s">
        <v>56</v>
      </c>
      <c r="C642" s="10" t="s">
        <v>1532</v>
      </c>
      <c r="D642" t="s">
        <v>58</v>
      </c>
      <c r="E642" t="s">
        <v>497</v>
      </c>
      <c r="F642" t="s">
        <v>502</v>
      </c>
      <c r="G642">
        <v>50000</v>
      </c>
      <c r="H642">
        <v>1987</v>
      </c>
      <c r="I642" t="s">
        <v>58</v>
      </c>
      <c r="J642" t="s">
        <v>58</v>
      </c>
      <c r="K642" t="s">
        <v>58</v>
      </c>
      <c r="L642" t="s">
        <v>58</v>
      </c>
      <c r="M642" t="s">
        <v>58</v>
      </c>
      <c r="N642" t="s">
        <v>61</v>
      </c>
      <c r="Q642" t="s">
        <v>58</v>
      </c>
      <c r="R642" s="11" t="str">
        <f>HYPERLINK("\\imagefiles.bcgov\imagery\scanned_maps\moe_terrain_maps\Scanned_T_maps_all\C05\C05-2291","\\imagefiles.bcgov\imagery\scanned_maps\moe_terrain_maps\Scanned_T_maps_all\C05\C05-2291")</f>
        <v>\\imagefiles.bcgov\imagery\scanned_maps\moe_terrain_maps\Scanned_T_maps_all\C05\C05-2291</v>
      </c>
      <c r="S642" t="s">
        <v>62</v>
      </c>
      <c r="T642" s="11" t="str">
        <f>HYPERLINK("http://www.env.gov.bc.ca/esd/distdata/ecosystems/TEI_Scanned_Maps/C05/C05-2291","http://www.env.gov.bc.ca/esd/distdata/ecosystems/TEI_Scanned_Maps/C05/C05-2291")</f>
        <v>http://www.env.gov.bc.ca/esd/distdata/ecosystems/TEI_Scanned_Maps/C05/C05-2291</v>
      </c>
      <c r="U642" t="s">
        <v>58</v>
      </c>
      <c r="V642" t="s">
        <v>58</v>
      </c>
      <c r="W642" t="s">
        <v>58</v>
      </c>
      <c r="X642" t="s">
        <v>58</v>
      </c>
      <c r="Y642" t="s">
        <v>58</v>
      </c>
      <c r="Z642" t="s">
        <v>58</v>
      </c>
      <c r="AA642" t="s">
        <v>58</v>
      </c>
      <c r="AC642" t="s">
        <v>58</v>
      </c>
      <c r="AE642" t="s">
        <v>58</v>
      </c>
      <c r="AG642" t="s">
        <v>63</v>
      </c>
      <c r="AH642" s="11" t="str">
        <f t="shared" ref="AH642:AH705" si="13">HYPERLINK("mailto: soilterrain@victoria1.gov.bc.ca","mailto: soilterrain@victoria1.gov.bc.ca")</f>
        <v>mailto: soilterrain@victoria1.gov.bc.ca</v>
      </c>
    </row>
    <row r="643" spans="1:34">
      <c r="A643" t="s">
        <v>1533</v>
      </c>
      <c r="B643" t="s">
        <v>56</v>
      </c>
      <c r="C643" s="10" t="s">
        <v>1534</v>
      </c>
      <c r="D643" t="s">
        <v>58</v>
      </c>
      <c r="E643" t="s">
        <v>497</v>
      </c>
      <c r="F643" t="s">
        <v>502</v>
      </c>
      <c r="G643">
        <v>50000</v>
      </c>
      <c r="H643">
        <v>1987</v>
      </c>
      <c r="I643" t="s">
        <v>58</v>
      </c>
      <c r="J643" t="s">
        <v>58</v>
      </c>
      <c r="K643" t="s">
        <v>58</v>
      </c>
      <c r="L643" t="s">
        <v>58</v>
      </c>
      <c r="M643" t="s">
        <v>58</v>
      </c>
      <c r="N643" t="s">
        <v>61</v>
      </c>
      <c r="Q643" t="s">
        <v>58</v>
      </c>
      <c r="R643" s="11" t="str">
        <f>HYPERLINK("\\imagefiles.bcgov\imagery\scanned_maps\moe_terrain_maps\Scanned_T_maps_all\C05\C05-2293","\\imagefiles.bcgov\imagery\scanned_maps\moe_terrain_maps\Scanned_T_maps_all\C05\C05-2293")</f>
        <v>\\imagefiles.bcgov\imagery\scanned_maps\moe_terrain_maps\Scanned_T_maps_all\C05\C05-2293</v>
      </c>
      <c r="S643" t="s">
        <v>62</v>
      </c>
      <c r="T643" s="11" t="str">
        <f>HYPERLINK("http://www.env.gov.bc.ca/esd/distdata/ecosystems/TEI_Scanned_Maps/C05/C05-2293","http://www.env.gov.bc.ca/esd/distdata/ecosystems/TEI_Scanned_Maps/C05/C05-2293")</f>
        <v>http://www.env.gov.bc.ca/esd/distdata/ecosystems/TEI_Scanned_Maps/C05/C05-2293</v>
      </c>
      <c r="U643" t="s">
        <v>58</v>
      </c>
      <c r="V643" t="s">
        <v>58</v>
      </c>
      <c r="W643" t="s">
        <v>58</v>
      </c>
      <c r="X643" t="s">
        <v>58</v>
      </c>
      <c r="Y643" t="s">
        <v>58</v>
      </c>
      <c r="Z643" t="s">
        <v>58</v>
      </c>
      <c r="AA643" t="s">
        <v>58</v>
      </c>
      <c r="AC643" t="s">
        <v>58</v>
      </c>
      <c r="AE643" t="s">
        <v>58</v>
      </c>
      <c r="AG643" t="s">
        <v>63</v>
      </c>
      <c r="AH643" s="11" t="str">
        <f t="shared" si="13"/>
        <v>mailto: soilterrain@victoria1.gov.bc.ca</v>
      </c>
    </row>
    <row r="644" spans="1:34">
      <c r="A644" t="s">
        <v>1535</v>
      </c>
      <c r="B644" t="s">
        <v>56</v>
      </c>
      <c r="C644" s="10" t="s">
        <v>1536</v>
      </c>
      <c r="D644" t="s">
        <v>58</v>
      </c>
      <c r="E644" t="s">
        <v>497</v>
      </c>
      <c r="F644" t="s">
        <v>502</v>
      </c>
      <c r="G644">
        <v>50000</v>
      </c>
      <c r="H644">
        <v>1987</v>
      </c>
      <c r="I644" t="s">
        <v>58</v>
      </c>
      <c r="J644" t="s">
        <v>58</v>
      </c>
      <c r="K644" t="s">
        <v>58</v>
      </c>
      <c r="L644" t="s">
        <v>58</v>
      </c>
      <c r="M644" t="s">
        <v>58</v>
      </c>
      <c r="N644" t="s">
        <v>61</v>
      </c>
      <c r="Q644" t="s">
        <v>58</v>
      </c>
      <c r="R644" s="11" t="str">
        <f>HYPERLINK("\\imagefiles.bcgov\imagery\scanned_maps\moe_terrain_maps\Scanned_T_maps_all\C05\C05-2295","\\imagefiles.bcgov\imagery\scanned_maps\moe_terrain_maps\Scanned_T_maps_all\C05\C05-2295")</f>
        <v>\\imagefiles.bcgov\imagery\scanned_maps\moe_terrain_maps\Scanned_T_maps_all\C05\C05-2295</v>
      </c>
      <c r="S644" t="s">
        <v>62</v>
      </c>
      <c r="T644" s="11" t="str">
        <f>HYPERLINK("http://www.env.gov.bc.ca/esd/distdata/ecosystems/TEI_Scanned_Maps/C05/C05-2295","http://www.env.gov.bc.ca/esd/distdata/ecosystems/TEI_Scanned_Maps/C05/C05-2295")</f>
        <v>http://www.env.gov.bc.ca/esd/distdata/ecosystems/TEI_Scanned_Maps/C05/C05-2295</v>
      </c>
      <c r="U644" t="s">
        <v>58</v>
      </c>
      <c r="V644" t="s">
        <v>58</v>
      </c>
      <c r="W644" t="s">
        <v>58</v>
      </c>
      <c r="X644" t="s">
        <v>58</v>
      </c>
      <c r="Y644" t="s">
        <v>58</v>
      </c>
      <c r="Z644" t="s">
        <v>58</v>
      </c>
      <c r="AA644" t="s">
        <v>58</v>
      </c>
      <c r="AC644" t="s">
        <v>58</v>
      </c>
      <c r="AE644" t="s">
        <v>58</v>
      </c>
      <c r="AG644" t="s">
        <v>63</v>
      </c>
      <c r="AH644" s="11" t="str">
        <f t="shared" si="13"/>
        <v>mailto: soilterrain@victoria1.gov.bc.ca</v>
      </c>
    </row>
    <row r="645" spans="1:34">
      <c r="A645" t="s">
        <v>1537</v>
      </c>
      <c r="B645" t="s">
        <v>56</v>
      </c>
      <c r="C645" s="10" t="s">
        <v>1538</v>
      </c>
      <c r="D645" t="s">
        <v>58</v>
      </c>
      <c r="E645" t="s">
        <v>497</v>
      </c>
      <c r="F645" t="s">
        <v>502</v>
      </c>
      <c r="G645">
        <v>50000</v>
      </c>
      <c r="H645">
        <v>1987</v>
      </c>
      <c r="I645" t="s">
        <v>58</v>
      </c>
      <c r="J645" t="s">
        <v>58</v>
      </c>
      <c r="K645" t="s">
        <v>58</v>
      </c>
      <c r="L645" t="s">
        <v>58</v>
      </c>
      <c r="M645" t="s">
        <v>58</v>
      </c>
      <c r="N645" t="s">
        <v>61</v>
      </c>
      <c r="Q645" t="s">
        <v>58</v>
      </c>
      <c r="R645" s="11" t="str">
        <f>HYPERLINK("\\imagefiles.bcgov\imagery\scanned_maps\moe_terrain_maps\Scanned_T_maps_all\C05\C05-2297","\\imagefiles.bcgov\imagery\scanned_maps\moe_terrain_maps\Scanned_T_maps_all\C05\C05-2297")</f>
        <v>\\imagefiles.bcgov\imagery\scanned_maps\moe_terrain_maps\Scanned_T_maps_all\C05\C05-2297</v>
      </c>
      <c r="S645" t="s">
        <v>62</v>
      </c>
      <c r="T645" s="11" t="str">
        <f>HYPERLINK("http://www.env.gov.bc.ca/esd/distdata/ecosystems/TEI_Scanned_Maps/C05/C05-2297","http://www.env.gov.bc.ca/esd/distdata/ecosystems/TEI_Scanned_Maps/C05/C05-2297")</f>
        <v>http://www.env.gov.bc.ca/esd/distdata/ecosystems/TEI_Scanned_Maps/C05/C05-2297</v>
      </c>
      <c r="U645" t="s">
        <v>58</v>
      </c>
      <c r="V645" t="s">
        <v>58</v>
      </c>
      <c r="W645" t="s">
        <v>58</v>
      </c>
      <c r="X645" t="s">
        <v>58</v>
      </c>
      <c r="Y645" t="s">
        <v>58</v>
      </c>
      <c r="Z645" t="s">
        <v>58</v>
      </c>
      <c r="AA645" t="s">
        <v>58</v>
      </c>
      <c r="AC645" t="s">
        <v>58</v>
      </c>
      <c r="AE645" t="s">
        <v>58</v>
      </c>
      <c r="AG645" t="s">
        <v>63</v>
      </c>
      <c r="AH645" s="11" t="str">
        <f t="shared" si="13"/>
        <v>mailto: soilterrain@victoria1.gov.bc.ca</v>
      </c>
    </row>
    <row r="646" spans="1:34">
      <c r="A646" t="s">
        <v>1539</v>
      </c>
      <c r="B646" t="s">
        <v>56</v>
      </c>
      <c r="C646" s="10" t="s">
        <v>1540</v>
      </c>
      <c r="D646" t="s">
        <v>58</v>
      </c>
      <c r="E646" t="s">
        <v>497</v>
      </c>
      <c r="F646" t="s">
        <v>502</v>
      </c>
      <c r="G646">
        <v>50000</v>
      </c>
      <c r="H646">
        <v>1976</v>
      </c>
      <c r="I646" t="s">
        <v>58</v>
      </c>
      <c r="J646" t="s">
        <v>58</v>
      </c>
      <c r="K646" t="s">
        <v>58</v>
      </c>
      <c r="L646" t="s">
        <v>58</v>
      </c>
      <c r="M646" t="s">
        <v>58</v>
      </c>
      <c r="N646" t="s">
        <v>61</v>
      </c>
      <c r="Q646" t="s">
        <v>58</v>
      </c>
      <c r="R646" s="11" t="str">
        <f>HYPERLINK("\\imagefiles.bcgov\imagery\scanned_maps\moe_terrain_maps\Scanned_T_maps_all\C05\C05-2299","\\imagefiles.bcgov\imagery\scanned_maps\moe_terrain_maps\Scanned_T_maps_all\C05\C05-2299")</f>
        <v>\\imagefiles.bcgov\imagery\scanned_maps\moe_terrain_maps\Scanned_T_maps_all\C05\C05-2299</v>
      </c>
      <c r="S646" t="s">
        <v>62</v>
      </c>
      <c r="T646" s="11" t="str">
        <f>HYPERLINK("http://www.env.gov.bc.ca/esd/distdata/ecosystems/TEI_Scanned_Maps/C05/C05-2299","http://www.env.gov.bc.ca/esd/distdata/ecosystems/TEI_Scanned_Maps/C05/C05-2299")</f>
        <v>http://www.env.gov.bc.ca/esd/distdata/ecosystems/TEI_Scanned_Maps/C05/C05-2299</v>
      </c>
      <c r="U646" t="s">
        <v>58</v>
      </c>
      <c r="V646" t="s">
        <v>58</v>
      </c>
      <c r="W646" t="s">
        <v>58</v>
      </c>
      <c r="X646" t="s">
        <v>58</v>
      </c>
      <c r="Y646" t="s">
        <v>58</v>
      </c>
      <c r="Z646" t="s">
        <v>58</v>
      </c>
      <c r="AA646" t="s">
        <v>58</v>
      </c>
      <c r="AC646" t="s">
        <v>58</v>
      </c>
      <c r="AE646" t="s">
        <v>58</v>
      </c>
      <c r="AG646" t="s">
        <v>63</v>
      </c>
      <c r="AH646" s="11" t="str">
        <f t="shared" si="13"/>
        <v>mailto: soilterrain@victoria1.gov.bc.ca</v>
      </c>
    </row>
    <row r="647" spans="1:34">
      <c r="A647" t="s">
        <v>1541</v>
      </c>
      <c r="B647" t="s">
        <v>56</v>
      </c>
      <c r="C647" s="10" t="s">
        <v>1542</v>
      </c>
      <c r="D647" t="s">
        <v>58</v>
      </c>
      <c r="E647" t="s">
        <v>497</v>
      </c>
      <c r="F647" t="s">
        <v>1239</v>
      </c>
      <c r="G647">
        <v>50000</v>
      </c>
      <c r="H647">
        <v>1976</v>
      </c>
      <c r="I647" t="s">
        <v>58</v>
      </c>
      <c r="J647" t="s">
        <v>58</v>
      </c>
      <c r="K647" t="s">
        <v>58</v>
      </c>
      <c r="L647" t="s">
        <v>58</v>
      </c>
      <c r="M647" t="s">
        <v>58</v>
      </c>
      <c r="N647" t="s">
        <v>61</v>
      </c>
      <c r="Q647" t="s">
        <v>58</v>
      </c>
      <c r="R647" s="11" t="str">
        <f>HYPERLINK("\\imagefiles.bcgov\imagery\scanned_maps\moe_terrain_maps\Scanned_T_maps_all\C05\C05-2319","\\imagefiles.bcgov\imagery\scanned_maps\moe_terrain_maps\Scanned_T_maps_all\C05\C05-2319")</f>
        <v>\\imagefiles.bcgov\imagery\scanned_maps\moe_terrain_maps\Scanned_T_maps_all\C05\C05-2319</v>
      </c>
      <c r="S647" t="s">
        <v>62</v>
      </c>
      <c r="T647" s="11" t="str">
        <f>HYPERLINK("http://www.env.gov.bc.ca/esd/distdata/ecosystems/TEI_Scanned_Maps/C05/C05-2319","http://www.env.gov.bc.ca/esd/distdata/ecosystems/TEI_Scanned_Maps/C05/C05-2319")</f>
        <v>http://www.env.gov.bc.ca/esd/distdata/ecosystems/TEI_Scanned_Maps/C05/C05-2319</v>
      </c>
      <c r="U647" t="s">
        <v>58</v>
      </c>
      <c r="V647" t="s">
        <v>58</v>
      </c>
      <c r="W647" t="s">
        <v>58</v>
      </c>
      <c r="X647" t="s">
        <v>58</v>
      </c>
      <c r="Y647" t="s">
        <v>58</v>
      </c>
      <c r="Z647" t="s">
        <v>58</v>
      </c>
      <c r="AA647" t="s">
        <v>58</v>
      </c>
      <c r="AC647" t="s">
        <v>58</v>
      </c>
      <c r="AE647" t="s">
        <v>58</v>
      </c>
      <c r="AG647" t="s">
        <v>63</v>
      </c>
      <c r="AH647" s="11" t="str">
        <f t="shared" si="13"/>
        <v>mailto: soilterrain@victoria1.gov.bc.ca</v>
      </c>
    </row>
    <row r="648" spans="1:34">
      <c r="A648" t="s">
        <v>1543</v>
      </c>
      <c r="B648" t="s">
        <v>56</v>
      </c>
      <c r="C648" s="10" t="s">
        <v>311</v>
      </c>
      <c r="D648" t="s">
        <v>58</v>
      </c>
      <c r="E648" t="s">
        <v>497</v>
      </c>
      <c r="F648" t="s">
        <v>1544</v>
      </c>
      <c r="G648">
        <v>50000</v>
      </c>
      <c r="H648">
        <v>1976</v>
      </c>
      <c r="I648" t="s">
        <v>58</v>
      </c>
      <c r="J648" t="s">
        <v>58</v>
      </c>
      <c r="K648" t="s">
        <v>58</v>
      </c>
      <c r="L648" t="s">
        <v>58</v>
      </c>
      <c r="M648" t="s">
        <v>58</v>
      </c>
      <c r="N648" t="s">
        <v>61</v>
      </c>
      <c r="Q648" t="s">
        <v>58</v>
      </c>
      <c r="R648" s="11" t="str">
        <f>HYPERLINK("\\imagefiles.bcgov\imagery\scanned_maps\moe_terrain_maps\Scanned_T_maps_all\C05\C05-2324","\\imagefiles.bcgov\imagery\scanned_maps\moe_terrain_maps\Scanned_T_maps_all\C05\C05-2324")</f>
        <v>\\imagefiles.bcgov\imagery\scanned_maps\moe_terrain_maps\Scanned_T_maps_all\C05\C05-2324</v>
      </c>
      <c r="S648" t="s">
        <v>62</v>
      </c>
      <c r="T648" s="11" t="str">
        <f>HYPERLINK("http://www.env.gov.bc.ca/esd/distdata/ecosystems/TEI_Scanned_Maps/C05/C05-2324","http://www.env.gov.bc.ca/esd/distdata/ecosystems/TEI_Scanned_Maps/C05/C05-2324")</f>
        <v>http://www.env.gov.bc.ca/esd/distdata/ecosystems/TEI_Scanned_Maps/C05/C05-2324</v>
      </c>
      <c r="U648" t="s">
        <v>58</v>
      </c>
      <c r="V648" t="s">
        <v>58</v>
      </c>
      <c r="W648" t="s">
        <v>58</v>
      </c>
      <c r="X648" t="s">
        <v>58</v>
      </c>
      <c r="Y648" t="s">
        <v>58</v>
      </c>
      <c r="Z648" t="s">
        <v>58</v>
      </c>
      <c r="AA648" t="s">
        <v>58</v>
      </c>
      <c r="AC648" t="s">
        <v>58</v>
      </c>
      <c r="AE648" t="s">
        <v>58</v>
      </c>
      <c r="AG648" t="s">
        <v>63</v>
      </c>
      <c r="AH648" s="11" t="str">
        <f t="shared" si="13"/>
        <v>mailto: soilterrain@victoria1.gov.bc.ca</v>
      </c>
    </row>
    <row r="649" spans="1:34">
      <c r="A649" t="s">
        <v>1545</v>
      </c>
      <c r="B649" t="s">
        <v>56</v>
      </c>
      <c r="C649" s="10" t="s">
        <v>1546</v>
      </c>
      <c r="D649" t="s">
        <v>58</v>
      </c>
      <c r="E649" t="s">
        <v>497</v>
      </c>
      <c r="F649" t="s">
        <v>1139</v>
      </c>
      <c r="G649">
        <v>50000</v>
      </c>
      <c r="H649">
        <v>1976</v>
      </c>
      <c r="I649" t="s">
        <v>58</v>
      </c>
      <c r="J649" t="s">
        <v>58</v>
      </c>
      <c r="K649" t="s">
        <v>58</v>
      </c>
      <c r="L649" t="s">
        <v>58</v>
      </c>
      <c r="M649" t="s">
        <v>58</v>
      </c>
      <c r="N649" t="s">
        <v>61</v>
      </c>
      <c r="Q649" t="s">
        <v>58</v>
      </c>
      <c r="R649" s="11" t="str">
        <f>HYPERLINK("\\imagefiles.bcgov\imagery\scanned_maps\moe_terrain_maps\Scanned_T_maps_all\C05\C05-2325","\\imagefiles.bcgov\imagery\scanned_maps\moe_terrain_maps\Scanned_T_maps_all\C05\C05-2325")</f>
        <v>\\imagefiles.bcgov\imagery\scanned_maps\moe_terrain_maps\Scanned_T_maps_all\C05\C05-2325</v>
      </c>
      <c r="S649" t="s">
        <v>62</v>
      </c>
      <c r="T649" s="11" t="str">
        <f>HYPERLINK("http://www.env.gov.bc.ca/esd/distdata/ecosystems/TEI_Scanned_Maps/C05/C05-2325","http://www.env.gov.bc.ca/esd/distdata/ecosystems/TEI_Scanned_Maps/C05/C05-2325")</f>
        <v>http://www.env.gov.bc.ca/esd/distdata/ecosystems/TEI_Scanned_Maps/C05/C05-2325</v>
      </c>
      <c r="U649" t="s">
        <v>58</v>
      </c>
      <c r="V649" t="s">
        <v>58</v>
      </c>
      <c r="W649" t="s">
        <v>58</v>
      </c>
      <c r="X649" t="s">
        <v>58</v>
      </c>
      <c r="Y649" t="s">
        <v>58</v>
      </c>
      <c r="Z649" t="s">
        <v>58</v>
      </c>
      <c r="AA649" t="s">
        <v>58</v>
      </c>
      <c r="AC649" t="s">
        <v>58</v>
      </c>
      <c r="AE649" t="s">
        <v>58</v>
      </c>
      <c r="AG649" t="s">
        <v>63</v>
      </c>
      <c r="AH649" s="11" t="str">
        <f t="shared" si="13"/>
        <v>mailto: soilterrain@victoria1.gov.bc.ca</v>
      </c>
    </row>
    <row r="650" spans="1:34">
      <c r="A650" t="s">
        <v>1547</v>
      </c>
      <c r="B650" t="s">
        <v>56</v>
      </c>
      <c r="C650" s="10" t="s">
        <v>1548</v>
      </c>
      <c r="D650" t="s">
        <v>58</v>
      </c>
      <c r="E650" t="s">
        <v>497</v>
      </c>
      <c r="F650" t="s">
        <v>502</v>
      </c>
      <c r="G650">
        <v>50000</v>
      </c>
      <c r="H650">
        <v>1976</v>
      </c>
      <c r="I650" t="s">
        <v>58</v>
      </c>
      <c r="J650" t="s">
        <v>58</v>
      </c>
      <c r="K650" t="s">
        <v>58</v>
      </c>
      <c r="L650" t="s">
        <v>58</v>
      </c>
      <c r="M650" t="s">
        <v>58</v>
      </c>
      <c r="N650" t="s">
        <v>61</v>
      </c>
      <c r="Q650" t="s">
        <v>58</v>
      </c>
      <c r="R650" s="11" t="str">
        <f>HYPERLINK("\\imagefiles.bcgov\imagery\scanned_maps\moe_terrain_maps\Scanned_T_maps_all\C05\C05-2327","\\imagefiles.bcgov\imagery\scanned_maps\moe_terrain_maps\Scanned_T_maps_all\C05\C05-2327")</f>
        <v>\\imagefiles.bcgov\imagery\scanned_maps\moe_terrain_maps\Scanned_T_maps_all\C05\C05-2327</v>
      </c>
      <c r="S650" t="s">
        <v>62</v>
      </c>
      <c r="T650" s="11" t="str">
        <f>HYPERLINK("http://www.env.gov.bc.ca/esd/distdata/ecosystems/TEI_Scanned_Maps/C05/C05-2327","http://www.env.gov.bc.ca/esd/distdata/ecosystems/TEI_Scanned_Maps/C05/C05-2327")</f>
        <v>http://www.env.gov.bc.ca/esd/distdata/ecosystems/TEI_Scanned_Maps/C05/C05-2327</v>
      </c>
      <c r="U650" t="s">
        <v>58</v>
      </c>
      <c r="V650" t="s">
        <v>58</v>
      </c>
      <c r="W650" t="s">
        <v>58</v>
      </c>
      <c r="X650" t="s">
        <v>58</v>
      </c>
      <c r="Y650" t="s">
        <v>58</v>
      </c>
      <c r="Z650" t="s">
        <v>58</v>
      </c>
      <c r="AA650" t="s">
        <v>58</v>
      </c>
      <c r="AC650" t="s">
        <v>58</v>
      </c>
      <c r="AE650" t="s">
        <v>58</v>
      </c>
      <c r="AG650" t="s">
        <v>63</v>
      </c>
      <c r="AH650" s="11" t="str">
        <f t="shared" si="13"/>
        <v>mailto: soilterrain@victoria1.gov.bc.ca</v>
      </c>
    </row>
    <row r="651" spans="1:34">
      <c r="A651" t="s">
        <v>1549</v>
      </c>
      <c r="B651" t="s">
        <v>56</v>
      </c>
      <c r="C651" s="10" t="s">
        <v>1550</v>
      </c>
      <c r="D651" t="s">
        <v>58</v>
      </c>
      <c r="E651" t="s">
        <v>497</v>
      </c>
      <c r="F651" t="s">
        <v>502</v>
      </c>
      <c r="G651">
        <v>50000</v>
      </c>
      <c r="H651">
        <v>1982</v>
      </c>
      <c r="I651" t="s">
        <v>58</v>
      </c>
      <c r="J651" t="s">
        <v>58</v>
      </c>
      <c r="K651" t="s">
        <v>58</v>
      </c>
      <c r="L651" t="s">
        <v>58</v>
      </c>
      <c r="M651" t="s">
        <v>58</v>
      </c>
      <c r="N651" t="s">
        <v>61</v>
      </c>
      <c r="Q651" t="s">
        <v>58</v>
      </c>
      <c r="R651" s="11" t="str">
        <f>HYPERLINK("\\imagefiles.bcgov\imagery\scanned_maps\moe_terrain_maps\Scanned_T_maps_all\C05\C05-2329","\\imagefiles.bcgov\imagery\scanned_maps\moe_terrain_maps\Scanned_T_maps_all\C05\C05-2329")</f>
        <v>\\imagefiles.bcgov\imagery\scanned_maps\moe_terrain_maps\Scanned_T_maps_all\C05\C05-2329</v>
      </c>
      <c r="S651" t="s">
        <v>62</v>
      </c>
      <c r="T651" s="11" t="str">
        <f>HYPERLINK("http://www.env.gov.bc.ca/esd/distdata/ecosystems/TEI_Scanned_Maps/C05/C05-2329","http://www.env.gov.bc.ca/esd/distdata/ecosystems/TEI_Scanned_Maps/C05/C05-2329")</f>
        <v>http://www.env.gov.bc.ca/esd/distdata/ecosystems/TEI_Scanned_Maps/C05/C05-2329</v>
      </c>
      <c r="U651" t="s">
        <v>58</v>
      </c>
      <c r="V651" t="s">
        <v>58</v>
      </c>
      <c r="W651" t="s">
        <v>58</v>
      </c>
      <c r="X651" t="s">
        <v>58</v>
      </c>
      <c r="Y651" t="s">
        <v>58</v>
      </c>
      <c r="Z651" t="s">
        <v>58</v>
      </c>
      <c r="AA651" t="s">
        <v>58</v>
      </c>
      <c r="AC651" t="s">
        <v>58</v>
      </c>
      <c r="AE651" t="s">
        <v>58</v>
      </c>
      <c r="AG651" t="s">
        <v>63</v>
      </c>
      <c r="AH651" s="11" t="str">
        <f t="shared" si="13"/>
        <v>mailto: soilterrain@victoria1.gov.bc.ca</v>
      </c>
    </row>
    <row r="652" spans="1:34">
      <c r="A652" t="s">
        <v>1551</v>
      </c>
      <c r="B652" t="s">
        <v>56</v>
      </c>
      <c r="C652" s="10" t="s">
        <v>1552</v>
      </c>
      <c r="D652" t="s">
        <v>58</v>
      </c>
      <c r="E652" t="s">
        <v>497</v>
      </c>
      <c r="F652" t="s">
        <v>502</v>
      </c>
      <c r="G652">
        <v>50000</v>
      </c>
      <c r="H652">
        <v>1982</v>
      </c>
      <c r="I652" t="s">
        <v>58</v>
      </c>
      <c r="J652" t="s">
        <v>58</v>
      </c>
      <c r="K652" t="s">
        <v>58</v>
      </c>
      <c r="L652" t="s">
        <v>58</v>
      </c>
      <c r="M652" t="s">
        <v>58</v>
      </c>
      <c r="N652" t="s">
        <v>61</v>
      </c>
      <c r="Q652" t="s">
        <v>58</v>
      </c>
      <c r="R652" s="11" t="str">
        <f>HYPERLINK("\\imagefiles.bcgov\imagery\scanned_maps\moe_terrain_maps\Scanned_T_maps_all\C05\C05-2332","\\imagefiles.bcgov\imagery\scanned_maps\moe_terrain_maps\Scanned_T_maps_all\C05\C05-2332")</f>
        <v>\\imagefiles.bcgov\imagery\scanned_maps\moe_terrain_maps\Scanned_T_maps_all\C05\C05-2332</v>
      </c>
      <c r="S652" t="s">
        <v>62</v>
      </c>
      <c r="T652" s="11" t="str">
        <f>HYPERLINK("http://www.env.gov.bc.ca/esd/distdata/ecosystems/TEI_Scanned_Maps/C05/C05-2332","http://www.env.gov.bc.ca/esd/distdata/ecosystems/TEI_Scanned_Maps/C05/C05-2332")</f>
        <v>http://www.env.gov.bc.ca/esd/distdata/ecosystems/TEI_Scanned_Maps/C05/C05-2332</v>
      </c>
      <c r="U652" t="s">
        <v>58</v>
      </c>
      <c r="V652" t="s">
        <v>58</v>
      </c>
      <c r="W652" t="s">
        <v>58</v>
      </c>
      <c r="X652" t="s">
        <v>58</v>
      </c>
      <c r="Y652" t="s">
        <v>58</v>
      </c>
      <c r="Z652" t="s">
        <v>58</v>
      </c>
      <c r="AA652" t="s">
        <v>58</v>
      </c>
      <c r="AC652" t="s">
        <v>58</v>
      </c>
      <c r="AE652" t="s">
        <v>58</v>
      </c>
      <c r="AG652" t="s">
        <v>63</v>
      </c>
      <c r="AH652" s="11" t="str">
        <f t="shared" si="13"/>
        <v>mailto: soilterrain@victoria1.gov.bc.ca</v>
      </c>
    </row>
    <row r="653" spans="1:34">
      <c r="A653" t="s">
        <v>1553</v>
      </c>
      <c r="B653" t="s">
        <v>56</v>
      </c>
      <c r="C653" s="10" t="s">
        <v>945</v>
      </c>
      <c r="D653" t="s">
        <v>58</v>
      </c>
      <c r="E653" t="s">
        <v>497</v>
      </c>
      <c r="F653" t="s">
        <v>502</v>
      </c>
      <c r="G653">
        <v>50000</v>
      </c>
      <c r="H653">
        <v>1987</v>
      </c>
      <c r="I653" t="s">
        <v>58</v>
      </c>
      <c r="J653" t="s">
        <v>58</v>
      </c>
      <c r="K653" t="s">
        <v>58</v>
      </c>
      <c r="L653" t="s">
        <v>58</v>
      </c>
      <c r="M653" t="s">
        <v>58</v>
      </c>
      <c r="N653" t="s">
        <v>61</v>
      </c>
      <c r="Q653" t="s">
        <v>58</v>
      </c>
      <c r="R653" s="11" t="str">
        <f>HYPERLINK("\\imagefiles.bcgov\imagery\scanned_maps\moe_terrain_maps\Scanned_T_maps_all\C05\C05-2334","\\imagefiles.bcgov\imagery\scanned_maps\moe_terrain_maps\Scanned_T_maps_all\C05\C05-2334")</f>
        <v>\\imagefiles.bcgov\imagery\scanned_maps\moe_terrain_maps\Scanned_T_maps_all\C05\C05-2334</v>
      </c>
      <c r="S653" t="s">
        <v>62</v>
      </c>
      <c r="T653" s="11" t="str">
        <f>HYPERLINK("http://www.env.gov.bc.ca/esd/distdata/ecosystems/TEI_Scanned_Maps/C05/C05-2334","http://www.env.gov.bc.ca/esd/distdata/ecosystems/TEI_Scanned_Maps/C05/C05-2334")</f>
        <v>http://www.env.gov.bc.ca/esd/distdata/ecosystems/TEI_Scanned_Maps/C05/C05-2334</v>
      </c>
      <c r="U653" t="s">
        <v>58</v>
      </c>
      <c r="V653" t="s">
        <v>58</v>
      </c>
      <c r="W653" t="s">
        <v>58</v>
      </c>
      <c r="X653" t="s">
        <v>58</v>
      </c>
      <c r="Y653" t="s">
        <v>58</v>
      </c>
      <c r="Z653" t="s">
        <v>58</v>
      </c>
      <c r="AA653" t="s">
        <v>58</v>
      </c>
      <c r="AC653" t="s">
        <v>58</v>
      </c>
      <c r="AE653" t="s">
        <v>58</v>
      </c>
      <c r="AG653" t="s">
        <v>63</v>
      </c>
      <c r="AH653" s="11" t="str">
        <f t="shared" si="13"/>
        <v>mailto: soilterrain@victoria1.gov.bc.ca</v>
      </c>
    </row>
    <row r="654" spans="1:34">
      <c r="A654" t="s">
        <v>1554</v>
      </c>
      <c r="B654" t="s">
        <v>56</v>
      </c>
      <c r="C654" s="10" t="s">
        <v>1555</v>
      </c>
      <c r="D654" t="s">
        <v>61</v>
      </c>
      <c r="E654" t="s">
        <v>497</v>
      </c>
      <c r="F654" t="s">
        <v>1345</v>
      </c>
      <c r="G654">
        <v>50000</v>
      </c>
      <c r="H654">
        <v>1987</v>
      </c>
      <c r="I654" t="s">
        <v>58</v>
      </c>
      <c r="J654" t="s">
        <v>58</v>
      </c>
      <c r="K654" t="s">
        <v>58</v>
      </c>
      <c r="L654" t="s">
        <v>58</v>
      </c>
      <c r="M654" t="s">
        <v>58</v>
      </c>
      <c r="N654" t="s">
        <v>61</v>
      </c>
      <c r="Q654" t="s">
        <v>58</v>
      </c>
      <c r="R654" s="11" t="str">
        <f>HYPERLINK("\\imagefiles.bcgov\imagery\scanned_maps\moe_terrain_maps\Scanned_T_maps_all\C05\C05-2337","\\imagefiles.bcgov\imagery\scanned_maps\moe_terrain_maps\Scanned_T_maps_all\C05\C05-2337")</f>
        <v>\\imagefiles.bcgov\imagery\scanned_maps\moe_terrain_maps\Scanned_T_maps_all\C05\C05-2337</v>
      </c>
      <c r="S654" t="s">
        <v>62</v>
      </c>
      <c r="T654" s="11" t="str">
        <f>HYPERLINK("http://www.env.gov.bc.ca/esd/distdata/ecosystems/TEI_Scanned_Maps/C05/C05-2337","http://www.env.gov.bc.ca/esd/distdata/ecosystems/TEI_Scanned_Maps/C05/C05-2337")</f>
        <v>http://www.env.gov.bc.ca/esd/distdata/ecosystems/TEI_Scanned_Maps/C05/C05-2337</v>
      </c>
      <c r="U654" t="s">
        <v>58</v>
      </c>
      <c r="V654" t="s">
        <v>58</v>
      </c>
      <c r="W654" t="s">
        <v>58</v>
      </c>
      <c r="X654" t="s">
        <v>58</v>
      </c>
      <c r="Y654" t="s">
        <v>58</v>
      </c>
      <c r="Z654" t="s">
        <v>58</v>
      </c>
      <c r="AA654" t="s">
        <v>58</v>
      </c>
      <c r="AC654" t="s">
        <v>58</v>
      </c>
      <c r="AE654" t="s">
        <v>58</v>
      </c>
      <c r="AG654" t="s">
        <v>63</v>
      </c>
      <c r="AH654" s="11" t="str">
        <f t="shared" si="13"/>
        <v>mailto: soilterrain@victoria1.gov.bc.ca</v>
      </c>
    </row>
    <row r="655" spans="1:34">
      <c r="A655" t="s">
        <v>1556</v>
      </c>
      <c r="B655" t="s">
        <v>56</v>
      </c>
      <c r="C655" s="10" t="s">
        <v>1557</v>
      </c>
      <c r="D655" t="s">
        <v>58</v>
      </c>
      <c r="E655" t="s">
        <v>497</v>
      </c>
      <c r="F655" t="s">
        <v>502</v>
      </c>
      <c r="G655">
        <v>50000</v>
      </c>
      <c r="H655">
        <v>1982</v>
      </c>
      <c r="I655" t="s">
        <v>58</v>
      </c>
      <c r="J655" t="s">
        <v>58</v>
      </c>
      <c r="K655" t="s">
        <v>58</v>
      </c>
      <c r="L655" t="s">
        <v>58</v>
      </c>
      <c r="M655" t="s">
        <v>58</v>
      </c>
      <c r="N655" t="s">
        <v>61</v>
      </c>
      <c r="Q655" t="s">
        <v>58</v>
      </c>
      <c r="R655" s="11" t="str">
        <f>HYPERLINK("\\imagefiles.bcgov\imagery\scanned_maps\moe_terrain_maps\Scanned_T_maps_all\C05\C05-2363","\\imagefiles.bcgov\imagery\scanned_maps\moe_terrain_maps\Scanned_T_maps_all\C05\C05-2363")</f>
        <v>\\imagefiles.bcgov\imagery\scanned_maps\moe_terrain_maps\Scanned_T_maps_all\C05\C05-2363</v>
      </c>
      <c r="S655" t="s">
        <v>62</v>
      </c>
      <c r="T655" s="11" t="str">
        <f>HYPERLINK("http://www.env.gov.bc.ca/esd/distdata/ecosystems/TEI_Scanned_Maps/C05/C05-2363","http://www.env.gov.bc.ca/esd/distdata/ecosystems/TEI_Scanned_Maps/C05/C05-2363")</f>
        <v>http://www.env.gov.bc.ca/esd/distdata/ecosystems/TEI_Scanned_Maps/C05/C05-2363</v>
      </c>
      <c r="U655" t="s">
        <v>58</v>
      </c>
      <c r="V655" t="s">
        <v>58</v>
      </c>
      <c r="W655" t="s">
        <v>58</v>
      </c>
      <c r="X655" t="s">
        <v>58</v>
      </c>
      <c r="Y655" t="s">
        <v>58</v>
      </c>
      <c r="Z655" t="s">
        <v>58</v>
      </c>
      <c r="AA655" t="s">
        <v>58</v>
      </c>
      <c r="AC655" t="s">
        <v>58</v>
      </c>
      <c r="AE655" t="s">
        <v>58</v>
      </c>
      <c r="AG655" t="s">
        <v>63</v>
      </c>
      <c r="AH655" s="11" t="str">
        <f t="shared" si="13"/>
        <v>mailto: soilterrain@victoria1.gov.bc.ca</v>
      </c>
    </row>
    <row r="656" spans="1:34">
      <c r="A656" t="s">
        <v>1558</v>
      </c>
      <c r="B656" t="s">
        <v>56</v>
      </c>
      <c r="C656" s="10" t="s">
        <v>1559</v>
      </c>
      <c r="D656" t="s">
        <v>58</v>
      </c>
      <c r="E656" t="s">
        <v>497</v>
      </c>
      <c r="F656" t="s">
        <v>502</v>
      </c>
      <c r="G656">
        <v>50000</v>
      </c>
      <c r="H656">
        <v>1987</v>
      </c>
      <c r="I656" t="s">
        <v>58</v>
      </c>
      <c r="J656" t="s">
        <v>58</v>
      </c>
      <c r="K656" t="s">
        <v>58</v>
      </c>
      <c r="L656" t="s">
        <v>58</v>
      </c>
      <c r="M656" t="s">
        <v>58</v>
      </c>
      <c r="N656" t="s">
        <v>61</v>
      </c>
      <c r="Q656" t="s">
        <v>58</v>
      </c>
      <c r="R656" s="11" t="str">
        <f>HYPERLINK("\\imagefiles.bcgov\imagery\scanned_maps\moe_terrain_maps\Scanned_T_maps_all\C05\C05-2365","\\imagefiles.bcgov\imagery\scanned_maps\moe_terrain_maps\Scanned_T_maps_all\C05\C05-2365")</f>
        <v>\\imagefiles.bcgov\imagery\scanned_maps\moe_terrain_maps\Scanned_T_maps_all\C05\C05-2365</v>
      </c>
      <c r="S656" t="s">
        <v>62</v>
      </c>
      <c r="T656" s="11" t="str">
        <f>HYPERLINK("http://www.env.gov.bc.ca/esd/distdata/ecosystems/TEI_Scanned_Maps/C05/C05-2365","http://www.env.gov.bc.ca/esd/distdata/ecosystems/TEI_Scanned_Maps/C05/C05-2365")</f>
        <v>http://www.env.gov.bc.ca/esd/distdata/ecosystems/TEI_Scanned_Maps/C05/C05-2365</v>
      </c>
      <c r="U656" t="s">
        <v>58</v>
      </c>
      <c r="V656" t="s">
        <v>58</v>
      </c>
      <c r="W656" t="s">
        <v>58</v>
      </c>
      <c r="X656" t="s">
        <v>58</v>
      </c>
      <c r="Y656" t="s">
        <v>58</v>
      </c>
      <c r="Z656" t="s">
        <v>58</v>
      </c>
      <c r="AA656" t="s">
        <v>58</v>
      </c>
      <c r="AC656" t="s">
        <v>58</v>
      </c>
      <c r="AE656" t="s">
        <v>58</v>
      </c>
      <c r="AG656" t="s">
        <v>63</v>
      </c>
      <c r="AH656" s="11" t="str">
        <f t="shared" si="13"/>
        <v>mailto: soilterrain@victoria1.gov.bc.ca</v>
      </c>
    </row>
    <row r="657" spans="1:34">
      <c r="A657" t="s">
        <v>1560</v>
      </c>
      <c r="B657" t="s">
        <v>56</v>
      </c>
      <c r="C657" s="10" t="s">
        <v>1561</v>
      </c>
      <c r="D657" t="s">
        <v>58</v>
      </c>
      <c r="E657" t="s">
        <v>497</v>
      </c>
      <c r="F657" t="s">
        <v>502</v>
      </c>
      <c r="G657">
        <v>50000</v>
      </c>
      <c r="H657">
        <v>1982</v>
      </c>
      <c r="I657" t="s">
        <v>58</v>
      </c>
      <c r="J657" t="s">
        <v>58</v>
      </c>
      <c r="K657" t="s">
        <v>58</v>
      </c>
      <c r="L657" t="s">
        <v>58</v>
      </c>
      <c r="M657" t="s">
        <v>58</v>
      </c>
      <c r="N657" t="s">
        <v>61</v>
      </c>
      <c r="Q657" t="s">
        <v>58</v>
      </c>
      <c r="R657" s="11" t="str">
        <f>HYPERLINK("\\imagefiles.bcgov\imagery\scanned_maps\moe_terrain_maps\Scanned_T_maps_all\C05\C05-2367","\\imagefiles.bcgov\imagery\scanned_maps\moe_terrain_maps\Scanned_T_maps_all\C05\C05-2367")</f>
        <v>\\imagefiles.bcgov\imagery\scanned_maps\moe_terrain_maps\Scanned_T_maps_all\C05\C05-2367</v>
      </c>
      <c r="S657" t="s">
        <v>62</v>
      </c>
      <c r="T657" s="11" t="str">
        <f>HYPERLINK("http://www.env.gov.bc.ca/esd/distdata/ecosystems/TEI_Scanned_Maps/C05/C05-2367","http://www.env.gov.bc.ca/esd/distdata/ecosystems/TEI_Scanned_Maps/C05/C05-2367")</f>
        <v>http://www.env.gov.bc.ca/esd/distdata/ecosystems/TEI_Scanned_Maps/C05/C05-2367</v>
      </c>
      <c r="U657" t="s">
        <v>58</v>
      </c>
      <c r="V657" t="s">
        <v>58</v>
      </c>
      <c r="W657" t="s">
        <v>58</v>
      </c>
      <c r="X657" t="s">
        <v>58</v>
      </c>
      <c r="Y657" t="s">
        <v>58</v>
      </c>
      <c r="Z657" t="s">
        <v>58</v>
      </c>
      <c r="AA657" t="s">
        <v>58</v>
      </c>
      <c r="AC657" t="s">
        <v>58</v>
      </c>
      <c r="AE657" t="s">
        <v>58</v>
      </c>
      <c r="AG657" t="s">
        <v>63</v>
      </c>
      <c r="AH657" s="11" t="str">
        <f t="shared" si="13"/>
        <v>mailto: soilterrain@victoria1.gov.bc.ca</v>
      </c>
    </row>
    <row r="658" spans="1:34">
      <c r="A658" t="s">
        <v>1562</v>
      </c>
      <c r="B658" t="s">
        <v>56</v>
      </c>
      <c r="C658" s="10" t="s">
        <v>1563</v>
      </c>
      <c r="D658" t="s">
        <v>58</v>
      </c>
      <c r="E658" t="s">
        <v>497</v>
      </c>
      <c r="F658" t="s">
        <v>502</v>
      </c>
      <c r="G658">
        <v>50000</v>
      </c>
      <c r="H658">
        <v>1982</v>
      </c>
      <c r="I658" t="s">
        <v>58</v>
      </c>
      <c r="J658" t="s">
        <v>58</v>
      </c>
      <c r="K658" t="s">
        <v>58</v>
      </c>
      <c r="L658" t="s">
        <v>58</v>
      </c>
      <c r="M658" t="s">
        <v>58</v>
      </c>
      <c r="N658" t="s">
        <v>61</v>
      </c>
      <c r="Q658" t="s">
        <v>58</v>
      </c>
      <c r="R658" s="11" t="str">
        <f>HYPERLINK("\\imagefiles.bcgov\imagery\scanned_maps\moe_terrain_maps\Scanned_T_maps_all\C05\C05-2369","\\imagefiles.bcgov\imagery\scanned_maps\moe_terrain_maps\Scanned_T_maps_all\C05\C05-2369")</f>
        <v>\\imagefiles.bcgov\imagery\scanned_maps\moe_terrain_maps\Scanned_T_maps_all\C05\C05-2369</v>
      </c>
      <c r="S658" t="s">
        <v>62</v>
      </c>
      <c r="T658" s="11" t="str">
        <f>HYPERLINK("http://www.env.gov.bc.ca/esd/distdata/ecosystems/TEI_Scanned_Maps/C05/C05-2369","http://www.env.gov.bc.ca/esd/distdata/ecosystems/TEI_Scanned_Maps/C05/C05-2369")</f>
        <v>http://www.env.gov.bc.ca/esd/distdata/ecosystems/TEI_Scanned_Maps/C05/C05-2369</v>
      </c>
      <c r="U658" t="s">
        <v>58</v>
      </c>
      <c r="V658" t="s">
        <v>58</v>
      </c>
      <c r="W658" t="s">
        <v>58</v>
      </c>
      <c r="X658" t="s">
        <v>58</v>
      </c>
      <c r="Y658" t="s">
        <v>58</v>
      </c>
      <c r="Z658" t="s">
        <v>58</v>
      </c>
      <c r="AA658" t="s">
        <v>58</v>
      </c>
      <c r="AC658" t="s">
        <v>58</v>
      </c>
      <c r="AE658" t="s">
        <v>58</v>
      </c>
      <c r="AG658" t="s">
        <v>63</v>
      </c>
      <c r="AH658" s="11" t="str">
        <f t="shared" si="13"/>
        <v>mailto: soilterrain@victoria1.gov.bc.ca</v>
      </c>
    </row>
    <row r="659" spans="1:34">
      <c r="A659" t="s">
        <v>1564</v>
      </c>
      <c r="B659" t="s">
        <v>56</v>
      </c>
      <c r="C659" s="10" t="s">
        <v>1565</v>
      </c>
      <c r="D659" t="s">
        <v>58</v>
      </c>
      <c r="E659" t="s">
        <v>497</v>
      </c>
      <c r="F659" t="s">
        <v>502</v>
      </c>
      <c r="G659">
        <v>50000</v>
      </c>
      <c r="H659">
        <v>1982</v>
      </c>
      <c r="I659" t="s">
        <v>58</v>
      </c>
      <c r="J659" t="s">
        <v>58</v>
      </c>
      <c r="K659" t="s">
        <v>58</v>
      </c>
      <c r="L659" t="s">
        <v>58</v>
      </c>
      <c r="M659" t="s">
        <v>58</v>
      </c>
      <c r="N659" t="s">
        <v>61</v>
      </c>
      <c r="Q659" t="s">
        <v>58</v>
      </c>
      <c r="R659" s="11" t="str">
        <f>HYPERLINK("\\imagefiles.bcgov\imagery\scanned_maps\moe_terrain_maps\Scanned_T_maps_all\C05\C05-2385","\\imagefiles.bcgov\imagery\scanned_maps\moe_terrain_maps\Scanned_T_maps_all\C05\C05-2385")</f>
        <v>\\imagefiles.bcgov\imagery\scanned_maps\moe_terrain_maps\Scanned_T_maps_all\C05\C05-2385</v>
      </c>
      <c r="S659" t="s">
        <v>62</v>
      </c>
      <c r="T659" s="11" t="str">
        <f>HYPERLINK("http://www.env.gov.bc.ca/esd/distdata/ecosystems/TEI_Scanned_Maps/C05/C05-2385","http://www.env.gov.bc.ca/esd/distdata/ecosystems/TEI_Scanned_Maps/C05/C05-2385")</f>
        <v>http://www.env.gov.bc.ca/esd/distdata/ecosystems/TEI_Scanned_Maps/C05/C05-2385</v>
      </c>
      <c r="U659" t="s">
        <v>58</v>
      </c>
      <c r="V659" t="s">
        <v>58</v>
      </c>
      <c r="W659" t="s">
        <v>58</v>
      </c>
      <c r="X659" t="s">
        <v>58</v>
      </c>
      <c r="Y659" t="s">
        <v>58</v>
      </c>
      <c r="Z659" t="s">
        <v>58</v>
      </c>
      <c r="AA659" t="s">
        <v>58</v>
      </c>
      <c r="AC659" t="s">
        <v>58</v>
      </c>
      <c r="AE659" t="s">
        <v>58</v>
      </c>
      <c r="AG659" t="s">
        <v>63</v>
      </c>
      <c r="AH659" s="11" t="str">
        <f t="shared" si="13"/>
        <v>mailto: soilterrain@victoria1.gov.bc.ca</v>
      </c>
    </row>
    <row r="660" spans="1:34">
      <c r="A660" t="s">
        <v>1566</v>
      </c>
      <c r="B660" t="s">
        <v>56</v>
      </c>
      <c r="C660" s="10" t="s">
        <v>1567</v>
      </c>
      <c r="D660" t="s">
        <v>58</v>
      </c>
      <c r="E660" t="s">
        <v>497</v>
      </c>
      <c r="F660" t="s">
        <v>502</v>
      </c>
      <c r="G660">
        <v>50000</v>
      </c>
      <c r="H660">
        <v>1984</v>
      </c>
      <c r="I660" t="s">
        <v>58</v>
      </c>
      <c r="J660" t="s">
        <v>58</v>
      </c>
      <c r="K660" t="s">
        <v>58</v>
      </c>
      <c r="L660" t="s">
        <v>58</v>
      </c>
      <c r="M660" t="s">
        <v>58</v>
      </c>
      <c r="N660" t="s">
        <v>61</v>
      </c>
      <c r="Q660" t="s">
        <v>58</v>
      </c>
      <c r="R660" s="11" t="str">
        <f>HYPERLINK("\\imagefiles.bcgov\imagery\scanned_maps\moe_terrain_maps\Scanned_T_maps_all\C05\C05-2387","\\imagefiles.bcgov\imagery\scanned_maps\moe_terrain_maps\Scanned_T_maps_all\C05\C05-2387")</f>
        <v>\\imagefiles.bcgov\imagery\scanned_maps\moe_terrain_maps\Scanned_T_maps_all\C05\C05-2387</v>
      </c>
      <c r="S660" t="s">
        <v>62</v>
      </c>
      <c r="T660" s="11" t="str">
        <f>HYPERLINK("http://www.env.gov.bc.ca/esd/distdata/ecosystems/TEI_Scanned_Maps/C05/C05-2387","http://www.env.gov.bc.ca/esd/distdata/ecosystems/TEI_Scanned_Maps/C05/C05-2387")</f>
        <v>http://www.env.gov.bc.ca/esd/distdata/ecosystems/TEI_Scanned_Maps/C05/C05-2387</v>
      </c>
      <c r="U660" t="s">
        <v>58</v>
      </c>
      <c r="V660" t="s">
        <v>58</v>
      </c>
      <c r="W660" t="s">
        <v>58</v>
      </c>
      <c r="X660" t="s">
        <v>58</v>
      </c>
      <c r="Y660" t="s">
        <v>58</v>
      </c>
      <c r="Z660" t="s">
        <v>58</v>
      </c>
      <c r="AA660" t="s">
        <v>58</v>
      </c>
      <c r="AC660" t="s">
        <v>58</v>
      </c>
      <c r="AE660" t="s">
        <v>58</v>
      </c>
      <c r="AG660" t="s">
        <v>63</v>
      </c>
      <c r="AH660" s="11" t="str">
        <f t="shared" si="13"/>
        <v>mailto: soilterrain@victoria1.gov.bc.ca</v>
      </c>
    </row>
    <row r="661" spans="1:34">
      <c r="A661" t="s">
        <v>1568</v>
      </c>
      <c r="B661" t="s">
        <v>56</v>
      </c>
      <c r="C661" s="10" t="s">
        <v>1569</v>
      </c>
      <c r="D661" t="s">
        <v>58</v>
      </c>
      <c r="E661" t="s">
        <v>497</v>
      </c>
      <c r="F661" t="s">
        <v>502</v>
      </c>
      <c r="G661">
        <v>50000</v>
      </c>
      <c r="H661">
        <v>1984</v>
      </c>
      <c r="I661" t="s">
        <v>58</v>
      </c>
      <c r="J661" t="s">
        <v>58</v>
      </c>
      <c r="K661" t="s">
        <v>58</v>
      </c>
      <c r="L661" t="s">
        <v>58</v>
      </c>
      <c r="M661" t="s">
        <v>58</v>
      </c>
      <c r="N661" t="s">
        <v>61</v>
      </c>
      <c r="Q661" t="s">
        <v>58</v>
      </c>
      <c r="R661" s="11" t="str">
        <f>HYPERLINK("\\imagefiles.bcgov\imagery\scanned_maps\moe_terrain_maps\Scanned_T_maps_all\C05\C05-2389","\\imagefiles.bcgov\imagery\scanned_maps\moe_terrain_maps\Scanned_T_maps_all\C05\C05-2389")</f>
        <v>\\imagefiles.bcgov\imagery\scanned_maps\moe_terrain_maps\Scanned_T_maps_all\C05\C05-2389</v>
      </c>
      <c r="S661" t="s">
        <v>62</v>
      </c>
      <c r="T661" s="11" t="str">
        <f>HYPERLINK("http://www.env.gov.bc.ca/esd/distdata/ecosystems/TEI_Scanned_Maps/C05/C05-2389","http://www.env.gov.bc.ca/esd/distdata/ecosystems/TEI_Scanned_Maps/C05/C05-2389")</f>
        <v>http://www.env.gov.bc.ca/esd/distdata/ecosystems/TEI_Scanned_Maps/C05/C05-2389</v>
      </c>
      <c r="U661" t="s">
        <v>58</v>
      </c>
      <c r="V661" t="s">
        <v>58</v>
      </c>
      <c r="W661" t="s">
        <v>58</v>
      </c>
      <c r="X661" t="s">
        <v>58</v>
      </c>
      <c r="Y661" t="s">
        <v>58</v>
      </c>
      <c r="Z661" t="s">
        <v>58</v>
      </c>
      <c r="AA661" t="s">
        <v>58</v>
      </c>
      <c r="AC661" t="s">
        <v>58</v>
      </c>
      <c r="AE661" t="s">
        <v>58</v>
      </c>
      <c r="AG661" t="s">
        <v>63</v>
      </c>
      <c r="AH661" s="11" t="str">
        <f t="shared" si="13"/>
        <v>mailto: soilterrain@victoria1.gov.bc.ca</v>
      </c>
    </row>
    <row r="662" spans="1:34">
      <c r="A662" t="s">
        <v>1570</v>
      </c>
      <c r="B662" t="s">
        <v>56</v>
      </c>
      <c r="C662" s="10" t="s">
        <v>1571</v>
      </c>
      <c r="D662" t="s">
        <v>58</v>
      </c>
      <c r="E662" t="s">
        <v>497</v>
      </c>
      <c r="F662" t="s">
        <v>502</v>
      </c>
      <c r="G662">
        <v>50000</v>
      </c>
      <c r="H662">
        <v>1981</v>
      </c>
      <c r="I662" t="s">
        <v>58</v>
      </c>
      <c r="J662" t="s">
        <v>58</v>
      </c>
      <c r="K662" t="s">
        <v>58</v>
      </c>
      <c r="L662" t="s">
        <v>58</v>
      </c>
      <c r="M662" t="s">
        <v>58</v>
      </c>
      <c r="N662" t="s">
        <v>61</v>
      </c>
      <c r="Q662" t="s">
        <v>58</v>
      </c>
      <c r="R662" s="11" t="str">
        <f>HYPERLINK("\\imagefiles.bcgov\imagery\scanned_maps\moe_terrain_maps\Scanned_T_maps_all\C05\C05-2391","\\imagefiles.bcgov\imagery\scanned_maps\moe_terrain_maps\Scanned_T_maps_all\C05\C05-2391")</f>
        <v>\\imagefiles.bcgov\imagery\scanned_maps\moe_terrain_maps\Scanned_T_maps_all\C05\C05-2391</v>
      </c>
      <c r="S662" t="s">
        <v>62</v>
      </c>
      <c r="T662" s="11" t="str">
        <f>HYPERLINK("http://www.env.gov.bc.ca/esd/distdata/ecosystems/TEI_Scanned_Maps/C05/C05-2391","http://www.env.gov.bc.ca/esd/distdata/ecosystems/TEI_Scanned_Maps/C05/C05-2391")</f>
        <v>http://www.env.gov.bc.ca/esd/distdata/ecosystems/TEI_Scanned_Maps/C05/C05-2391</v>
      </c>
      <c r="U662" t="s">
        <v>58</v>
      </c>
      <c r="V662" t="s">
        <v>58</v>
      </c>
      <c r="W662" t="s">
        <v>58</v>
      </c>
      <c r="X662" t="s">
        <v>58</v>
      </c>
      <c r="Y662" t="s">
        <v>58</v>
      </c>
      <c r="Z662" t="s">
        <v>58</v>
      </c>
      <c r="AA662" t="s">
        <v>58</v>
      </c>
      <c r="AC662" t="s">
        <v>58</v>
      </c>
      <c r="AE662" t="s">
        <v>58</v>
      </c>
      <c r="AG662" t="s">
        <v>63</v>
      </c>
      <c r="AH662" s="11" t="str">
        <f t="shared" si="13"/>
        <v>mailto: soilterrain@victoria1.gov.bc.ca</v>
      </c>
    </row>
    <row r="663" spans="1:34">
      <c r="A663" t="s">
        <v>1572</v>
      </c>
      <c r="B663" t="s">
        <v>56</v>
      </c>
      <c r="C663" s="10" t="s">
        <v>1573</v>
      </c>
      <c r="D663" t="s">
        <v>58</v>
      </c>
      <c r="E663" t="s">
        <v>497</v>
      </c>
      <c r="F663" t="s">
        <v>502</v>
      </c>
      <c r="G663">
        <v>50000</v>
      </c>
      <c r="H663">
        <v>1980</v>
      </c>
      <c r="I663" t="s">
        <v>58</v>
      </c>
      <c r="J663" t="s">
        <v>58</v>
      </c>
      <c r="K663" t="s">
        <v>58</v>
      </c>
      <c r="L663" t="s">
        <v>58</v>
      </c>
      <c r="M663" t="s">
        <v>58</v>
      </c>
      <c r="N663" t="s">
        <v>61</v>
      </c>
      <c r="Q663" t="s">
        <v>58</v>
      </c>
      <c r="R663" s="11" t="str">
        <f>HYPERLINK("\\imagefiles.bcgov\imagery\scanned_maps\moe_terrain_maps\Scanned_T_maps_all\C05\C05-2393","\\imagefiles.bcgov\imagery\scanned_maps\moe_terrain_maps\Scanned_T_maps_all\C05\C05-2393")</f>
        <v>\\imagefiles.bcgov\imagery\scanned_maps\moe_terrain_maps\Scanned_T_maps_all\C05\C05-2393</v>
      </c>
      <c r="S663" t="s">
        <v>62</v>
      </c>
      <c r="T663" s="11" t="str">
        <f>HYPERLINK("http://www.env.gov.bc.ca/esd/distdata/ecosystems/TEI_Scanned_Maps/C05/C05-2393","http://www.env.gov.bc.ca/esd/distdata/ecosystems/TEI_Scanned_Maps/C05/C05-2393")</f>
        <v>http://www.env.gov.bc.ca/esd/distdata/ecosystems/TEI_Scanned_Maps/C05/C05-2393</v>
      </c>
      <c r="U663" t="s">
        <v>58</v>
      </c>
      <c r="V663" t="s">
        <v>58</v>
      </c>
      <c r="W663" t="s">
        <v>58</v>
      </c>
      <c r="X663" t="s">
        <v>58</v>
      </c>
      <c r="Y663" t="s">
        <v>58</v>
      </c>
      <c r="Z663" t="s">
        <v>58</v>
      </c>
      <c r="AA663" t="s">
        <v>58</v>
      </c>
      <c r="AC663" t="s">
        <v>58</v>
      </c>
      <c r="AE663" t="s">
        <v>58</v>
      </c>
      <c r="AG663" t="s">
        <v>63</v>
      </c>
      <c r="AH663" s="11" t="str">
        <f t="shared" si="13"/>
        <v>mailto: soilterrain@victoria1.gov.bc.ca</v>
      </c>
    </row>
    <row r="664" spans="1:34">
      <c r="A664" t="s">
        <v>1574</v>
      </c>
      <c r="B664" t="s">
        <v>56</v>
      </c>
      <c r="C664" s="10" t="s">
        <v>1575</v>
      </c>
      <c r="D664" t="s">
        <v>58</v>
      </c>
      <c r="E664" t="s">
        <v>497</v>
      </c>
      <c r="F664" t="s">
        <v>502</v>
      </c>
      <c r="G664">
        <v>50000</v>
      </c>
      <c r="H664" t="s">
        <v>187</v>
      </c>
      <c r="I664" t="s">
        <v>58</v>
      </c>
      <c r="J664" t="s">
        <v>58</v>
      </c>
      <c r="K664" t="s">
        <v>58</v>
      </c>
      <c r="L664" t="s">
        <v>58</v>
      </c>
      <c r="M664" t="s">
        <v>58</v>
      </c>
      <c r="N664" t="s">
        <v>61</v>
      </c>
      <c r="Q664" t="s">
        <v>58</v>
      </c>
      <c r="R664" s="11" t="str">
        <f>HYPERLINK("\\imagefiles.bcgov\imagery\scanned_maps\moe_terrain_maps\Scanned_T_maps_all\C05\C05-2395","\\imagefiles.bcgov\imagery\scanned_maps\moe_terrain_maps\Scanned_T_maps_all\C05\C05-2395")</f>
        <v>\\imagefiles.bcgov\imagery\scanned_maps\moe_terrain_maps\Scanned_T_maps_all\C05\C05-2395</v>
      </c>
      <c r="S664" t="s">
        <v>62</v>
      </c>
      <c r="T664" s="11" t="str">
        <f>HYPERLINK("http://www.env.gov.bc.ca/esd/distdata/ecosystems/TEI_Scanned_Maps/C05/C05-2395","http://www.env.gov.bc.ca/esd/distdata/ecosystems/TEI_Scanned_Maps/C05/C05-2395")</f>
        <v>http://www.env.gov.bc.ca/esd/distdata/ecosystems/TEI_Scanned_Maps/C05/C05-2395</v>
      </c>
      <c r="U664" t="s">
        <v>58</v>
      </c>
      <c r="V664" t="s">
        <v>58</v>
      </c>
      <c r="W664" t="s">
        <v>58</v>
      </c>
      <c r="X664" t="s">
        <v>58</v>
      </c>
      <c r="Y664" t="s">
        <v>58</v>
      </c>
      <c r="Z664" t="s">
        <v>58</v>
      </c>
      <c r="AA664" t="s">
        <v>58</v>
      </c>
      <c r="AC664" t="s">
        <v>58</v>
      </c>
      <c r="AE664" t="s">
        <v>58</v>
      </c>
      <c r="AG664" t="s">
        <v>63</v>
      </c>
      <c r="AH664" s="11" t="str">
        <f t="shared" si="13"/>
        <v>mailto: soilterrain@victoria1.gov.bc.ca</v>
      </c>
    </row>
    <row r="665" spans="1:34">
      <c r="A665" t="s">
        <v>1576</v>
      </c>
      <c r="B665" t="s">
        <v>56</v>
      </c>
      <c r="C665" s="10" t="s">
        <v>1577</v>
      </c>
      <c r="D665" t="s">
        <v>58</v>
      </c>
      <c r="E665" t="s">
        <v>497</v>
      </c>
      <c r="F665" t="s">
        <v>502</v>
      </c>
      <c r="G665">
        <v>50000</v>
      </c>
      <c r="H665">
        <v>1981</v>
      </c>
      <c r="I665" t="s">
        <v>58</v>
      </c>
      <c r="J665" t="s">
        <v>58</v>
      </c>
      <c r="K665" t="s">
        <v>58</v>
      </c>
      <c r="L665" t="s">
        <v>58</v>
      </c>
      <c r="M665" t="s">
        <v>58</v>
      </c>
      <c r="N665" t="s">
        <v>61</v>
      </c>
      <c r="Q665" t="s">
        <v>58</v>
      </c>
      <c r="R665" s="11" t="str">
        <f>HYPERLINK("\\imagefiles.bcgov\imagery\scanned_maps\moe_terrain_maps\Scanned_T_maps_all\C05\C05-2397","\\imagefiles.bcgov\imagery\scanned_maps\moe_terrain_maps\Scanned_T_maps_all\C05\C05-2397")</f>
        <v>\\imagefiles.bcgov\imagery\scanned_maps\moe_terrain_maps\Scanned_T_maps_all\C05\C05-2397</v>
      </c>
      <c r="S665" t="s">
        <v>62</v>
      </c>
      <c r="T665" s="11" t="str">
        <f>HYPERLINK("http://www.env.gov.bc.ca/esd/distdata/ecosystems/TEI_Scanned_Maps/C05/C05-2397","http://www.env.gov.bc.ca/esd/distdata/ecosystems/TEI_Scanned_Maps/C05/C05-2397")</f>
        <v>http://www.env.gov.bc.ca/esd/distdata/ecosystems/TEI_Scanned_Maps/C05/C05-2397</v>
      </c>
      <c r="U665" t="s">
        <v>58</v>
      </c>
      <c r="V665" t="s">
        <v>58</v>
      </c>
      <c r="W665" t="s">
        <v>58</v>
      </c>
      <c r="X665" t="s">
        <v>58</v>
      </c>
      <c r="Y665" t="s">
        <v>58</v>
      </c>
      <c r="Z665" t="s">
        <v>58</v>
      </c>
      <c r="AA665" t="s">
        <v>58</v>
      </c>
      <c r="AC665" t="s">
        <v>58</v>
      </c>
      <c r="AE665" t="s">
        <v>58</v>
      </c>
      <c r="AG665" t="s">
        <v>63</v>
      </c>
      <c r="AH665" s="11" t="str">
        <f t="shared" si="13"/>
        <v>mailto: soilterrain@victoria1.gov.bc.ca</v>
      </c>
    </row>
    <row r="666" spans="1:34">
      <c r="A666" t="s">
        <v>1578</v>
      </c>
      <c r="B666" t="s">
        <v>56</v>
      </c>
      <c r="C666" s="10" t="s">
        <v>1579</v>
      </c>
      <c r="D666" t="s">
        <v>58</v>
      </c>
      <c r="E666" t="s">
        <v>497</v>
      </c>
      <c r="F666" t="s">
        <v>502</v>
      </c>
      <c r="G666">
        <v>50000</v>
      </c>
      <c r="H666" t="s">
        <v>187</v>
      </c>
      <c r="I666" t="s">
        <v>58</v>
      </c>
      <c r="J666" t="s">
        <v>58</v>
      </c>
      <c r="K666" t="s">
        <v>58</v>
      </c>
      <c r="L666" t="s">
        <v>58</v>
      </c>
      <c r="M666" t="s">
        <v>58</v>
      </c>
      <c r="N666" t="s">
        <v>61</v>
      </c>
      <c r="Q666" t="s">
        <v>58</v>
      </c>
      <c r="R666" s="11" t="str">
        <f>HYPERLINK("\\imagefiles.bcgov\imagery\scanned_maps\moe_terrain_maps\Scanned_T_maps_all\C05\C05-2399","\\imagefiles.bcgov\imagery\scanned_maps\moe_terrain_maps\Scanned_T_maps_all\C05\C05-2399")</f>
        <v>\\imagefiles.bcgov\imagery\scanned_maps\moe_terrain_maps\Scanned_T_maps_all\C05\C05-2399</v>
      </c>
      <c r="S666" t="s">
        <v>62</v>
      </c>
      <c r="T666" s="11" t="str">
        <f>HYPERLINK("http://www.env.gov.bc.ca/esd/distdata/ecosystems/TEI_Scanned_Maps/C05/C05-2399","http://www.env.gov.bc.ca/esd/distdata/ecosystems/TEI_Scanned_Maps/C05/C05-2399")</f>
        <v>http://www.env.gov.bc.ca/esd/distdata/ecosystems/TEI_Scanned_Maps/C05/C05-2399</v>
      </c>
      <c r="U666" t="s">
        <v>58</v>
      </c>
      <c r="V666" t="s">
        <v>58</v>
      </c>
      <c r="W666" t="s">
        <v>58</v>
      </c>
      <c r="X666" t="s">
        <v>58</v>
      </c>
      <c r="Y666" t="s">
        <v>58</v>
      </c>
      <c r="Z666" t="s">
        <v>58</v>
      </c>
      <c r="AA666" t="s">
        <v>58</v>
      </c>
      <c r="AC666" t="s">
        <v>58</v>
      </c>
      <c r="AE666" t="s">
        <v>58</v>
      </c>
      <c r="AG666" t="s">
        <v>63</v>
      </c>
      <c r="AH666" s="11" t="str">
        <f t="shared" si="13"/>
        <v>mailto: soilterrain@victoria1.gov.bc.ca</v>
      </c>
    </row>
    <row r="667" spans="1:34">
      <c r="A667" t="s">
        <v>1580</v>
      </c>
      <c r="B667" t="s">
        <v>56</v>
      </c>
      <c r="C667" s="10" t="s">
        <v>1411</v>
      </c>
      <c r="D667" t="s">
        <v>58</v>
      </c>
      <c r="E667" t="s">
        <v>497</v>
      </c>
      <c r="F667" t="s">
        <v>1581</v>
      </c>
      <c r="G667">
        <v>50000</v>
      </c>
      <c r="H667">
        <v>1980</v>
      </c>
      <c r="I667" t="s">
        <v>58</v>
      </c>
      <c r="J667" t="s">
        <v>58</v>
      </c>
      <c r="K667" t="s">
        <v>58</v>
      </c>
      <c r="L667" t="s">
        <v>58</v>
      </c>
      <c r="M667" t="s">
        <v>58</v>
      </c>
      <c r="N667" t="s">
        <v>61</v>
      </c>
      <c r="Q667" t="s">
        <v>58</v>
      </c>
      <c r="R667" s="11" t="str">
        <f>HYPERLINK("\\imagefiles.bcgov\imagery\scanned_maps\moe_terrain_maps\Scanned_T_maps_all\C05\C05-2414","\\imagefiles.bcgov\imagery\scanned_maps\moe_terrain_maps\Scanned_T_maps_all\C05\C05-2414")</f>
        <v>\\imagefiles.bcgov\imagery\scanned_maps\moe_terrain_maps\Scanned_T_maps_all\C05\C05-2414</v>
      </c>
      <c r="S667" t="s">
        <v>62</v>
      </c>
      <c r="T667" s="11" t="str">
        <f>HYPERLINK("http://www.env.gov.bc.ca/esd/distdata/ecosystems/TEI_Scanned_Maps/C05/C05-2414","http://www.env.gov.bc.ca/esd/distdata/ecosystems/TEI_Scanned_Maps/C05/C05-2414")</f>
        <v>http://www.env.gov.bc.ca/esd/distdata/ecosystems/TEI_Scanned_Maps/C05/C05-2414</v>
      </c>
      <c r="U667" t="s">
        <v>58</v>
      </c>
      <c r="V667" t="s">
        <v>58</v>
      </c>
      <c r="W667" t="s">
        <v>58</v>
      </c>
      <c r="X667" t="s">
        <v>58</v>
      </c>
      <c r="Y667" t="s">
        <v>58</v>
      </c>
      <c r="Z667" t="s">
        <v>58</v>
      </c>
      <c r="AA667" t="s">
        <v>58</v>
      </c>
      <c r="AC667" t="s">
        <v>58</v>
      </c>
      <c r="AE667" t="s">
        <v>58</v>
      </c>
      <c r="AG667" t="s">
        <v>63</v>
      </c>
      <c r="AH667" s="11" t="str">
        <f t="shared" si="13"/>
        <v>mailto: soilterrain@victoria1.gov.bc.ca</v>
      </c>
    </row>
    <row r="668" spans="1:34">
      <c r="A668" t="s">
        <v>1582</v>
      </c>
      <c r="B668" t="s">
        <v>56</v>
      </c>
      <c r="C668" s="10" t="s">
        <v>1413</v>
      </c>
      <c r="D668" t="s">
        <v>58</v>
      </c>
      <c r="E668" t="s">
        <v>497</v>
      </c>
      <c r="F668" t="s">
        <v>1583</v>
      </c>
      <c r="G668">
        <v>50000</v>
      </c>
      <c r="H668">
        <v>1981</v>
      </c>
      <c r="I668" t="s">
        <v>58</v>
      </c>
      <c r="J668" t="s">
        <v>58</v>
      </c>
      <c r="K668" t="s">
        <v>58</v>
      </c>
      <c r="L668" t="s">
        <v>58</v>
      </c>
      <c r="M668" t="s">
        <v>58</v>
      </c>
      <c r="N668" t="s">
        <v>61</v>
      </c>
      <c r="Q668" t="s">
        <v>58</v>
      </c>
      <c r="R668" s="11" t="str">
        <f>HYPERLINK("\\imagefiles.bcgov\imagery\scanned_maps\moe_terrain_maps\Scanned_T_maps_all\C05\C05-2416","\\imagefiles.bcgov\imagery\scanned_maps\moe_terrain_maps\Scanned_T_maps_all\C05\C05-2416")</f>
        <v>\\imagefiles.bcgov\imagery\scanned_maps\moe_terrain_maps\Scanned_T_maps_all\C05\C05-2416</v>
      </c>
      <c r="S668" t="s">
        <v>62</v>
      </c>
      <c r="T668" s="11" t="str">
        <f>HYPERLINK("http://www.env.gov.bc.ca/esd/distdata/ecosystems/TEI_Scanned_Maps/C05/C05-2416","http://www.env.gov.bc.ca/esd/distdata/ecosystems/TEI_Scanned_Maps/C05/C05-2416")</f>
        <v>http://www.env.gov.bc.ca/esd/distdata/ecosystems/TEI_Scanned_Maps/C05/C05-2416</v>
      </c>
      <c r="U668" t="s">
        <v>58</v>
      </c>
      <c r="V668" t="s">
        <v>58</v>
      </c>
      <c r="W668" t="s">
        <v>58</v>
      </c>
      <c r="X668" t="s">
        <v>58</v>
      </c>
      <c r="Y668" t="s">
        <v>58</v>
      </c>
      <c r="Z668" t="s">
        <v>58</v>
      </c>
      <c r="AA668" t="s">
        <v>58</v>
      </c>
      <c r="AC668" t="s">
        <v>58</v>
      </c>
      <c r="AE668" t="s">
        <v>58</v>
      </c>
      <c r="AG668" t="s">
        <v>63</v>
      </c>
      <c r="AH668" s="11" t="str">
        <f t="shared" si="13"/>
        <v>mailto: soilterrain@victoria1.gov.bc.ca</v>
      </c>
    </row>
    <row r="669" spans="1:34">
      <c r="A669" t="s">
        <v>1584</v>
      </c>
      <c r="B669" t="s">
        <v>56</v>
      </c>
      <c r="C669" s="10" t="s">
        <v>1415</v>
      </c>
      <c r="D669" t="s">
        <v>58</v>
      </c>
      <c r="E669" t="s">
        <v>497</v>
      </c>
      <c r="F669" t="s">
        <v>1585</v>
      </c>
      <c r="G669">
        <v>50000</v>
      </c>
      <c r="H669" t="s">
        <v>187</v>
      </c>
      <c r="I669" t="s">
        <v>58</v>
      </c>
      <c r="J669" t="s">
        <v>58</v>
      </c>
      <c r="K669" t="s">
        <v>58</v>
      </c>
      <c r="L669" t="s">
        <v>58</v>
      </c>
      <c r="M669" t="s">
        <v>58</v>
      </c>
      <c r="N669" t="s">
        <v>61</v>
      </c>
      <c r="Q669" t="s">
        <v>58</v>
      </c>
      <c r="R669" s="11" t="str">
        <f>HYPERLINK("\\imagefiles.bcgov\imagery\scanned_maps\moe_terrain_maps\Scanned_T_maps_all\C05\C05-2418","\\imagefiles.bcgov\imagery\scanned_maps\moe_terrain_maps\Scanned_T_maps_all\C05\C05-2418")</f>
        <v>\\imagefiles.bcgov\imagery\scanned_maps\moe_terrain_maps\Scanned_T_maps_all\C05\C05-2418</v>
      </c>
      <c r="S669" t="s">
        <v>62</v>
      </c>
      <c r="T669" s="11" t="str">
        <f>HYPERLINK("http://www.env.gov.bc.ca/esd/distdata/ecosystems/TEI_Scanned_Maps/C05/C05-2418","http://www.env.gov.bc.ca/esd/distdata/ecosystems/TEI_Scanned_Maps/C05/C05-2418")</f>
        <v>http://www.env.gov.bc.ca/esd/distdata/ecosystems/TEI_Scanned_Maps/C05/C05-2418</v>
      </c>
      <c r="U669" t="s">
        <v>58</v>
      </c>
      <c r="V669" t="s">
        <v>58</v>
      </c>
      <c r="W669" t="s">
        <v>58</v>
      </c>
      <c r="X669" t="s">
        <v>58</v>
      </c>
      <c r="Y669" t="s">
        <v>58</v>
      </c>
      <c r="Z669" t="s">
        <v>58</v>
      </c>
      <c r="AA669" t="s">
        <v>58</v>
      </c>
      <c r="AC669" t="s">
        <v>58</v>
      </c>
      <c r="AE669" t="s">
        <v>58</v>
      </c>
      <c r="AG669" t="s">
        <v>63</v>
      </c>
      <c r="AH669" s="11" t="str">
        <f t="shared" si="13"/>
        <v>mailto: soilterrain@victoria1.gov.bc.ca</v>
      </c>
    </row>
    <row r="670" spans="1:34">
      <c r="A670" t="s">
        <v>1586</v>
      </c>
      <c r="B670" t="s">
        <v>56</v>
      </c>
      <c r="C670" s="10" t="s">
        <v>1417</v>
      </c>
      <c r="D670" t="s">
        <v>58</v>
      </c>
      <c r="E670" t="s">
        <v>497</v>
      </c>
      <c r="F670" t="s">
        <v>1587</v>
      </c>
      <c r="G670">
        <v>50000</v>
      </c>
      <c r="H670">
        <v>1980</v>
      </c>
      <c r="I670" t="s">
        <v>58</v>
      </c>
      <c r="J670" t="s">
        <v>58</v>
      </c>
      <c r="K670" t="s">
        <v>58</v>
      </c>
      <c r="L670" t="s">
        <v>58</v>
      </c>
      <c r="M670" t="s">
        <v>58</v>
      </c>
      <c r="N670" t="s">
        <v>61</v>
      </c>
      <c r="Q670" t="s">
        <v>58</v>
      </c>
      <c r="R670" s="11" t="str">
        <f>HYPERLINK("\\imagefiles.bcgov\imagery\scanned_maps\moe_terrain_maps\Scanned_T_maps_all\C05\C05-2420","\\imagefiles.bcgov\imagery\scanned_maps\moe_terrain_maps\Scanned_T_maps_all\C05\C05-2420")</f>
        <v>\\imagefiles.bcgov\imagery\scanned_maps\moe_terrain_maps\Scanned_T_maps_all\C05\C05-2420</v>
      </c>
      <c r="S670" t="s">
        <v>62</v>
      </c>
      <c r="T670" s="11" t="str">
        <f>HYPERLINK("http://www.env.gov.bc.ca/esd/distdata/ecosystems/TEI_Scanned_Maps/C05/C05-2420","http://www.env.gov.bc.ca/esd/distdata/ecosystems/TEI_Scanned_Maps/C05/C05-2420")</f>
        <v>http://www.env.gov.bc.ca/esd/distdata/ecosystems/TEI_Scanned_Maps/C05/C05-2420</v>
      </c>
      <c r="U670" t="s">
        <v>58</v>
      </c>
      <c r="V670" t="s">
        <v>58</v>
      </c>
      <c r="W670" t="s">
        <v>58</v>
      </c>
      <c r="X670" t="s">
        <v>58</v>
      </c>
      <c r="Y670" t="s">
        <v>58</v>
      </c>
      <c r="Z670" t="s">
        <v>58</v>
      </c>
      <c r="AA670" t="s">
        <v>58</v>
      </c>
      <c r="AC670" t="s">
        <v>58</v>
      </c>
      <c r="AE670" t="s">
        <v>58</v>
      </c>
      <c r="AG670" t="s">
        <v>63</v>
      </c>
      <c r="AH670" s="11" t="str">
        <f t="shared" si="13"/>
        <v>mailto: soilterrain@victoria1.gov.bc.ca</v>
      </c>
    </row>
    <row r="671" spans="1:34">
      <c r="A671" t="s">
        <v>1588</v>
      </c>
      <c r="B671" t="s">
        <v>56</v>
      </c>
      <c r="C671" s="10" t="s">
        <v>1419</v>
      </c>
      <c r="D671" t="s">
        <v>58</v>
      </c>
      <c r="E671" t="s">
        <v>497</v>
      </c>
      <c r="F671" t="s">
        <v>1589</v>
      </c>
      <c r="G671">
        <v>50000</v>
      </c>
      <c r="H671">
        <v>1981</v>
      </c>
      <c r="I671" t="s">
        <v>58</v>
      </c>
      <c r="J671" t="s">
        <v>58</v>
      </c>
      <c r="K671" t="s">
        <v>58</v>
      </c>
      <c r="L671" t="s">
        <v>58</v>
      </c>
      <c r="M671" t="s">
        <v>58</v>
      </c>
      <c r="N671" t="s">
        <v>61</v>
      </c>
      <c r="Q671" t="s">
        <v>58</v>
      </c>
      <c r="R671" s="11" t="str">
        <f>HYPERLINK("\\imagefiles.bcgov\imagery\scanned_maps\moe_terrain_maps\Scanned_T_maps_all\C05\C05-2422","\\imagefiles.bcgov\imagery\scanned_maps\moe_terrain_maps\Scanned_T_maps_all\C05\C05-2422")</f>
        <v>\\imagefiles.bcgov\imagery\scanned_maps\moe_terrain_maps\Scanned_T_maps_all\C05\C05-2422</v>
      </c>
      <c r="S671" t="s">
        <v>62</v>
      </c>
      <c r="T671" s="11" t="str">
        <f>HYPERLINK("http://www.env.gov.bc.ca/esd/distdata/ecosystems/TEI_Scanned_Maps/C05/C05-2422","http://www.env.gov.bc.ca/esd/distdata/ecosystems/TEI_Scanned_Maps/C05/C05-2422")</f>
        <v>http://www.env.gov.bc.ca/esd/distdata/ecosystems/TEI_Scanned_Maps/C05/C05-2422</v>
      </c>
      <c r="U671" t="s">
        <v>58</v>
      </c>
      <c r="V671" t="s">
        <v>58</v>
      </c>
      <c r="W671" t="s">
        <v>58</v>
      </c>
      <c r="X671" t="s">
        <v>58</v>
      </c>
      <c r="Y671" t="s">
        <v>58</v>
      </c>
      <c r="Z671" t="s">
        <v>58</v>
      </c>
      <c r="AA671" t="s">
        <v>58</v>
      </c>
      <c r="AC671" t="s">
        <v>58</v>
      </c>
      <c r="AE671" t="s">
        <v>58</v>
      </c>
      <c r="AG671" t="s">
        <v>63</v>
      </c>
      <c r="AH671" s="11" t="str">
        <f t="shared" si="13"/>
        <v>mailto: soilterrain@victoria1.gov.bc.ca</v>
      </c>
    </row>
    <row r="672" spans="1:34">
      <c r="A672" t="s">
        <v>1590</v>
      </c>
      <c r="B672" t="s">
        <v>56</v>
      </c>
      <c r="C672" s="10" t="s">
        <v>1421</v>
      </c>
      <c r="D672" t="s">
        <v>58</v>
      </c>
      <c r="E672" t="s">
        <v>497</v>
      </c>
      <c r="F672" t="s">
        <v>1591</v>
      </c>
      <c r="G672">
        <v>50000</v>
      </c>
      <c r="H672" t="s">
        <v>187</v>
      </c>
      <c r="I672" t="s">
        <v>58</v>
      </c>
      <c r="J672" t="s">
        <v>58</v>
      </c>
      <c r="K672" t="s">
        <v>58</v>
      </c>
      <c r="L672" t="s">
        <v>58</v>
      </c>
      <c r="M672" t="s">
        <v>58</v>
      </c>
      <c r="N672" t="s">
        <v>61</v>
      </c>
      <c r="Q672" t="s">
        <v>58</v>
      </c>
      <c r="R672" s="11" t="str">
        <f>HYPERLINK("\\imagefiles.bcgov\imagery\scanned_maps\moe_terrain_maps\Scanned_T_maps_all\C05\C05-2424","\\imagefiles.bcgov\imagery\scanned_maps\moe_terrain_maps\Scanned_T_maps_all\C05\C05-2424")</f>
        <v>\\imagefiles.bcgov\imagery\scanned_maps\moe_terrain_maps\Scanned_T_maps_all\C05\C05-2424</v>
      </c>
      <c r="S672" t="s">
        <v>62</v>
      </c>
      <c r="T672" s="11" t="str">
        <f>HYPERLINK("http://www.env.gov.bc.ca/esd/distdata/ecosystems/TEI_Scanned_Maps/C05/C05-2424","http://www.env.gov.bc.ca/esd/distdata/ecosystems/TEI_Scanned_Maps/C05/C05-2424")</f>
        <v>http://www.env.gov.bc.ca/esd/distdata/ecosystems/TEI_Scanned_Maps/C05/C05-2424</v>
      </c>
      <c r="U672" t="s">
        <v>58</v>
      </c>
      <c r="V672" t="s">
        <v>58</v>
      </c>
      <c r="W672" t="s">
        <v>58</v>
      </c>
      <c r="X672" t="s">
        <v>58</v>
      </c>
      <c r="Y672" t="s">
        <v>58</v>
      </c>
      <c r="Z672" t="s">
        <v>58</v>
      </c>
      <c r="AA672" t="s">
        <v>58</v>
      </c>
      <c r="AC672" t="s">
        <v>58</v>
      </c>
      <c r="AE672" t="s">
        <v>58</v>
      </c>
      <c r="AG672" t="s">
        <v>63</v>
      </c>
      <c r="AH672" s="11" t="str">
        <f t="shared" si="13"/>
        <v>mailto: soilterrain@victoria1.gov.bc.ca</v>
      </c>
    </row>
    <row r="673" spans="1:34">
      <c r="A673" t="s">
        <v>1592</v>
      </c>
      <c r="B673" t="s">
        <v>56</v>
      </c>
      <c r="C673" s="10" t="s">
        <v>1423</v>
      </c>
      <c r="D673" t="s">
        <v>58</v>
      </c>
      <c r="E673" t="s">
        <v>497</v>
      </c>
      <c r="F673" t="s">
        <v>1593</v>
      </c>
      <c r="G673">
        <v>50000</v>
      </c>
      <c r="H673">
        <v>1980</v>
      </c>
      <c r="I673" t="s">
        <v>58</v>
      </c>
      <c r="J673" t="s">
        <v>58</v>
      </c>
      <c r="K673" t="s">
        <v>58</v>
      </c>
      <c r="L673" t="s">
        <v>58</v>
      </c>
      <c r="M673" t="s">
        <v>58</v>
      </c>
      <c r="N673" t="s">
        <v>61</v>
      </c>
      <c r="Q673" t="s">
        <v>58</v>
      </c>
      <c r="R673" s="11" t="str">
        <f>HYPERLINK("\\imagefiles.bcgov\imagery\scanned_maps\moe_terrain_maps\Scanned_T_maps_all\C05\C05-2426","\\imagefiles.bcgov\imagery\scanned_maps\moe_terrain_maps\Scanned_T_maps_all\C05\C05-2426")</f>
        <v>\\imagefiles.bcgov\imagery\scanned_maps\moe_terrain_maps\Scanned_T_maps_all\C05\C05-2426</v>
      </c>
      <c r="S673" t="s">
        <v>62</v>
      </c>
      <c r="T673" s="11" t="str">
        <f>HYPERLINK("http://www.env.gov.bc.ca/esd/distdata/ecosystems/TEI_Scanned_Maps/C05/C05-2426","http://www.env.gov.bc.ca/esd/distdata/ecosystems/TEI_Scanned_Maps/C05/C05-2426")</f>
        <v>http://www.env.gov.bc.ca/esd/distdata/ecosystems/TEI_Scanned_Maps/C05/C05-2426</v>
      </c>
      <c r="U673" t="s">
        <v>58</v>
      </c>
      <c r="V673" t="s">
        <v>58</v>
      </c>
      <c r="W673" t="s">
        <v>58</v>
      </c>
      <c r="X673" t="s">
        <v>58</v>
      </c>
      <c r="Y673" t="s">
        <v>58</v>
      </c>
      <c r="Z673" t="s">
        <v>58</v>
      </c>
      <c r="AA673" t="s">
        <v>58</v>
      </c>
      <c r="AC673" t="s">
        <v>58</v>
      </c>
      <c r="AE673" t="s">
        <v>58</v>
      </c>
      <c r="AG673" t="s">
        <v>63</v>
      </c>
      <c r="AH673" s="11" t="str">
        <f t="shared" si="13"/>
        <v>mailto: soilterrain@victoria1.gov.bc.ca</v>
      </c>
    </row>
    <row r="674" spans="1:34">
      <c r="A674" t="s">
        <v>1594</v>
      </c>
      <c r="B674" t="s">
        <v>56</v>
      </c>
      <c r="C674" s="10" t="s">
        <v>1425</v>
      </c>
      <c r="D674" t="s">
        <v>58</v>
      </c>
      <c r="E674" t="s">
        <v>497</v>
      </c>
      <c r="F674" t="s">
        <v>1593</v>
      </c>
      <c r="G674">
        <v>50000</v>
      </c>
      <c r="H674">
        <v>1981</v>
      </c>
      <c r="I674" t="s">
        <v>58</v>
      </c>
      <c r="J674" t="s">
        <v>58</v>
      </c>
      <c r="K674" t="s">
        <v>58</v>
      </c>
      <c r="L674" t="s">
        <v>58</v>
      </c>
      <c r="M674" t="s">
        <v>58</v>
      </c>
      <c r="N674" t="s">
        <v>61</v>
      </c>
      <c r="Q674" t="s">
        <v>58</v>
      </c>
      <c r="R674" s="11" t="str">
        <f>HYPERLINK("\\imagefiles.bcgov\imagery\scanned_maps\moe_terrain_maps\Scanned_T_maps_all\C05\C05-2428","\\imagefiles.bcgov\imagery\scanned_maps\moe_terrain_maps\Scanned_T_maps_all\C05\C05-2428")</f>
        <v>\\imagefiles.bcgov\imagery\scanned_maps\moe_terrain_maps\Scanned_T_maps_all\C05\C05-2428</v>
      </c>
      <c r="S674" t="s">
        <v>62</v>
      </c>
      <c r="T674" s="11" t="str">
        <f>HYPERLINK("http://www.env.gov.bc.ca/esd/distdata/ecosystems/TEI_Scanned_Maps/C05/C05-2428","http://www.env.gov.bc.ca/esd/distdata/ecosystems/TEI_Scanned_Maps/C05/C05-2428")</f>
        <v>http://www.env.gov.bc.ca/esd/distdata/ecosystems/TEI_Scanned_Maps/C05/C05-2428</v>
      </c>
      <c r="U674" t="s">
        <v>58</v>
      </c>
      <c r="V674" t="s">
        <v>58</v>
      </c>
      <c r="W674" t="s">
        <v>58</v>
      </c>
      <c r="X674" t="s">
        <v>58</v>
      </c>
      <c r="Y674" t="s">
        <v>58</v>
      </c>
      <c r="Z674" t="s">
        <v>58</v>
      </c>
      <c r="AA674" t="s">
        <v>58</v>
      </c>
      <c r="AC674" t="s">
        <v>58</v>
      </c>
      <c r="AE674" t="s">
        <v>58</v>
      </c>
      <c r="AG674" t="s">
        <v>63</v>
      </c>
      <c r="AH674" s="11" t="str">
        <f t="shared" si="13"/>
        <v>mailto: soilterrain@victoria1.gov.bc.ca</v>
      </c>
    </row>
    <row r="675" spans="1:34">
      <c r="A675" t="s">
        <v>1595</v>
      </c>
      <c r="B675" t="s">
        <v>56</v>
      </c>
      <c r="C675" s="10" t="s">
        <v>1596</v>
      </c>
      <c r="D675" t="s">
        <v>58</v>
      </c>
      <c r="E675" t="s">
        <v>497</v>
      </c>
      <c r="F675" t="s">
        <v>502</v>
      </c>
      <c r="G675">
        <v>50000</v>
      </c>
      <c r="H675" t="s">
        <v>187</v>
      </c>
      <c r="I675" t="s">
        <v>58</v>
      </c>
      <c r="J675" t="s">
        <v>58</v>
      </c>
      <c r="K675" t="s">
        <v>58</v>
      </c>
      <c r="L675" t="s">
        <v>58</v>
      </c>
      <c r="M675" t="s">
        <v>58</v>
      </c>
      <c r="N675" t="s">
        <v>61</v>
      </c>
      <c r="Q675" t="s">
        <v>58</v>
      </c>
      <c r="R675" s="11" t="str">
        <f>HYPERLINK("\\imagefiles.bcgov\imagery\scanned_maps\moe_terrain_maps\Scanned_T_maps_all\C05\C05-2430","\\imagefiles.bcgov\imagery\scanned_maps\moe_terrain_maps\Scanned_T_maps_all\C05\C05-2430")</f>
        <v>\\imagefiles.bcgov\imagery\scanned_maps\moe_terrain_maps\Scanned_T_maps_all\C05\C05-2430</v>
      </c>
      <c r="S675" t="s">
        <v>62</v>
      </c>
      <c r="T675" s="11" t="str">
        <f>HYPERLINK("http://www.env.gov.bc.ca/esd/distdata/ecosystems/TEI_Scanned_Maps/C05/C05-2430","http://www.env.gov.bc.ca/esd/distdata/ecosystems/TEI_Scanned_Maps/C05/C05-2430")</f>
        <v>http://www.env.gov.bc.ca/esd/distdata/ecosystems/TEI_Scanned_Maps/C05/C05-2430</v>
      </c>
      <c r="U675" t="s">
        <v>58</v>
      </c>
      <c r="V675" t="s">
        <v>58</v>
      </c>
      <c r="W675" t="s">
        <v>58</v>
      </c>
      <c r="X675" t="s">
        <v>58</v>
      </c>
      <c r="Y675" t="s">
        <v>58</v>
      </c>
      <c r="Z675" t="s">
        <v>58</v>
      </c>
      <c r="AA675" t="s">
        <v>58</v>
      </c>
      <c r="AC675" t="s">
        <v>58</v>
      </c>
      <c r="AE675" t="s">
        <v>58</v>
      </c>
      <c r="AG675" t="s">
        <v>63</v>
      </c>
      <c r="AH675" s="11" t="str">
        <f t="shared" si="13"/>
        <v>mailto: soilterrain@victoria1.gov.bc.ca</v>
      </c>
    </row>
    <row r="676" spans="1:34">
      <c r="A676" t="s">
        <v>1597</v>
      </c>
      <c r="B676" t="s">
        <v>56</v>
      </c>
      <c r="C676" s="10" t="s">
        <v>328</v>
      </c>
      <c r="D676" t="s">
        <v>58</v>
      </c>
      <c r="E676" t="s">
        <v>497</v>
      </c>
      <c r="F676" t="s">
        <v>502</v>
      </c>
      <c r="G676">
        <v>50000</v>
      </c>
      <c r="H676">
        <v>1980</v>
      </c>
      <c r="I676" t="s">
        <v>58</v>
      </c>
      <c r="J676" t="s">
        <v>58</v>
      </c>
      <c r="K676" t="s">
        <v>58</v>
      </c>
      <c r="L676" t="s">
        <v>58</v>
      </c>
      <c r="M676" t="s">
        <v>58</v>
      </c>
      <c r="N676" t="s">
        <v>61</v>
      </c>
      <c r="Q676" t="s">
        <v>58</v>
      </c>
      <c r="R676" s="11" t="str">
        <f>HYPERLINK("\\imagefiles.bcgov\imagery\scanned_maps\moe_terrain_maps\Scanned_T_maps_all\C05\C05-2432","\\imagefiles.bcgov\imagery\scanned_maps\moe_terrain_maps\Scanned_T_maps_all\C05\C05-2432")</f>
        <v>\\imagefiles.bcgov\imagery\scanned_maps\moe_terrain_maps\Scanned_T_maps_all\C05\C05-2432</v>
      </c>
      <c r="S676" t="s">
        <v>62</v>
      </c>
      <c r="T676" s="11" t="str">
        <f>HYPERLINK("http://www.env.gov.bc.ca/esd/distdata/ecosystems/TEI_Scanned_Maps/C05/C05-2432","http://www.env.gov.bc.ca/esd/distdata/ecosystems/TEI_Scanned_Maps/C05/C05-2432")</f>
        <v>http://www.env.gov.bc.ca/esd/distdata/ecosystems/TEI_Scanned_Maps/C05/C05-2432</v>
      </c>
      <c r="U676" t="s">
        <v>58</v>
      </c>
      <c r="V676" t="s">
        <v>58</v>
      </c>
      <c r="W676" t="s">
        <v>58</v>
      </c>
      <c r="X676" t="s">
        <v>58</v>
      </c>
      <c r="Y676" t="s">
        <v>58</v>
      </c>
      <c r="Z676" t="s">
        <v>58</v>
      </c>
      <c r="AA676" t="s">
        <v>58</v>
      </c>
      <c r="AC676" t="s">
        <v>58</v>
      </c>
      <c r="AE676" t="s">
        <v>58</v>
      </c>
      <c r="AG676" t="s">
        <v>63</v>
      </c>
      <c r="AH676" s="11" t="str">
        <f t="shared" si="13"/>
        <v>mailto: soilterrain@victoria1.gov.bc.ca</v>
      </c>
    </row>
    <row r="677" spans="1:34">
      <c r="A677" t="s">
        <v>1598</v>
      </c>
      <c r="B677" t="s">
        <v>56</v>
      </c>
      <c r="C677" s="10" t="s">
        <v>331</v>
      </c>
      <c r="D677" t="s">
        <v>58</v>
      </c>
      <c r="E677" t="s">
        <v>497</v>
      </c>
      <c r="F677" t="s">
        <v>502</v>
      </c>
      <c r="G677">
        <v>50000</v>
      </c>
      <c r="H677">
        <v>1981</v>
      </c>
      <c r="I677" t="s">
        <v>58</v>
      </c>
      <c r="J677" t="s">
        <v>58</v>
      </c>
      <c r="K677" t="s">
        <v>58</v>
      </c>
      <c r="L677" t="s">
        <v>58</v>
      </c>
      <c r="M677" t="s">
        <v>58</v>
      </c>
      <c r="N677" t="s">
        <v>61</v>
      </c>
      <c r="Q677" t="s">
        <v>58</v>
      </c>
      <c r="R677" s="11" t="str">
        <f>HYPERLINK("\\imagefiles.bcgov\imagery\scanned_maps\moe_terrain_maps\Scanned_T_maps_all\C05\C05-2434","\\imagefiles.bcgov\imagery\scanned_maps\moe_terrain_maps\Scanned_T_maps_all\C05\C05-2434")</f>
        <v>\\imagefiles.bcgov\imagery\scanned_maps\moe_terrain_maps\Scanned_T_maps_all\C05\C05-2434</v>
      </c>
      <c r="S677" t="s">
        <v>62</v>
      </c>
      <c r="T677" s="11" t="str">
        <f>HYPERLINK("http://www.env.gov.bc.ca/esd/distdata/ecosystems/TEI_Scanned_Maps/C05/C05-2434","http://www.env.gov.bc.ca/esd/distdata/ecosystems/TEI_Scanned_Maps/C05/C05-2434")</f>
        <v>http://www.env.gov.bc.ca/esd/distdata/ecosystems/TEI_Scanned_Maps/C05/C05-2434</v>
      </c>
      <c r="U677" t="s">
        <v>58</v>
      </c>
      <c r="V677" t="s">
        <v>58</v>
      </c>
      <c r="W677" t="s">
        <v>58</v>
      </c>
      <c r="X677" t="s">
        <v>58</v>
      </c>
      <c r="Y677" t="s">
        <v>58</v>
      </c>
      <c r="Z677" t="s">
        <v>58</v>
      </c>
      <c r="AA677" t="s">
        <v>58</v>
      </c>
      <c r="AC677" t="s">
        <v>58</v>
      </c>
      <c r="AE677" t="s">
        <v>58</v>
      </c>
      <c r="AG677" t="s">
        <v>63</v>
      </c>
      <c r="AH677" s="11" t="str">
        <f t="shared" si="13"/>
        <v>mailto: soilterrain@victoria1.gov.bc.ca</v>
      </c>
    </row>
    <row r="678" spans="1:34">
      <c r="A678" t="s">
        <v>1599</v>
      </c>
      <c r="B678" t="s">
        <v>56</v>
      </c>
      <c r="C678" s="10" t="s">
        <v>1600</v>
      </c>
      <c r="D678" t="s">
        <v>58</v>
      </c>
      <c r="E678" t="s">
        <v>497</v>
      </c>
      <c r="F678" t="s">
        <v>502</v>
      </c>
      <c r="G678">
        <v>50000</v>
      </c>
      <c r="H678" t="s">
        <v>187</v>
      </c>
      <c r="I678" t="s">
        <v>58</v>
      </c>
      <c r="J678" t="s">
        <v>58</v>
      </c>
      <c r="K678" t="s">
        <v>58</v>
      </c>
      <c r="L678" t="s">
        <v>58</v>
      </c>
      <c r="M678" t="s">
        <v>58</v>
      </c>
      <c r="N678" t="s">
        <v>61</v>
      </c>
      <c r="Q678" t="s">
        <v>58</v>
      </c>
      <c r="R678" s="11" t="str">
        <f>HYPERLINK("\\imagefiles.bcgov\imagery\scanned_maps\moe_terrain_maps\Scanned_T_maps_all\C05\C05-2436","\\imagefiles.bcgov\imagery\scanned_maps\moe_terrain_maps\Scanned_T_maps_all\C05\C05-2436")</f>
        <v>\\imagefiles.bcgov\imagery\scanned_maps\moe_terrain_maps\Scanned_T_maps_all\C05\C05-2436</v>
      </c>
      <c r="S678" t="s">
        <v>62</v>
      </c>
      <c r="T678" s="11" t="str">
        <f>HYPERLINK("http://www.env.gov.bc.ca/esd/distdata/ecosystems/TEI_Scanned_Maps/C05/C05-2436","http://www.env.gov.bc.ca/esd/distdata/ecosystems/TEI_Scanned_Maps/C05/C05-2436")</f>
        <v>http://www.env.gov.bc.ca/esd/distdata/ecosystems/TEI_Scanned_Maps/C05/C05-2436</v>
      </c>
      <c r="U678" t="s">
        <v>58</v>
      </c>
      <c r="V678" t="s">
        <v>58</v>
      </c>
      <c r="W678" t="s">
        <v>58</v>
      </c>
      <c r="X678" t="s">
        <v>58</v>
      </c>
      <c r="Y678" t="s">
        <v>58</v>
      </c>
      <c r="Z678" t="s">
        <v>58</v>
      </c>
      <c r="AA678" t="s">
        <v>58</v>
      </c>
      <c r="AC678" t="s">
        <v>58</v>
      </c>
      <c r="AE678" t="s">
        <v>58</v>
      </c>
      <c r="AG678" t="s">
        <v>63</v>
      </c>
      <c r="AH678" s="11" t="str">
        <f t="shared" si="13"/>
        <v>mailto: soilterrain@victoria1.gov.bc.ca</v>
      </c>
    </row>
    <row r="679" spans="1:34">
      <c r="A679" t="s">
        <v>1601</v>
      </c>
      <c r="B679" t="s">
        <v>56</v>
      </c>
      <c r="C679" s="10" t="s">
        <v>1602</v>
      </c>
      <c r="D679" t="s">
        <v>58</v>
      </c>
      <c r="E679" t="s">
        <v>497</v>
      </c>
      <c r="F679" t="s">
        <v>1139</v>
      </c>
      <c r="G679">
        <v>50000</v>
      </c>
      <c r="H679" t="s">
        <v>187</v>
      </c>
      <c r="I679" t="s">
        <v>58</v>
      </c>
      <c r="J679" t="s">
        <v>58</v>
      </c>
      <c r="K679" t="s">
        <v>58</v>
      </c>
      <c r="L679" t="s">
        <v>58</v>
      </c>
      <c r="M679" t="s">
        <v>58</v>
      </c>
      <c r="N679" t="s">
        <v>61</v>
      </c>
      <c r="Q679" t="s">
        <v>58</v>
      </c>
      <c r="R679" s="11" t="str">
        <f>HYPERLINK("\\imagefiles.bcgov\imagery\scanned_maps\moe_terrain_maps\Scanned_T_maps_all\C05\C05-4901","\\imagefiles.bcgov\imagery\scanned_maps\moe_terrain_maps\Scanned_T_maps_all\C05\C05-4901")</f>
        <v>\\imagefiles.bcgov\imagery\scanned_maps\moe_terrain_maps\Scanned_T_maps_all\C05\C05-4901</v>
      </c>
      <c r="S679" t="s">
        <v>62</v>
      </c>
      <c r="T679" s="11" t="str">
        <f>HYPERLINK("http://www.env.gov.bc.ca/esd/distdata/ecosystems/TEI_Scanned_Maps/C05/C05-4901","http://www.env.gov.bc.ca/esd/distdata/ecosystems/TEI_Scanned_Maps/C05/C05-4901")</f>
        <v>http://www.env.gov.bc.ca/esd/distdata/ecosystems/TEI_Scanned_Maps/C05/C05-4901</v>
      </c>
      <c r="U679" t="s">
        <v>58</v>
      </c>
      <c r="V679" t="s">
        <v>58</v>
      </c>
      <c r="W679" t="s">
        <v>58</v>
      </c>
      <c r="X679" t="s">
        <v>58</v>
      </c>
      <c r="Y679" t="s">
        <v>58</v>
      </c>
      <c r="Z679" t="s">
        <v>58</v>
      </c>
      <c r="AA679" t="s">
        <v>58</v>
      </c>
      <c r="AC679" t="s">
        <v>58</v>
      </c>
      <c r="AE679" t="s">
        <v>58</v>
      </c>
      <c r="AG679" t="s">
        <v>63</v>
      </c>
      <c r="AH679" s="11" t="str">
        <f t="shared" si="13"/>
        <v>mailto: soilterrain@victoria1.gov.bc.ca</v>
      </c>
    </row>
    <row r="680" spans="1:34">
      <c r="A680" t="s">
        <v>1603</v>
      </c>
      <c r="B680" t="s">
        <v>56</v>
      </c>
      <c r="C680" s="10" t="s">
        <v>1604</v>
      </c>
      <c r="D680" t="s">
        <v>58</v>
      </c>
      <c r="E680" t="s">
        <v>497</v>
      </c>
      <c r="F680" t="s">
        <v>1605</v>
      </c>
      <c r="G680">
        <v>50000</v>
      </c>
      <c r="H680">
        <v>1980</v>
      </c>
      <c r="I680" t="s">
        <v>58</v>
      </c>
      <c r="J680" t="s">
        <v>58</v>
      </c>
      <c r="K680" t="s">
        <v>58</v>
      </c>
      <c r="L680" t="s">
        <v>58</v>
      </c>
      <c r="M680" t="s">
        <v>58</v>
      </c>
      <c r="N680" t="s">
        <v>61</v>
      </c>
      <c r="Q680" t="s">
        <v>58</v>
      </c>
      <c r="R680" s="11" t="str">
        <f>HYPERLINK("\\imagefiles.bcgov\imagery\scanned_maps\moe_terrain_maps\Scanned_T_maps_all\C06\C06-10","\\imagefiles.bcgov\imagery\scanned_maps\moe_terrain_maps\Scanned_T_maps_all\C06\C06-10")</f>
        <v>\\imagefiles.bcgov\imagery\scanned_maps\moe_terrain_maps\Scanned_T_maps_all\C06\C06-10</v>
      </c>
      <c r="S680" t="s">
        <v>62</v>
      </c>
      <c r="T680" s="11" t="str">
        <f>HYPERLINK("http://www.env.gov.bc.ca/esd/distdata/ecosystems/TEI_Scanned_Maps/C06/C06-10","http://www.env.gov.bc.ca/esd/distdata/ecosystems/TEI_Scanned_Maps/C06/C06-10")</f>
        <v>http://www.env.gov.bc.ca/esd/distdata/ecosystems/TEI_Scanned_Maps/C06/C06-10</v>
      </c>
      <c r="U680" t="s">
        <v>58</v>
      </c>
      <c r="V680" t="s">
        <v>58</v>
      </c>
      <c r="W680" t="s">
        <v>58</v>
      </c>
      <c r="X680" t="s">
        <v>58</v>
      </c>
      <c r="Y680" t="s">
        <v>58</v>
      </c>
      <c r="Z680" t="s">
        <v>58</v>
      </c>
      <c r="AA680" t="s">
        <v>58</v>
      </c>
      <c r="AC680" t="s">
        <v>58</v>
      </c>
      <c r="AE680" t="s">
        <v>58</v>
      </c>
      <c r="AG680" t="s">
        <v>63</v>
      </c>
      <c r="AH680" s="11" t="str">
        <f t="shared" si="13"/>
        <v>mailto: soilterrain@victoria1.gov.bc.ca</v>
      </c>
    </row>
    <row r="681" spans="1:34">
      <c r="A681" t="s">
        <v>1606</v>
      </c>
      <c r="B681" t="s">
        <v>56</v>
      </c>
      <c r="C681" s="10" t="s">
        <v>1607</v>
      </c>
      <c r="D681" t="s">
        <v>58</v>
      </c>
      <c r="E681" t="s">
        <v>497</v>
      </c>
      <c r="F681" t="s">
        <v>1608</v>
      </c>
      <c r="G681">
        <v>50000</v>
      </c>
      <c r="H681">
        <v>1981</v>
      </c>
      <c r="I681" t="s">
        <v>58</v>
      </c>
      <c r="J681" t="s">
        <v>58</v>
      </c>
      <c r="K681" t="s">
        <v>58</v>
      </c>
      <c r="L681" t="s">
        <v>58</v>
      </c>
      <c r="M681" t="s">
        <v>58</v>
      </c>
      <c r="N681" t="s">
        <v>61</v>
      </c>
      <c r="Q681" t="s">
        <v>58</v>
      </c>
      <c r="R681" s="11" t="str">
        <f>HYPERLINK("\\imagefiles.bcgov\imagery\scanned_maps\moe_terrain_maps\Scanned_T_maps_all\C06\C06-11","\\imagefiles.bcgov\imagery\scanned_maps\moe_terrain_maps\Scanned_T_maps_all\C06\C06-11")</f>
        <v>\\imagefiles.bcgov\imagery\scanned_maps\moe_terrain_maps\Scanned_T_maps_all\C06\C06-11</v>
      </c>
      <c r="S681" t="s">
        <v>62</v>
      </c>
      <c r="T681" s="11" t="str">
        <f>HYPERLINK("http://www.env.gov.bc.ca/esd/distdata/ecosystems/TEI_Scanned_Maps/C06/C06-11","http://www.env.gov.bc.ca/esd/distdata/ecosystems/TEI_Scanned_Maps/C06/C06-11")</f>
        <v>http://www.env.gov.bc.ca/esd/distdata/ecosystems/TEI_Scanned_Maps/C06/C06-11</v>
      </c>
      <c r="U681" t="s">
        <v>58</v>
      </c>
      <c r="V681" t="s">
        <v>58</v>
      </c>
      <c r="W681" t="s">
        <v>58</v>
      </c>
      <c r="X681" t="s">
        <v>58</v>
      </c>
      <c r="Y681" t="s">
        <v>58</v>
      </c>
      <c r="Z681" t="s">
        <v>58</v>
      </c>
      <c r="AA681" t="s">
        <v>58</v>
      </c>
      <c r="AC681" t="s">
        <v>58</v>
      </c>
      <c r="AE681" t="s">
        <v>58</v>
      </c>
      <c r="AG681" t="s">
        <v>63</v>
      </c>
      <c r="AH681" s="11" t="str">
        <f t="shared" si="13"/>
        <v>mailto: soilterrain@victoria1.gov.bc.ca</v>
      </c>
    </row>
    <row r="682" spans="1:34">
      <c r="A682" t="s">
        <v>1609</v>
      </c>
      <c r="B682" t="s">
        <v>56</v>
      </c>
      <c r="C682" s="10" t="s">
        <v>1610</v>
      </c>
      <c r="D682" t="s">
        <v>58</v>
      </c>
      <c r="E682" t="s">
        <v>497</v>
      </c>
      <c r="F682" t="s">
        <v>1611</v>
      </c>
      <c r="G682">
        <v>50000</v>
      </c>
      <c r="H682" t="s">
        <v>187</v>
      </c>
      <c r="I682" t="s">
        <v>58</v>
      </c>
      <c r="J682" t="s">
        <v>58</v>
      </c>
      <c r="K682" t="s">
        <v>58</v>
      </c>
      <c r="L682" t="s">
        <v>58</v>
      </c>
      <c r="M682" t="s">
        <v>58</v>
      </c>
      <c r="N682" t="s">
        <v>61</v>
      </c>
      <c r="Q682" t="s">
        <v>58</v>
      </c>
      <c r="R682" s="11" t="str">
        <f>HYPERLINK("\\imagefiles.bcgov\imagery\scanned_maps\moe_terrain_maps\Scanned_T_maps_all\C06\C06-14","\\imagefiles.bcgov\imagery\scanned_maps\moe_terrain_maps\Scanned_T_maps_all\C06\C06-14")</f>
        <v>\\imagefiles.bcgov\imagery\scanned_maps\moe_terrain_maps\Scanned_T_maps_all\C06\C06-14</v>
      </c>
      <c r="S682" t="s">
        <v>62</v>
      </c>
      <c r="T682" s="11" t="str">
        <f>HYPERLINK("http://www.env.gov.bc.ca/esd/distdata/ecosystems/TEI_Scanned_Maps/C06/C06-14","http://www.env.gov.bc.ca/esd/distdata/ecosystems/TEI_Scanned_Maps/C06/C06-14")</f>
        <v>http://www.env.gov.bc.ca/esd/distdata/ecosystems/TEI_Scanned_Maps/C06/C06-14</v>
      </c>
      <c r="U682" t="s">
        <v>58</v>
      </c>
      <c r="V682" t="s">
        <v>58</v>
      </c>
      <c r="W682" t="s">
        <v>58</v>
      </c>
      <c r="X682" t="s">
        <v>58</v>
      </c>
      <c r="Y682" t="s">
        <v>58</v>
      </c>
      <c r="Z682" t="s">
        <v>58</v>
      </c>
      <c r="AA682" t="s">
        <v>58</v>
      </c>
      <c r="AC682" t="s">
        <v>58</v>
      </c>
      <c r="AE682" t="s">
        <v>58</v>
      </c>
      <c r="AG682" t="s">
        <v>63</v>
      </c>
      <c r="AH682" s="11" t="str">
        <f t="shared" si="13"/>
        <v>mailto: soilterrain@victoria1.gov.bc.ca</v>
      </c>
    </row>
    <row r="683" spans="1:34">
      <c r="A683" t="s">
        <v>1612</v>
      </c>
      <c r="B683" t="s">
        <v>56</v>
      </c>
      <c r="C683" s="10" t="s">
        <v>1613</v>
      </c>
      <c r="D683" t="s">
        <v>61</v>
      </c>
      <c r="E683" t="s">
        <v>497</v>
      </c>
      <c r="F683" t="s">
        <v>1614</v>
      </c>
      <c r="G683">
        <v>50000</v>
      </c>
      <c r="H683">
        <v>1980</v>
      </c>
      <c r="I683" t="s">
        <v>58</v>
      </c>
      <c r="J683" t="s">
        <v>58</v>
      </c>
      <c r="K683" t="s">
        <v>58</v>
      </c>
      <c r="L683" t="s">
        <v>58</v>
      </c>
      <c r="M683" t="s">
        <v>58</v>
      </c>
      <c r="N683" t="s">
        <v>61</v>
      </c>
      <c r="Q683" t="s">
        <v>58</v>
      </c>
      <c r="R683" s="11" t="str">
        <f>HYPERLINK("\\imagefiles.bcgov\imagery\scanned_maps\moe_terrain_maps\Scanned_T_maps_all\C06\C06-15","\\imagefiles.bcgov\imagery\scanned_maps\moe_terrain_maps\Scanned_T_maps_all\C06\C06-15")</f>
        <v>\\imagefiles.bcgov\imagery\scanned_maps\moe_terrain_maps\Scanned_T_maps_all\C06\C06-15</v>
      </c>
      <c r="S683" t="s">
        <v>62</v>
      </c>
      <c r="T683" s="11" t="str">
        <f>HYPERLINK("http://www.env.gov.bc.ca/esd/distdata/ecosystems/TEI_Scanned_Maps/C06/C06-15","http://www.env.gov.bc.ca/esd/distdata/ecosystems/TEI_Scanned_Maps/C06/C06-15")</f>
        <v>http://www.env.gov.bc.ca/esd/distdata/ecosystems/TEI_Scanned_Maps/C06/C06-15</v>
      </c>
      <c r="U683" t="s">
        <v>58</v>
      </c>
      <c r="V683" t="s">
        <v>58</v>
      </c>
      <c r="W683" t="s">
        <v>58</v>
      </c>
      <c r="X683" t="s">
        <v>58</v>
      </c>
      <c r="Y683" t="s">
        <v>58</v>
      </c>
      <c r="Z683" t="s">
        <v>58</v>
      </c>
      <c r="AA683" t="s">
        <v>58</v>
      </c>
      <c r="AC683" t="s">
        <v>58</v>
      </c>
      <c r="AE683" t="s">
        <v>58</v>
      </c>
      <c r="AG683" t="s">
        <v>63</v>
      </c>
      <c r="AH683" s="11" t="str">
        <f t="shared" si="13"/>
        <v>mailto: soilterrain@victoria1.gov.bc.ca</v>
      </c>
    </row>
    <row r="684" spans="1:34">
      <c r="A684" t="s">
        <v>1615</v>
      </c>
      <c r="B684" t="s">
        <v>56</v>
      </c>
      <c r="C684" s="10" t="s">
        <v>1616</v>
      </c>
      <c r="D684" t="s">
        <v>58</v>
      </c>
      <c r="E684" t="s">
        <v>497</v>
      </c>
      <c r="F684" t="s">
        <v>1617</v>
      </c>
      <c r="G684">
        <v>50000</v>
      </c>
      <c r="H684" t="s">
        <v>187</v>
      </c>
      <c r="I684" t="s">
        <v>58</v>
      </c>
      <c r="J684" t="s">
        <v>58</v>
      </c>
      <c r="K684" t="s">
        <v>58</v>
      </c>
      <c r="L684" t="s">
        <v>58</v>
      </c>
      <c r="M684" t="s">
        <v>58</v>
      </c>
      <c r="N684" t="s">
        <v>61</v>
      </c>
      <c r="Q684" t="s">
        <v>58</v>
      </c>
      <c r="R684" s="11" t="str">
        <f>HYPERLINK("\\imagefiles.bcgov\imagery\scanned_maps\moe_terrain_maps\Scanned_T_maps_all\C06\C06-21","\\imagefiles.bcgov\imagery\scanned_maps\moe_terrain_maps\Scanned_T_maps_all\C06\C06-21")</f>
        <v>\\imagefiles.bcgov\imagery\scanned_maps\moe_terrain_maps\Scanned_T_maps_all\C06\C06-21</v>
      </c>
      <c r="S684" t="s">
        <v>62</v>
      </c>
      <c r="T684" s="11" t="str">
        <f>HYPERLINK("http://www.env.gov.bc.ca/esd/distdata/ecosystems/TEI_Scanned_Maps/C06/C06-21","http://www.env.gov.bc.ca/esd/distdata/ecosystems/TEI_Scanned_Maps/C06/C06-21")</f>
        <v>http://www.env.gov.bc.ca/esd/distdata/ecosystems/TEI_Scanned_Maps/C06/C06-21</v>
      </c>
      <c r="U684" t="s">
        <v>58</v>
      </c>
      <c r="V684" t="s">
        <v>58</v>
      </c>
      <c r="W684" t="s">
        <v>58</v>
      </c>
      <c r="X684" t="s">
        <v>58</v>
      </c>
      <c r="Y684" t="s">
        <v>58</v>
      </c>
      <c r="Z684" t="s">
        <v>58</v>
      </c>
      <c r="AA684" t="s">
        <v>58</v>
      </c>
      <c r="AC684" t="s">
        <v>58</v>
      </c>
      <c r="AE684" t="s">
        <v>58</v>
      </c>
      <c r="AG684" t="s">
        <v>63</v>
      </c>
      <c r="AH684" s="11" t="str">
        <f t="shared" si="13"/>
        <v>mailto: soilterrain@victoria1.gov.bc.ca</v>
      </c>
    </row>
    <row r="685" spans="1:34">
      <c r="A685" t="s">
        <v>1618</v>
      </c>
      <c r="B685" t="s">
        <v>56</v>
      </c>
      <c r="C685" s="10" t="s">
        <v>1619</v>
      </c>
      <c r="D685" t="s">
        <v>58</v>
      </c>
      <c r="E685" t="s">
        <v>497</v>
      </c>
      <c r="F685" t="s">
        <v>1620</v>
      </c>
      <c r="G685">
        <v>50000</v>
      </c>
      <c r="H685">
        <v>1980</v>
      </c>
      <c r="I685" t="s">
        <v>58</v>
      </c>
      <c r="J685" t="s">
        <v>58</v>
      </c>
      <c r="K685" t="s">
        <v>58</v>
      </c>
      <c r="L685" t="s">
        <v>58</v>
      </c>
      <c r="M685" t="s">
        <v>58</v>
      </c>
      <c r="N685" t="s">
        <v>61</v>
      </c>
      <c r="Q685" t="s">
        <v>58</v>
      </c>
      <c r="R685" s="11" t="str">
        <f>HYPERLINK("\\imagefiles.bcgov\imagery\scanned_maps\moe_terrain_maps\Scanned_T_maps_all\C06\C06-22","\\imagefiles.bcgov\imagery\scanned_maps\moe_terrain_maps\Scanned_T_maps_all\C06\C06-22")</f>
        <v>\\imagefiles.bcgov\imagery\scanned_maps\moe_terrain_maps\Scanned_T_maps_all\C06\C06-22</v>
      </c>
      <c r="S685" t="s">
        <v>62</v>
      </c>
      <c r="T685" s="11" t="str">
        <f>HYPERLINK("http://www.env.gov.bc.ca/esd/distdata/ecosystems/TEI_Scanned_Maps/C06/C06-22","http://www.env.gov.bc.ca/esd/distdata/ecosystems/TEI_Scanned_Maps/C06/C06-22")</f>
        <v>http://www.env.gov.bc.ca/esd/distdata/ecosystems/TEI_Scanned_Maps/C06/C06-22</v>
      </c>
      <c r="U685" t="s">
        <v>58</v>
      </c>
      <c r="V685" t="s">
        <v>58</v>
      </c>
      <c r="W685" t="s">
        <v>58</v>
      </c>
      <c r="X685" t="s">
        <v>58</v>
      </c>
      <c r="Y685" t="s">
        <v>58</v>
      </c>
      <c r="Z685" t="s">
        <v>58</v>
      </c>
      <c r="AA685" t="s">
        <v>58</v>
      </c>
      <c r="AC685" t="s">
        <v>58</v>
      </c>
      <c r="AE685" t="s">
        <v>58</v>
      </c>
      <c r="AG685" t="s">
        <v>63</v>
      </c>
      <c r="AH685" s="11" t="str">
        <f t="shared" si="13"/>
        <v>mailto: soilterrain@victoria1.gov.bc.ca</v>
      </c>
    </row>
    <row r="686" spans="1:34">
      <c r="A686" t="s">
        <v>1621</v>
      </c>
      <c r="B686" t="s">
        <v>56</v>
      </c>
      <c r="C686" s="10" t="s">
        <v>1622</v>
      </c>
      <c r="D686" t="s">
        <v>58</v>
      </c>
      <c r="E686" t="s">
        <v>497</v>
      </c>
      <c r="F686" t="s">
        <v>1623</v>
      </c>
      <c r="G686">
        <v>50000</v>
      </c>
      <c r="H686">
        <v>1981</v>
      </c>
      <c r="I686" t="s">
        <v>58</v>
      </c>
      <c r="J686" t="s">
        <v>58</v>
      </c>
      <c r="K686" t="s">
        <v>58</v>
      </c>
      <c r="L686" t="s">
        <v>58</v>
      </c>
      <c r="M686" t="s">
        <v>58</v>
      </c>
      <c r="N686" t="s">
        <v>61</v>
      </c>
      <c r="Q686" t="s">
        <v>58</v>
      </c>
      <c r="R686" s="11" t="str">
        <f>HYPERLINK("\\imagefiles.bcgov\imagery\scanned_maps\moe_terrain_maps\Scanned_T_maps_all\C06\C06-23","\\imagefiles.bcgov\imagery\scanned_maps\moe_terrain_maps\Scanned_T_maps_all\C06\C06-23")</f>
        <v>\\imagefiles.bcgov\imagery\scanned_maps\moe_terrain_maps\Scanned_T_maps_all\C06\C06-23</v>
      </c>
      <c r="S686" t="s">
        <v>62</v>
      </c>
      <c r="T686" s="11" t="str">
        <f>HYPERLINK("http://www.env.gov.bc.ca/esd/distdata/ecosystems/TEI_Scanned_Maps/C06/C06-23","http://www.env.gov.bc.ca/esd/distdata/ecosystems/TEI_Scanned_Maps/C06/C06-23")</f>
        <v>http://www.env.gov.bc.ca/esd/distdata/ecosystems/TEI_Scanned_Maps/C06/C06-23</v>
      </c>
      <c r="U686" t="s">
        <v>58</v>
      </c>
      <c r="V686" t="s">
        <v>58</v>
      </c>
      <c r="W686" t="s">
        <v>58</v>
      </c>
      <c r="X686" t="s">
        <v>58</v>
      </c>
      <c r="Y686" t="s">
        <v>58</v>
      </c>
      <c r="Z686" t="s">
        <v>58</v>
      </c>
      <c r="AA686" t="s">
        <v>58</v>
      </c>
      <c r="AC686" t="s">
        <v>58</v>
      </c>
      <c r="AE686" t="s">
        <v>58</v>
      </c>
      <c r="AG686" t="s">
        <v>63</v>
      </c>
      <c r="AH686" s="11" t="str">
        <f t="shared" si="13"/>
        <v>mailto: soilterrain@victoria1.gov.bc.ca</v>
      </c>
    </row>
    <row r="687" spans="1:34">
      <c r="A687" t="s">
        <v>1624</v>
      </c>
      <c r="B687" t="s">
        <v>56</v>
      </c>
      <c r="C687" s="10" t="s">
        <v>1625</v>
      </c>
      <c r="D687" t="s">
        <v>58</v>
      </c>
      <c r="E687" t="s">
        <v>497</v>
      </c>
      <c r="F687" t="s">
        <v>502</v>
      </c>
      <c r="G687">
        <v>50000</v>
      </c>
      <c r="H687" t="s">
        <v>187</v>
      </c>
      <c r="I687" t="s">
        <v>58</v>
      </c>
      <c r="J687" t="s">
        <v>58</v>
      </c>
      <c r="K687" t="s">
        <v>58</v>
      </c>
      <c r="L687" t="s">
        <v>58</v>
      </c>
      <c r="M687" t="s">
        <v>58</v>
      </c>
      <c r="N687" t="s">
        <v>61</v>
      </c>
      <c r="Q687" t="s">
        <v>58</v>
      </c>
      <c r="R687" s="11" t="str">
        <f>HYPERLINK("\\imagefiles.bcgov\imagery\scanned_maps\moe_terrain_maps\Scanned_T_maps_all\C06\C06-24","\\imagefiles.bcgov\imagery\scanned_maps\moe_terrain_maps\Scanned_T_maps_all\C06\C06-24")</f>
        <v>\\imagefiles.bcgov\imagery\scanned_maps\moe_terrain_maps\Scanned_T_maps_all\C06\C06-24</v>
      </c>
      <c r="S687" t="s">
        <v>62</v>
      </c>
      <c r="T687" s="11" t="str">
        <f>HYPERLINK("http://www.env.gov.bc.ca/esd/distdata/ecosystems/TEI_Scanned_Maps/C06/C06-24","http://www.env.gov.bc.ca/esd/distdata/ecosystems/TEI_Scanned_Maps/C06/C06-24")</f>
        <v>http://www.env.gov.bc.ca/esd/distdata/ecosystems/TEI_Scanned_Maps/C06/C06-24</v>
      </c>
      <c r="U687" t="s">
        <v>58</v>
      </c>
      <c r="V687" t="s">
        <v>58</v>
      </c>
      <c r="W687" t="s">
        <v>58</v>
      </c>
      <c r="X687" t="s">
        <v>58</v>
      </c>
      <c r="Y687" t="s">
        <v>58</v>
      </c>
      <c r="Z687" t="s">
        <v>58</v>
      </c>
      <c r="AA687" t="s">
        <v>58</v>
      </c>
      <c r="AC687" t="s">
        <v>58</v>
      </c>
      <c r="AE687" t="s">
        <v>58</v>
      </c>
      <c r="AG687" t="s">
        <v>63</v>
      </c>
      <c r="AH687" s="11" t="str">
        <f t="shared" si="13"/>
        <v>mailto: soilterrain@victoria1.gov.bc.ca</v>
      </c>
    </row>
    <row r="688" spans="1:34">
      <c r="A688" t="s">
        <v>1626</v>
      </c>
      <c r="B688" t="s">
        <v>56</v>
      </c>
      <c r="C688" s="10" t="s">
        <v>1627</v>
      </c>
      <c r="D688" t="s">
        <v>58</v>
      </c>
      <c r="E688" t="s">
        <v>497</v>
      </c>
      <c r="F688" t="s">
        <v>1628</v>
      </c>
      <c r="G688">
        <v>50000</v>
      </c>
      <c r="H688">
        <v>1980</v>
      </c>
      <c r="I688" t="s">
        <v>58</v>
      </c>
      <c r="J688" t="s">
        <v>58</v>
      </c>
      <c r="K688" t="s">
        <v>58</v>
      </c>
      <c r="L688" t="s">
        <v>58</v>
      </c>
      <c r="M688" t="s">
        <v>58</v>
      </c>
      <c r="N688" t="s">
        <v>61</v>
      </c>
      <c r="Q688" t="s">
        <v>58</v>
      </c>
      <c r="R688" s="11" t="str">
        <f>HYPERLINK("\\imagefiles.bcgov\imagery\scanned_maps\moe_terrain_maps\Scanned_T_maps_all\C06\C06-2485","\\imagefiles.bcgov\imagery\scanned_maps\moe_terrain_maps\Scanned_T_maps_all\C06\C06-2485")</f>
        <v>\\imagefiles.bcgov\imagery\scanned_maps\moe_terrain_maps\Scanned_T_maps_all\C06\C06-2485</v>
      </c>
      <c r="S688" t="s">
        <v>62</v>
      </c>
      <c r="T688" s="11" t="str">
        <f>HYPERLINK("http://www.env.gov.bc.ca/esd/distdata/ecosystems/TEI_Scanned_Maps/C06/C06-2485","http://www.env.gov.bc.ca/esd/distdata/ecosystems/TEI_Scanned_Maps/C06/C06-2485")</f>
        <v>http://www.env.gov.bc.ca/esd/distdata/ecosystems/TEI_Scanned_Maps/C06/C06-2485</v>
      </c>
      <c r="U688" t="s">
        <v>58</v>
      </c>
      <c r="V688" t="s">
        <v>58</v>
      </c>
      <c r="W688" t="s">
        <v>58</v>
      </c>
      <c r="X688" t="s">
        <v>58</v>
      </c>
      <c r="Y688" t="s">
        <v>58</v>
      </c>
      <c r="Z688" t="s">
        <v>58</v>
      </c>
      <c r="AA688" t="s">
        <v>58</v>
      </c>
      <c r="AC688" t="s">
        <v>58</v>
      </c>
      <c r="AE688" t="s">
        <v>58</v>
      </c>
      <c r="AG688" t="s">
        <v>63</v>
      </c>
      <c r="AH688" s="11" t="str">
        <f t="shared" si="13"/>
        <v>mailto: soilterrain@victoria1.gov.bc.ca</v>
      </c>
    </row>
    <row r="689" spans="1:34">
      <c r="A689" t="s">
        <v>1629</v>
      </c>
      <c r="B689" t="s">
        <v>56</v>
      </c>
      <c r="C689" s="10" t="s">
        <v>1630</v>
      </c>
      <c r="D689" t="s">
        <v>58</v>
      </c>
      <c r="E689" t="s">
        <v>497</v>
      </c>
      <c r="F689" t="s">
        <v>1631</v>
      </c>
      <c r="G689">
        <v>50000</v>
      </c>
      <c r="H689">
        <v>1981</v>
      </c>
      <c r="I689" t="s">
        <v>58</v>
      </c>
      <c r="J689" t="s">
        <v>58</v>
      </c>
      <c r="K689" t="s">
        <v>58</v>
      </c>
      <c r="L689" t="s">
        <v>58</v>
      </c>
      <c r="M689" t="s">
        <v>58</v>
      </c>
      <c r="N689" t="s">
        <v>61</v>
      </c>
      <c r="Q689" t="s">
        <v>58</v>
      </c>
      <c r="R689" s="11" t="str">
        <f>HYPERLINK("\\imagefiles.bcgov\imagery\scanned_maps\moe_terrain_maps\Scanned_T_maps_all\C06\C06-2487","\\imagefiles.bcgov\imagery\scanned_maps\moe_terrain_maps\Scanned_T_maps_all\C06\C06-2487")</f>
        <v>\\imagefiles.bcgov\imagery\scanned_maps\moe_terrain_maps\Scanned_T_maps_all\C06\C06-2487</v>
      </c>
      <c r="S689" t="s">
        <v>62</v>
      </c>
      <c r="T689" s="11" t="str">
        <f>HYPERLINK("http://www.env.gov.bc.ca/esd/distdata/ecosystems/TEI_Scanned_Maps/C06/C06-2487","http://www.env.gov.bc.ca/esd/distdata/ecosystems/TEI_Scanned_Maps/C06/C06-2487")</f>
        <v>http://www.env.gov.bc.ca/esd/distdata/ecosystems/TEI_Scanned_Maps/C06/C06-2487</v>
      </c>
      <c r="U689" t="s">
        <v>58</v>
      </c>
      <c r="V689" t="s">
        <v>58</v>
      </c>
      <c r="W689" t="s">
        <v>58</v>
      </c>
      <c r="X689" t="s">
        <v>58</v>
      </c>
      <c r="Y689" t="s">
        <v>58</v>
      </c>
      <c r="Z689" t="s">
        <v>58</v>
      </c>
      <c r="AA689" t="s">
        <v>58</v>
      </c>
      <c r="AC689" t="s">
        <v>58</v>
      </c>
      <c r="AE689" t="s">
        <v>58</v>
      </c>
      <c r="AG689" t="s">
        <v>63</v>
      </c>
      <c r="AH689" s="11" t="str">
        <f t="shared" si="13"/>
        <v>mailto: soilterrain@victoria1.gov.bc.ca</v>
      </c>
    </row>
    <row r="690" spans="1:34">
      <c r="A690" t="s">
        <v>1632</v>
      </c>
      <c r="B690" t="s">
        <v>56</v>
      </c>
      <c r="C690" s="10" t="s">
        <v>1633</v>
      </c>
      <c r="D690" t="s">
        <v>58</v>
      </c>
      <c r="E690" t="s">
        <v>497</v>
      </c>
      <c r="F690" t="s">
        <v>1634</v>
      </c>
      <c r="G690">
        <v>50000</v>
      </c>
      <c r="H690" t="s">
        <v>187</v>
      </c>
      <c r="I690" t="s">
        <v>58</v>
      </c>
      <c r="J690" t="s">
        <v>58</v>
      </c>
      <c r="K690" t="s">
        <v>58</v>
      </c>
      <c r="L690" t="s">
        <v>58</v>
      </c>
      <c r="M690" t="s">
        <v>58</v>
      </c>
      <c r="N690" t="s">
        <v>61</v>
      </c>
      <c r="Q690" t="s">
        <v>58</v>
      </c>
      <c r="R690" s="11" t="str">
        <f>HYPERLINK("\\imagefiles.bcgov\imagery\scanned_maps\moe_terrain_maps\Scanned_T_maps_all\C06\C06-2490","\\imagefiles.bcgov\imagery\scanned_maps\moe_terrain_maps\Scanned_T_maps_all\C06\C06-2490")</f>
        <v>\\imagefiles.bcgov\imagery\scanned_maps\moe_terrain_maps\Scanned_T_maps_all\C06\C06-2490</v>
      </c>
      <c r="S690" t="s">
        <v>62</v>
      </c>
      <c r="T690" s="11" t="str">
        <f>HYPERLINK("http://www.env.gov.bc.ca/esd/distdata/ecosystems/TEI_Scanned_Maps/C06/C06-2490","http://www.env.gov.bc.ca/esd/distdata/ecosystems/TEI_Scanned_Maps/C06/C06-2490")</f>
        <v>http://www.env.gov.bc.ca/esd/distdata/ecosystems/TEI_Scanned_Maps/C06/C06-2490</v>
      </c>
      <c r="U690" t="s">
        <v>58</v>
      </c>
      <c r="V690" t="s">
        <v>58</v>
      </c>
      <c r="W690" t="s">
        <v>58</v>
      </c>
      <c r="X690" t="s">
        <v>58</v>
      </c>
      <c r="Y690" t="s">
        <v>58</v>
      </c>
      <c r="Z690" t="s">
        <v>58</v>
      </c>
      <c r="AA690" t="s">
        <v>58</v>
      </c>
      <c r="AC690" t="s">
        <v>58</v>
      </c>
      <c r="AE690" t="s">
        <v>58</v>
      </c>
      <c r="AG690" t="s">
        <v>63</v>
      </c>
      <c r="AH690" s="11" t="str">
        <f t="shared" si="13"/>
        <v>mailto: soilterrain@victoria1.gov.bc.ca</v>
      </c>
    </row>
    <row r="691" spans="1:34">
      <c r="A691" t="s">
        <v>1635</v>
      </c>
      <c r="B691" t="s">
        <v>56</v>
      </c>
      <c r="C691" s="10" t="s">
        <v>1636</v>
      </c>
      <c r="D691" t="s">
        <v>58</v>
      </c>
      <c r="E691" t="s">
        <v>497</v>
      </c>
      <c r="F691" t="s">
        <v>1637</v>
      </c>
      <c r="G691">
        <v>50000</v>
      </c>
      <c r="H691">
        <v>1980</v>
      </c>
      <c r="I691" t="s">
        <v>58</v>
      </c>
      <c r="J691" t="s">
        <v>58</v>
      </c>
      <c r="K691" t="s">
        <v>58</v>
      </c>
      <c r="L691" t="s">
        <v>58</v>
      </c>
      <c r="M691" t="s">
        <v>58</v>
      </c>
      <c r="N691" t="s">
        <v>61</v>
      </c>
      <c r="Q691" t="s">
        <v>58</v>
      </c>
      <c r="R691" s="11" t="str">
        <f>HYPERLINK("\\imagefiles.bcgov\imagery\scanned_maps\moe_terrain_maps\Scanned_T_maps_all\C06\C06-2492","\\imagefiles.bcgov\imagery\scanned_maps\moe_terrain_maps\Scanned_T_maps_all\C06\C06-2492")</f>
        <v>\\imagefiles.bcgov\imagery\scanned_maps\moe_terrain_maps\Scanned_T_maps_all\C06\C06-2492</v>
      </c>
      <c r="S691" t="s">
        <v>62</v>
      </c>
      <c r="T691" s="11" t="str">
        <f>HYPERLINK("http://www.env.gov.bc.ca/esd/distdata/ecosystems/TEI_Scanned_Maps/C06/C06-2492","http://www.env.gov.bc.ca/esd/distdata/ecosystems/TEI_Scanned_Maps/C06/C06-2492")</f>
        <v>http://www.env.gov.bc.ca/esd/distdata/ecosystems/TEI_Scanned_Maps/C06/C06-2492</v>
      </c>
      <c r="U691" t="s">
        <v>58</v>
      </c>
      <c r="V691" t="s">
        <v>58</v>
      </c>
      <c r="W691" t="s">
        <v>58</v>
      </c>
      <c r="X691" t="s">
        <v>58</v>
      </c>
      <c r="Y691" t="s">
        <v>58</v>
      </c>
      <c r="Z691" t="s">
        <v>58</v>
      </c>
      <c r="AA691" t="s">
        <v>58</v>
      </c>
      <c r="AC691" t="s">
        <v>58</v>
      </c>
      <c r="AE691" t="s">
        <v>58</v>
      </c>
      <c r="AG691" t="s">
        <v>63</v>
      </c>
      <c r="AH691" s="11" t="str">
        <f t="shared" si="13"/>
        <v>mailto: soilterrain@victoria1.gov.bc.ca</v>
      </c>
    </row>
    <row r="692" spans="1:34">
      <c r="A692" t="s">
        <v>1638</v>
      </c>
      <c r="B692" t="s">
        <v>56</v>
      </c>
      <c r="C692" s="10" t="s">
        <v>1639</v>
      </c>
      <c r="D692" t="s">
        <v>58</v>
      </c>
      <c r="E692" t="s">
        <v>497</v>
      </c>
      <c r="F692" t="s">
        <v>1640</v>
      </c>
      <c r="G692">
        <v>50000</v>
      </c>
      <c r="H692">
        <v>1981</v>
      </c>
      <c r="I692" t="s">
        <v>58</v>
      </c>
      <c r="J692" t="s">
        <v>58</v>
      </c>
      <c r="K692" t="s">
        <v>58</v>
      </c>
      <c r="L692" t="s">
        <v>58</v>
      </c>
      <c r="M692" t="s">
        <v>58</v>
      </c>
      <c r="N692" t="s">
        <v>61</v>
      </c>
      <c r="Q692" t="s">
        <v>58</v>
      </c>
      <c r="R692" s="11" t="str">
        <f>HYPERLINK("\\imagefiles.bcgov\imagery\scanned_maps\moe_terrain_maps\Scanned_T_maps_all\C06\C06-2494","\\imagefiles.bcgov\imagery\scanned_maps\moe_terrain_maps\Scanned_T_maps_all\C06\C06-2494")</f>
        <v>\\imagefiles.bcgov\imagery\scanned_maps\moe_terrain_maps\Scanned_T_maps_all\C06\C06-2494</v>
      </c>
      <c r="S692" t="s">
        <v>62</v>
      </c>
      <c r="T692" s="11" t="str">
        <f>HYPERLINK("http://www.env.gov.bc.ca/esd/distdata/ecosystems/TEI_Scanned_Maps/C06/C06-2494","http://www.env.gov.bc.ca/esd/distdata/ecosystems/TEI_Scanned_Maps/C06/C06-2494")</f>
        <v>http://www.env.gov.bc.ca/esd/distdata/ecosystems/TEI_Scanned_Maps/C06/C06-2494</v>
      </c>
      <c r="U692" t="s">
        <v>58</v>
      </c>
      <c r="V692" t="s">
        <v>58</v>
      </c>
      <c r="W692" t="s">
        <v>58</v>
      </c>
      <c r="X692" t="s">
        <v>58</v>
      </c>
      <c r="Y692" t="s">
        <v>58</v>
      </c>
      <c r="Z692" t="s">
        <v>58</v>
      </c>
      <c r="AA692" t="s">
        <v>58</v>
      </c>
      <c r="AC692" t="s">
        <v>58</v>
      </c>
      <c r="AE692" t="s">
        <v>58</v>
      </c>
      <c r="AG692" t="s">
        <v>63</v>
      </c>
      <c r="AH692" s="11" t="str">
        <f t="shared" si="13"/>
        <v>mailto: soilterrain@victoria1.gov.bc.ca</v>
      </c>
    </row>
    <row r="693" spans="1:34">
      <c r="A693" t="s">
        <v>1641</v>
      </c>
      <c r="B693" t="s">
        <v>56</v>
      </c>
      <c r="C693" s="10" t="s">
        <v>1642</v>
      </c>
      <c r="D693" t="s">
        <v>58</v>
      </c>
      <c r="E693" t="s">
        <v>497</v>
      </c>
      <c r="F693" t="s">
        <v>1643</v>
      </c>
      <c r="G693">
        <v>50000</v>
      </c>
      <c r="H693" t="s">
        <v>187</v>
      </c>
      <c r="I693" t="s">
        <v>58</v>
      </c>
      <c r="J693" t="s">
        <v>58</v>
      </c>
      <c r="K693" t="s">
        <v>58</v>
      </c>
      <c r="L693" t="s">
        <v>58</v>
      </c>
      <c r="M693" t="s">
        <v>58</v>
      </c>
      <c r="N693" t="s">
        <v>61</v>
      </c>
      <c r="Q693" t="s">
        <v>58</v>
      </c>
      <c r="R693" s="11" t="str">
        <f>HYPERLINK("\\imagefiles.bcgov\imagery\scanned_maps\moe_terrain_maps\Scanned_T_maps_all\C06\C06-2496","\\imagefiles.bcgov\imagery\scanned_maps\moe_terrain_maps\Scanned_T_maps_all\C06\C06-2496")</f>
        <v>\\imagefiles.bcgov\imagery\scanned_maps\moe_terrain_maps\Scanned_T_maps_all\C06\C06-2496</v>
      </c>
      <c r="S693" t="s">
        <v>62</v>
      </c>
      <c r="T693" s="11" t="str">
        <f>HYPERLINK("http://www.env.gov.bc.ca/esd/distdata/ecosystems/TEI_Scanned_Maps/C06/C06-2496","http://www.env.gov.bc.ca/esd/distdata/ecosystems/TEI_Scanned_Maps/C06/C06-2496")</f>
        <v>http://www.env.gov.bc.ca/esd/distdata/ecosystems/TEI_Scanned_Maps/C06/C06-2496</v>
      </c>
      <c r="U693" t="s">
        <v>58</v>
      </c>
      <c r="V693" t="s">
        <v>58</v>
      </c>
      <c r="W693" t="s">
        <v>58</v>
      </c>
      <c r="X693" t="s">
        <v>58</v>
      </c>
      <c r="Y693" t="s">
        <v>58</v>
      </c>
      <c r="Z693" t="s">
        <v>58</v>
      </c>
      <c r="AA693" t="s">
        <v>58</v>
      </c>
      <c r="AC693" t="s">
        <v>58</v>
      </c>
      <c r="AE693" t="s">
        <v>58</v>
      </c>
      <c r="AG693" t="s">
        <v>63</v>
      </c>
      <c r="AH693" s="11" t="str">
        <f t="shared" si="13"/>
        <v>mailto: soilterrain@victoria1.gov.bc.ca</v>
      </c>
    </row>
    <row r="694" spans="1:34">
      <c r="A694" t="s">
        <v>1644</v>
      </c>
      <c r="B694" t="s">
        <v>56</v>
      </c>
      <c r="C694" s="10" t="s">
        <v>1645</v>
      </c>
      <c r="D694" t="s">
        <v>58</v>
      </c>
      <c r="E694" t="s">
        <v>497</v>
      </c>
      <c r="F694" t="s">
        <v>1646</v>
      </c>
      <c r="G694">
        <v>50000</v>
      </c>
      <c r="H694">
        <v>1980</v>
      </c>
      <c r="I694" t="s">
        <v>58</v>
      </c>
      <c r="J694" t="s">
        <v>58</v>
      </c>
      <c r="K694" t="s">
        <v>58</v>
      </c>
      <c r="L694" t="s">
        <v>58</v>
      </c>
      <c r="M694" t="s">
        <v>58</v>
      </c>
      <c r="N694" t="s">
        <v>61</v>
      </c>
      <c r="Q694" t="s">
        <v>58</v>
      </c>
      <c r="R694" s="11" t="str">
        <f>HYPERLINK("\\imagefiles.bcgov\imagery\scanned_maps\moe_terrain_maps\Scanned_T_maps_all\C06\C06-2498","\\imagefiles.bcgov\imagery\scanned_maps\moe_terrain_maps\Scanned_T_maps_all\C06\C06-2498")</f>
        <v>\\imagefiles.bcgov\imagery\scanned_maps\moe_terrain_maps\Scanned_T_maps_all\C06\C06-2498</v>
      </c>
      <c r="S694" t="s">
        <v>62</v>
      </c>
      <c r="T694" s="11" t="str">
        <f>HYPERLINK("http://www.env.gov.bc.ca/esd/distdata/ecosystems/TEI_Scanned_Maps/C06/C06-2498","http://www.env.gov.bc.ca/esd/distdata/ecosystems/TEI_Scanned_Maps/C06/C06-2498")</f>
        <v>http://www.env.gov.bc.ca/esd/distdata/ecosystems/TEI_Scanned_Maps/C06/C06-2498</v>
      </c>
      <c r="U694" t="s">
        <v>58</v>
      </c>
      <c r="V694" t="s">
        <v>58</v>
      </c>
      <c r="W694" t="s">
        <v>58</v>
      </c>
      <c r="X694" t="s">
        <v>58</v>
      </c>
      <c r="Y694" t="s">
        <v>58</v>
      </c>
      <c r="Z694" t="s">
        <v>58</v>
      </c>
      <c r="AA694" t="s">
        <v>58</v>
      </c>
      <c r="AC694" t="s">
        <v>58</v>
      </c>
      <c r="AE694" t="s">
        <v>58</v>
      </c>
      <c r="AG694" t="s">
        <v>63</v>
      </c>
      <c r="AH694" s="11" t="str">
        <f t="shared" si="13"/>
        <v>mailto: soilterrain@victoria1.gov.bc.ca</v>
      </c>
    </row>
    <row r="695" spans="1:34">
      <c r="A695" t="s">
        <v>1647</v>
      </c>
      <c r="B695" t="s">
        <v>56</v>
      </c>
      <c r="C695" s="10" t="s">
        <v>1648</v>
      </c>
      <c r="D695" t="s">
        <v>58</v>
      </c>
      <c r="E695" t="s">
        <v>497</v>
      </c>
      <c r="F695" t="s">
        <v>1649</v>
      </c>
      <c r="G695">
        <v>50000</v>
      </c>
      <c r="H695">
        <v>1981</v>
      </c>
      <c r="I695" t="s">
        <v>58</v>
      </c>
      <c r="J695" t="s">
        <v>58</v>
      </c>
      <c r="K695" t="s">
        <v>58</v>
      </c>
      <c r="L695" t="s">
        <v>58</v>
      </c>
      <c r="M695" t="s">
        <v>58</v>
      </c>
      <c r="N695" t="s">
        <v>61</v>
      </c>
      <c r="Q695" t="s">
        <v>58</v>
      </c>
      <c r="R695" s="11" t="str">
        <f>HYPERLINK("\\imagefiles.bcgov\imagery\scanned_maps\moe_terrain_maps\Scanned_T_maps_all\C06\C06-25","\\imagefiles.bcgov\imagery\scanned_maps\moe_terrain_maps\Scanned_T_maps_all\C06\C06-25")</f>
        <v>\\imagefiles.bcgov\imagery\scanned_maps\moe_terrain_maps\Scanned_T_maps_all\C06\C06-25</v>
      </c>
      <c r="S695" t="s">
        <v>62</v>
      </c>
      <c r="T695" s="11" t="str">
        <f>HYPERLINK("http://www.env.gov.bc.ca/esd/distdata/ecosystems/TEI_Scanned_Maps/C06/C06-25","http://www.env.gov.bc.ca/esd/distdata/ecosystems/TEI_Scanned_Maps/C06/C06-25")</f>
        <v>http://www.env.gov.bc.ca/esd/distdata/ecosystems/TEI_Scanned_Maps/C06/C06-25</v>
      </c>
      <c r="U695" t="s">
        <v>58</v>
      </c>
      <c r="V695" t="s">
        <v>58</v>
      </c>
      <c r="W695" t="s">
        <v>58</v>
      </c>
      <c r="X695" t="s">
        <v>58</v>
      </c>
      <c r="Y695" t="s">
        <v>58</v>
      </c>
      <c r="Z695" t="s">
        <v>58</v>
      </c>
      <c r="AA695" t="s">
        <v>58</v>
      </c>
      <c r="AC695" t="s">
        <v>58</v>
      </c>
      <c r="AE695" t="s">
        <v>58</v>
      </c>
      <c r="AG695" t="s">
        <v>63</v>
      </c>
      <c r="AH695" s="11" t="str">
        <f t="shared" si="13"/>
        <v>mailto: soilterrain@victoria1.gov.bc.ca</v>
      </c>
    </row>
    <row r="696" spans="1:34">
      <c r="A696" t="s">
        <v>1650</v>
      </c>
      <c r="B696" t="s">
        <v>56</v>
      </c>
      <c r="C696" s="10" t="s">
        <v>1651</v>
      </c>
      <c r="D696" t="s">
        <v>58</v>
      </c>
      <c r="E696" t="s">
        <v>497</v>
      </c>
      <c r="F696" t="s">
        <v>1139</v>
      </c>
      <c r="G696">
        <v>50000</v>
      </c>
      <c r="H696" t="s">
        <v>187</v>
      </c>
      <c r="I696" t="s">
        <v>58</v>
      </c>
      <c r="J696" t="s">
        <v>58</v>
      </c>
      <c r="K696" t="s">
        <v>58</v>
      </c>
      <c r="L696" t="s">
        <v>58</v>
      </c>
      <c r="M696" t="s">
        <v>58</v>
      </c>
      <c r="N696" t="s">
        <v>61</v>
      </c>
      <c r="Q696" t="s">
        <v>58</v>
      </c>
      <c r="R696" s="11" t="str">
        <f>HYPERLINK("\\imagefiles.bcgov\imagery\scanned_maps\moe_terrain_maps\Scanned_T_maps_all\C06\C06-2500","\\imagefiles.bcgov\imagery\scanned_maps\moe_terrain_maps\Scanned_T_maps_all\C06\C06-2500")</f>
        <v>\\imagefiles.bcgov\imagery\scanned_maps\moe_terrain_maps\Scanned_T_maps_all\C06\C06-2500</v>
      </c>
      <c r="S696" t="s">
        <v>62</v>
      </c>
      <c r="T696" s="11" t="str">
        <f>HYPERLINK("http://www.env.gov.bc.ca/esd/distdata/ecosystems/TEI_Scanned_Maps/C06/C06-2500","http://www.env.gov.bc.ca/esd/distdata/ecosystems/TEI_Scanned_Maps/C06/C06-2500")</f>
        <v>http://www.env.gov.bc.ca/esd/distdata/ecosystems/TEI_Scanned_Maps/C06/C06-2500</v>
      </c>
      <c r="U696" t="s">
        <v>58</v>
      </c>
      <c r="V696" t="s">
        <v>58</v>
      </c>
      <c r="W696" t="s">
        <v>58</v>
      </c>
      <c r="X696" t="s">
        <v>58</v>
      </c>
      <c r="Y696" t="s">
        <v>58</v>
      </c>
      <c r="Z696" t="s">
        <v>58</v>
      </c>
      <c r="AA696" t="s">
        <v>58</v>
      </c>
      <c r="AC696" t="s">
        <v>58</v>
      </c>
      <c r="AE696" t="s">
        <v>58</v>
      </c>
      <c r="AG696" t="s">
        <v>63</v>
      </c>
      <c r="AH696" s="11" t="str">
        <f t="shared" si="13"/>
        <v>mailto: soilterrain@victoria1.gov.bc.ca</v>
      </c>
    </row>
    <row r="697" spans="1:34">
      <c r="A697" t="s">
        <v>1652</v>
      </c>
      <c r="B697" t="s">
        <v>56</v>
      </c>
      <c r="C697" s="10" t="s">
        <v>1653</v>
      </c>
      <c r="D697" t="s">
        <v>58</v>
      </c>
      <c r="E697" t="s">
        <v>497</v>
      </c>
      <c r="F697" t="s">
        <v>1139</v>
      </c>
      <c r="G697">
        <v>50000</v>
      </c>
      <c r="H697">
        <v>1980</v>
      </c>
      <c r="I697" t="s">
        <v>58</v>
      </c>
      <c r="J697" t="s">
        <v>58</v>
      </c>
      <c r="K697" t="s">
        <v>58</v>
      </c>
      <c r="L697" t="s">
        <v>58</v>
      </c>
      <c r="M697" t="s">
        <v>58</v>
      </c>
      <c r="N697" t="s">
        <v>61</v>
      </c>
      <c r="Q697" t="s">
        <v>58</v>
      </c>
      <c r="R697" s="11" t="str">
        <f>HYPERLINK("\\imagefiles.bcgov\imagery\scanned_maps\moe_terrain_maps\Scanned_T_maps_all\C06\C06-2502","\\imagefiles.bcgov\imagery\scanned_maps\moe_terrain_maps\Scanned_T_maps_all\C06\C06-2502")</f>
        <v>\\imagefiles.bcgov\imagery\scanned_maps\moe_terrain_maps\Scanned_T_maps_all\C06\C06-2502</v>
      </c>
      <c r="S697" t="s">
        <v>62</v>
      </c>
      <c r="T697" s="11" t="str">
        <f>HYPERLINK("http://www.env.gov.bc.ca/esd/distdata/ecosystems/TEI_Scanned_Maps/C06/C06-2502","http://www.env.gov.bc.ca/esd/distdata/ecosystems/TEI_Scanned_Maps/C06/C06-2502")</f>
        <v>http://www.env.gov.bc.ca/esd/distdata/ecosystems/TEI_Scanned_Maps/C06/C06-2502</v>
      </c>
      <c r="U697" t="s">
        <v>58</v>
      </c>
      <c r="V697" t="s">
        <v>58</v>
      </c>
      <c r="W697" t="s">
        <v>58</v>
      </c>
      <c r="X697" t="s">
        <v>58</v>
      </c>
      <c r="Y697" t="s">
        <v>58</v>
      </c>
      <c r="Z697" t="s">
        <v>58</v>
      </c>
      <c r="AA697" t="s">
        <v>58</v>
      </c>
      <c r="AC697" t="s">
        <v>58</v>
      </c>
      <c r="AE697" t="s">
        <v>58</v>
      </c>
      <c r="AG697" t="s">
        <v>63</v>
      </c>
      <c r="AH697" s="11" t="str">
        <f t="shared" si="13"/>
        <v>mailto: soilterrain@victoria1.gov.bc.ca</v>
      </c>
    </row>
    <row r="698" spans="1:34">
      <c r="A698" t="s">
        <v>1654</v>
      </c>
      <c r="B698" t="s">
        <v>56</v>
      </c>
      <c r="C698" s="10" t="s">
        <v>1655</v>
      </c>
      <c r="D698" t="s">
        <v>58</v>
      </c>
      <c r="E698" t="s">
        <v>497</v>
      </c>
      <c r="F698" t="s">
        <v>1656</v>
      </c>
      <c r="G698">
        <v>50000</v>
      </c>
      <c r="H698">
        <v>1981</v>
      </c>
      <c r="I698" t="s">
        <v>58</v>
      </c>
      <c r="J698" t="s">
        <v>58</v>
      </c>
      <c r="K698" t="s">
        <v>58</v>
      </c>
      <c r="L698" t="s">
        <v>58</v>
      </c>
      <c r="M698" t="s">
        <v>58</v>
      </c>
      <c r="N698" t="s">
        <v>61</v>
      </c>
      <c r="Q698" t="s">
        <v>58</v>
      </c>
      <c r="R698" s="11" t="str">
        <f>HYPERLINK("\\imagefiles.bcgov\imagery\scanned_maps\moe_terrain_maps\Scanned_T_maps_all\C06\C06-2504","\\imagefiles.bcgov\imagery\scanned_maps\moe_terrain_maps\Scanned_T_maps_all\C06\C06-2504")</f>
        <v>\\imagefiles.bcgov\imagery\scanned_maps\moe_terrain_maps\Scanned_T_maps_all\C06\C06-2504</v>
      </c>
      <c r="S698" t="s">
        <v>62</v>
      </c>
      <c r="T698" s="11" t="str">
        <f>HYPERLINK("http://www.env.gov.bc.ca/esd/distdata/ecosystems/TEI_Scanned_Maps/C06/C06-2504","http://www.env.gov.bc.ca/esd/distdata/ecosystems/TEI_Scanned_Maps/C06/C06-2504")</f>
        <v>http://www.env.gov.bc.ca/esd/distdata/ecosystems/TEI_Scanned_Maps/C06/C06-2504</v>
      </c>
      <c r="U698" t="s">
        <v>58</v>
      </c>
      <c r="V698" t="s">
        <v>58</v>
      </c>
      <c r="W698" t="s">
        <v>58</v>
      </c>
      <c r="X698" t="s">
        <v>58</v>
      </c>
      <c r="Y698" t="s">
        <v>58</v>
      </c>
      <c r="Z698" t="s">
        <v>58</v>
      </c>
      <c r="AA698" t="s">
        <v>58</v>
      </c>
      <c r="AC698" t="s">
        <v>58</v>
      </c>
      <c r="AE698" t="s">
        <v>58</v>
      </c>
      <c r="AG698" t="s">
        <v>63</v>
      </c>
      <c r="AH698" s="11" t="str">
        <f t="shared" si="13"/>
        <v>mailto: soilterrain@victoria1.gov.bc.ca</v>
      </c>
    </row>
    <row r="699" spans="1:34">
      <c r="A699" t="s">
        <v>1657</v>
      </c>
      <c r="B699" t="s">
        <v>56</v>
      </c>
      <c r="C699" s="10" t="s">
        <v>1658</v>
      </c>
      <c r="D699" t="s">
        <v>58</v>
      </c>
      <c r="E699" t="s">
        <v>497</v>
      </c>
      <c r="F699" t="s">
        <v>1659</v>
      </c>
      <c r="G699">
        <v>50000</v>
      </c>
      <c r="H699" t="s">
        <v>187</v>
      </c>
      <c r="I699" t="s">
        <v>58</v>
      </c>
      <c r="J699" t="s">
        <v>58</v>
      </c>
      <c r="K699" t="s">
        <v>58</v>
      </c>
      <c r="L699" t="s">
        <v>58</v>
      </c>
      <c r="M699" t="s">
        <v>58</v>
      </c>
      <c r="N699" t="s">
        <v>61</v>
      </c>
      <c r="Q699" t="s">
        <v>58</v>
      </c>
      <c r="R699" s="11" t="str">
        <f>HYPERLINK("\\imagefiles.bcgov\imagery\scanned_maps\moe_terrain_maps\Scanned_T_maps_all\C06\C06-2506","\\imagefiles.bcgov\imagery\scanned_maps\moe_terrain_maps\Scanned_T_maps_all\C06\C06-2506")</f>
        <v>\\imagefiles.bcgov\imagery\scanned_maps\moe_terrain_maps\Scanned_T_maps_all\C06\C06-2506</v>
      </c>
      <c r="S699" t="s">
        <v>62</v>
      </c>
      <c r="T699" s="11" t="str">
        <f>HYPERLINK("http://www.env.gov.bc.ca/esd/distdata/ecosystems/TEI_Scanned_Maps/C06/C06-2506","http://www.env.gov.bc.ca/esd/distdata/ecosystems/TEI_Scanned_Maps/C06/C06-2506")</f>
        <v>http://www.env.gov.bc.ca/esd/distdata/ecosystems/TEI_Scanned_Maps/C06/C06-2506</v>
      </c>
      <c r="U699" t="s">
        <v>58</v>
      </c>
      <c r="V699" t="s">
        <v>58</v>
      </c>
      <c r="W699" t="s">
        <v>58</v>
      </c>
      <c r="X699" t="s">
        <v>58</v>
      </c>
      <c r="Y699" t="s">
        <v>58</v>
      </c>
      <c r="Z699" t="s">
        <v>58</v>
      </c>
      <c r="AA699" t="s">
        <v>58</v>
      </c>
      <c r="AC699" t="s">
        <v>58</v>
      </c>
      <c r="AE699" t="s">
        <v>58</v>
      </c>
      <c r="AG699" t="s">
        <v>63</v>
      </c>
      <c r="AH699" s="11" t="str">
        <f t="shared" si="13"/>
        <v>mailto: soilterrain@victoria1.gov.bc.ca</v>
      </c>
    </row>
    <row r="700" spans="1:34">
      <c r="A700" t="s">
        <v>1660</v>
      </c>
      <c r="B700" t="s">
        <v>56</v>
      </c>
      <c r="C700" s="10" t="s">
        <v>1661</v>
      </c>
      <c r="D700" t="s">
        <v>58</v>
      </c>
      <c r="E700" t="s">
        <v>497</v>
      </c>
      <c r="F700" t="s">
        <v>1662</v>
      </c>
      <c r="G700">
        <v>50000</v>
      </c>
      <c r="H700">
        <v>1980</v>
      </c>
      <c r="I700" t="s">
        <v>58</v>
      </c>
      <c r="J700" t="s">
        <v>58</v>
      </c>
      <c r="K700" t="s">
        <v>58</v>
      </c>
      <c r="L700" t="s">
        <v>58</v>
      </c>
      <c r="M700" t="s">
        <v>58</v>
      </c>
      <c r="N700" t="s">
        <v>61</v>
      </c>
      <c r="Q700" t="s">
        <v>58</v>
      </c>
      <c r="R700" s="11" t="str">
        <f>HYPERLINK("\\imagefiles.bcgov\imagery\scanned_maps\moe_terrain_maps\Scanned_T_maps_all\C06\C06-2508","\\imagefiles.bcgov\imagery\scanned_maps\moe_terrain_maps\Scanned_T_maps_all\C06\C06-2508")</f>
        <v>\\imagefiles.bcgov\imagery\scanned_maps\moe_terrain_maps\Scanned_T_maps_all\C06\C06-2508</v>
      </c>
      <c r="S700" t="s">
        <v>62</v>
      </c>
      <c r="T700" s="11" t="str">
        <f>HYPERLINK("http://www.env.gov.bc.ca/esd/distdata/ecosystems/TEI_Scanned_Maps/C06/C06-2508","http://www.env.gov.bc.ca/esd/distdata/ecosystems/TEI_Scanned_Maps/C06/C06-2508")</f>
        <v>http://www.env.gov.bc.ca/esd/distdata/ecosystems/TEI_Scanned_Maps/C06/C06-2508</v>
      </c>
      <c r="U700" t="s">
        <v>58</v>
      </c>
      <c r="V700" t="s">
        <v>58</v>
      </c>
      <c r="W700" t="s">
        <v>58</v>
      </c>
      <c r="X700" t="s">
        <v>58</v>
      </c>
      <c r="Y700" t="s">
        <v>58</v>
      </c>
      <c r="Z700" t="s">
        <v>58</v>
      </c>
      <c r="AA700" t="s">
        <v>58</v>
      </c>
      <c r="AC700" t="s">
        <v>58</v>
      </c>
      <c r="AE700" t="s">
        <v>58</v>
      </c>
      <c r="AG700" t="s">
        <v>63</v>
      </c>
      <c r="AH700" s="11" t="str">
        <f t="shared" si="13"/>
        <v>mailto: soilterrain@victoria1.gov.bc.ca</v>
      </c>
    </row>
    <row r="701" spans="1:34">
      <c r="A701" t="s">
        <v>1663</v>
      </c>
      <c r="B701" t="s">
        <v>56</v>
      </c>
      <c r="C701" s="10" t="s">
        <v>1664</v>
      </c>
      <c r="D701" t="s">
        <v>58</v>
      </c>
      <c r="E701" t="s">
        <v>497</v>
      </c>
      <c r="F701" t="s">
        <v>1665</v>
      </c>
      <c r="G701">
        <v>50000</v>
      </c>
      <c r="H701">
        <v>1981</v>
      </c>
      <c r="I701" t="s">
        <v>58</v>
      </c>
      <c r="J701" t="s">
        <v>58</v>
      </c>
      <c r="K701" t="s">
        <v>58</v>
      </c>
      <c r="L701" t="s">
        <v>58</v>
      </c>
      <c r="M701" t="s">
        <v>58</v>
      </c>
      <c r="N701" t="s">
        <v>61</v>
      </c>
      <c r="Q701" t="s">
        <v>58</v>
      </c>
      <c r="R701" s="11" t="str">
        <f>HYPERLINK("\\imagefiles.bcgov\imagery\scanned_maps\moe_terrain_maps\Scanned_T_maps_all\C06\C06-2548","\\imagefiles.bcgov\imagery\scanned_maps\moe_terrain_maps\Scanned_T_maps_all\C06\C06-2548")</f>
        <v>\\imagefiles.bcgov\imagery\scanned_maps\moe_terrain_maps\Scanned_T_maps_all\C06\C06-2548</v>
      </c>
      <c r="S701" t="s">
        <v>62</v>
      </c>
      <c r="T701" s="11" t="str">
        <f>HYPERLINK("http://www.env.gov.bc.ca/esd/distdata/ecosystems/TEI_Scanned_Maps/C06/C06-2548","http://www.env.gov.bc.ca/esd/distdata/ecosystems/TEI_Scanned_Maps/C06/C06-2548")</f>
        <v>http://www.env.gov.bc.ca/esd/distdata/ecosystems/TEI_Scanned_Maps/C06/C06-2548</v>
      </c>
      <c r="U701" t="s">
        <v>58</v>
      </c>
      <c r="V701" t="s">
        <v>58</v>
      </c>
      <c r="W701" t="s">
        <v>58</v>
      </c>
      <c r="X701" t="s">
        <v>58</v>
      </c>
      <c r="Y701" t="s">
        <v>58</v>
      </c>
      <c r="Z701" t="s">
        <v>58</v>
      </c>
      <c r="AA701" t="s">
        <v>58</v>
      </c>
      <c r="AC701" t="s">
        <v>58</v>
      </c>
      <c r="AE701" t="s">
        <v>58</v>
      </c>
      <c r="AG701" t="s">
        <v>63</v>
      </c>
      <c r="AH701" s="11" t="str">
        <f t="shared" si="13"/>
        <v>mailto: soilterrain@victoria1.gov.bc.ca</v>
      </c>
    </row>
    <row r="702" spans="1:34">
      <c r="A702" t="s">
        <v>1666</v>
      </c>
      <c r="B702" t="s">
        <v>56</v>
      </c>
      <c r="C702" s="10" t="s">
        <v>1667</v>
      </c>
      <c r="D702" t="s">
        <v>58</v>
      </c>
      <c r="E702" t="s">
        <v>497</v>
      </c>
      <c r="F702" t="s">
        <v>1668</v>
      </c>
      <c r="G702">
        <v>50000</v>
      </c>
      <c r="H702" t="s">
        <v>187</v>
      </c>
      <c r="I702" t="s">
        <v>58</v>
      </c>
      <c r="J702" t="s">
        <v>58</v>
      </c>
      <c r="K702" t="s">
        <v>58</v>
      </c>
      <c r="L702" t="s">
        <v>58</v>
      </c>
      <c r="M702" t="s">
        <v>58</v>
      </c>
      <c r="N702" t="s">
        <v>61</v>
      </c>
      <c r="Q702" t="s">
        <v>58</v>
      </c>
      <c r="R702" s="11" t="str">
        <f>HYPERLINK("\\imagefiles.bcgov\imagery\scanned_maps\moe_terrain_maps\Scanned_T_maps_all\C06\C06-2550","\\imagefiles.bcgov\imagery\scanned_maps\moe_terrain_maps\Scanned_T_maps_all\C06\C06-2550")</f>
        <v>\\imagefiles.bcgov\imagery\scanned_maps\moe_terrain_maps\Scanned_T_maps_all\C06\C06-2550</v>
      </c>
      <c r="S702" t="s">
        <v>62</v>
      </c>
      <c r="T702" s="11" t="str">
        <f>HYPERLINK("http://www.env.gov.bc.ca/esd/distdata/ecosystems/TEI_Scanned_Maps/C06/C06-2550","http://www.env.gov.bc.ca/esd/distdata/ecosystems/TEI_Scanned_Maps/C06/C06-2550")</f>
        <v>http://www.env.gov.bc.ca/esd/distdata/ecosystems/TEI_Scanned_Maps/C06/C06-2550</v>
      </c>
      <c r="U702" t="s">
        <v>58</v>
      </c>
      <c r="V702" t="s">
        <v>58</v>
      </c>
      <c r="W702" t="s">
        <v>58</v>
      </c>
      <c r="X702" t="s">
        <v>58</v>
      </c>
      <c r="Y702" t="s">
        <v>58</v>
      </c>
      <c r="Z702" t="s">
        <v>58</v>
      </c>
      <c r="AA702" t="s">
        <v>58</v>
      </c>
      <c r="AC702" t="s">
        <v>58</v>
      </c>
      <c r="AE702" t="s">
        <v>58</v>
      </c>
      <c r="AG702" t="s">
        <v>63</v>
      </c>
      <c r="AH702" s="11" t="str">
        <f t="shared" si="13"/>
        <v>mailto: soilterrain@victoria1.gov.bc.ca</v>
      </c>
    </row>
    <row r="703" spans="1:34">
      <c r="A703" t="s">
        <v>1669</v>
      </c>
      <c r="B703" t="s">
        <v>56</v>
      </c>
      <c r="C703" s="10" t="s">
        <v>1670</v>
      </c>
      <c r="D703" t="s">
        <v>58</v>
      </c>
      <c r="E703" t="s">
        <v>497</v>
      </c>
      <c r="F703" t="s">
        <v>1671</v>
      </c>
      <c r="G703">
        <v>50000</v>
      </c>
      <c r="H703">
        <v>1980</v>
      </c>
      <c r="I703" t="s">
        <v>58</v>
      </c>
      <c r="J703" t="s">
        <v>58</v>
      </c>
      <c r="K703" t="s">
        <v>58</v>
      </c>
      <c r="L703" t="s">
        <v>58</v>
      </c>
      <c r="M703" t="s">
        <v>58</v>
      </c>
      <c r="N703" t="s">
        <v>61</v>
      </c>
      <c r="Q703" t="s">
        <v>58</v>
      </c>
      <c r="R703" s="11" t="str">
        <f>HYPERLINK("\\imagefiles.bcgov\imagery\scanned_maps\moe_terrain_maps\Scanned_T_maps_all\C06\C06-2552","\\imagefiles.bcgov\imagery\scanned_maps\moe_terrain_maps\Scanned_T_maps_all\C06\C06-2552")</f>
        <v>\\imagefiles.bcgov\imagery\scanned_maps\moe_terrain_maps\Scanned_T_maps_all\C06\C06-2552</v>
      </c>
      <c r="S703" t="s">
        <v>62</v>
      </c>
      <c r="T703" s="11" t="str">
        <f>HYPERLINK("http://www.env.gov.bc.ca/esd/distdata/ecosystems/TEI_Scanned_Maps/C06/C06-2552","http://www.env.gov.bc.ca/esd/distdata/ecosystems/TEI_Scanned_Maps/C06/C06-2552")</f>
        <v>http://www.env.gov.bc.ca/esd/distdata/ecosystems/TEI_Scanned_Maps/C06/C06-2552</v>
      </c>
      <c r="U703" t="s">
        <v>58</v>
      </c>
      <c r="V703" t="s">
        <v>58</v>
      </c>
      <c r="W703" t="s">
        <v>58</v>
      </c>
      <c r="X703" t="s">
        <v>58</v>
      </c>
      <c r="Y703" t="s">
        <v>58</v>
      </c>
      <c r="Z703" t="s">
        <v>58</v>
      </c>
      <c r="AA703" t="s">
        <v>58</v>
      </c>
      <c r="AC703" t="s">
        <v>58</v>
      </c>
      <c r="AE703" t="s">
        <v>58</v>
      </c>
      <c r="AG703" t="s">
        <v>63</v>
      </c>
      <c r="AH703" s="11" t="str">
        <f t="shared" si="13"/>
        <v>mailto: soilterrain@victoria1.gov.bc.ca</v>
      </c>
    </row>
    <row r="704" spans="1:34">
      <c r="A704" t="s">
        <v>1672</v>
      </c>
      <c r="B704" t="s">
        <v>56</v>
      </c>
      <c r="C704" s="10" t="s">
        <v>1673</v>
      </c>
      <c r="D704" t="s">
        <v>58</v>
      </c>
      <c r="E704" t="s">
        <v>497</v>
      </c>
      <c r="F704" t="s">
        <v>1674</v>
      </c>
      <c r="G704">
        <v>50000</v>
      </c>
      <c r="H704">
        <v>1981</v>
      </c>
      <c r="I704" t="s">
        <v>58</v>
      </c>
      <c r="J704" t="s">
        <v>58</v>
      </c>
      <c r="K704" t="s">
        <v>58</v>
      </c>
      <c r="L704" t="s">
        <v>58</v>
      </c>
      <c r="M704" t="s">
        <v>58</v>
      </c>
      <c r="N704" t="s">
        <v>61</v>
      </c>
      <c r="Q704" t="s">
        <v>58</v>
      </c>
      <c r="R704" s="11" t="str">
        <f>HYPERLINK("\\imagefiles.bcgov\imagery\scanned_maps\moe_terrain_maps\Scanned_T_maps_all\C06\C06-2554","\\imagefiles.bcgov\imagery\scanned_maps\moe_terrain_maps\Scanned_T_maps_all\C06\C06-2554")</f>
        <v>\\imagefiles.bcgov\imagery\scanned_maps\moe_terrain_maps\Scanned_T_maps_all\C06\C06-2554</v>
      </c>
      <c r="S704" t="s">
        <v>62</v>
      </c>
      <c r="T704" s="11" t="str">
        <f>HYPERLINK("http://www.env.gov.bc.ca/esd/distdata/ecosystems/TEI_Scanned_Maps/C06/C06-2554","http://www.env.gov.bc.ca/esd/distdata/ecosystems/TEI_Scanned_Maps/C06/C06-2554")</f>
        <v>http://www.env.gov.bc.ca/esd/distdata/ecosystems/TEI_Scanned_Maps/C06/C06-2554</v>
      </c>
      <c r="U704" t="s">
        <v>58</v>
      </c>
      <c r="V704" t="s">
        <v>58</v>
      </c>
      <c r="W704" t="s">
        <v>58</v>
      </c>
      <c r="X704" t="s">
        <v>58</v>
      </c>
      <c r="Y704" t="s">
        <v>58</v>
      </c>
      <c r="Z704" t="s">
        <v>58</v>
      </c>
      <c r="AA704" t="s">
        <v>58</v>
      </c>
      <c r="AC704" t="s">
        <v>58</v>
      </c>
      <c r="AE704" t="s">
        <v>58</v>
      </c>
      <c r="AG704" t="s">
        <v>63</v>
      </c>
      <c r="AH704" s="11" t="str">
        <f t="shared" si="13"/>
        <v>mailto: soilterrain@victoria1.gov.bc.ca</v>
      </c>
    </row>
    <row r="705" spans="1:34">
      <c r="A705" t="s">
        <v>1675</v>
      </c>
      <c r="B705" t="s">
        <v>56</v>
      </c>
      <c r="C705" s="10" t="s">
        <v>1676</v>
      </c>
      <c r="D705" t="s">
        <v>58</v>
      </c>
      <c r="E705" t="s">
        <v>497</v>
      </c>
      <c r="F705" t="s">
        <v>1677</v>
      </c>
      <c r="G705">
        <v>50000</v>
      </c>
      <c r="H705" t="s">
        <v>187</v>
      </c>
      <c r="I705" t="s">
        <v>58</v>
      </c>
      <c r="J705" t="s">
        <v>58</v>
      </c>
      <c r="K705" t="s">
        <v>58</v>
      </c>
      <c r="L705" t="s">
        <v>58</v>
      </c>
      <c r="M705" t="s">
        <v>58</v>
      </c>
      <c r="N705" t="s">
        <v>61</v>
      </c>
      <c r="Q705" t="s">
        <v>58</v>
      </c>
      <c r="R705" s="11" t="str">
        <f>HYPERLINK("\\imagefiles.bcgov\imagery\scanned_maps\moe_terrain_maps\Scanned_T_maps_all\C06\C06-26","\\imagefiles.bcgov\imagery\scanned_maps\moe_terrain_maps\Scanned_T_maps_all\C06\C06-26")</f>
        <v>\\imagefiles.bcgov\imagery\scanned_maps\moe_terrain_maps\Scanned_T_maps_all\C06\C06-26</v>
      </c>
      <c r="S705" t="s">
        <v>62</v>
      </c>
      <c r="T705" s="11" t="str">
        <f>HYPERLINK("http://www.env.gov.bc.ca/esd/distdata/ecosystems/TEI_Scanned_Maps/C06/C06-26","http://www.env.gov.bc.ca/esd/distdata/ecosystems/TEI_Scanned_Maps/C06/C06-26")</f>
        <v>http://www.env.gov.bc.ca/esd/distdata/ecosystems/TEI_Scanned_Maps/C06/C06-26</v>
      </c>
      <c r="U705" t="s">
        <v>58</v>
      </c>
      <c r="V705" t="s">
        <v>58</v>
      </c>
      <c r="W705" t="s">
        <v>58</v>
      </c>
      <c r="X705" t="s">
        <v>58</v>
      </c>
      <c r="Y705" t="s">
        <v>58</v>
      </c>
      <c r="Z705" t="s">
        <v>58</v>
      </c>
      <c r="AA705" t="s">
        <v>58</v>
      </c>
      <c r="AC705" t="s">
        <v>58</v>
      </c>
      <c r="AE705" t="s">
        <v>58</v>
      </c>
      <c r="AG705" t="s">
        <v>63</v>
      </c>
      <c r="AH705" s="11" t="str">
        <f t="shared" si="13"/>
        <v>mailto: soilterrain@victoria1.gov.bc.ca</v>
      </c>
    </row>
    <row r="706" spans="1:34">
      <c r="A706" t="s">
        <v>1678</v>
      </c>
      <c r="B706" t="s">
        <v>56</v>
      </c>
      <c r="C706" s="10" t="s">
        <v>429</v>
      </c>
      <c r="D706" t="s">
        <v>58</v>
      </c>
      <c r="E706" t="s">
        <v>497</v>
      </c>
      <c r="F706" t="s">
        <v>1679</v>
      </c>
      <c r="G706">
        <v>50000</v>
      </c>
      <c r="H706">
        <v>1980</v>
      </c>
      <c r="I706" t="s">
        <v>58</v>
      </c>
      <c r="J706" t="s">
        <v>58</v>
      </c>
      <c r="K706" t="s">
        <v>58</v>
      </c>
      <c r="L706" t="s">
        <v>58</v>
      </c>
      <c r="M706" t="s">
        <v>58</v>
      </c>
      <c r="N706" t="s">
        <v>61</v>
      </c>
      <c r="Q706" t="s">
        <v>58</v>
      </c>
      <c r="R706" s="11" t="str">
        <f>HYPERLINK("\\imagefiles.bcgov\imagery\scanned_maps\moe_terrain_maps\Scanned_T_maps_all\C06\C06-2605","\\imagefiles.bcgov\imagery\scanned_maps\moe_terrain_maps\Scanned_T_maps_all\C06\C06-2605")</f>
        <v>\\imagefiles.bcgov\imagery\scanned_maps\moe_terrain_maps\Scanned_T_maps_all\C06\C06-2605</v>
      </c>
      <c r="S706" t="s">
        <v>62</v>
      </c>
      <c r="T706" s="11" t="str">
        <f>HYPERLINK("http://www.env.gov.bc.ca/esd/distdata/ecosystems/TEI_Scanned_Maps/C06/C06-2605","http://www.env.gov.bc.ca/esd/distdata/ecosystems/TEI_Scanned_Maps/C06/C06-2605")</f>
        <v>http://www.env.gov.bc.ca/esd/distdata/ecosystems/TEI_Scanned_Maps/C06/C06-2605</v>
      </c>
      <c r="U706" t="s">
        <v>58</v>
      </c>
      <c r="V706" t="s">
        <v>58</v>
      </c>
      <c r="W706" t="s">
        <v>58</v>
      </c>
      <c r="X706" t="s">
        <v>58</v>
      </c>
      <c r="Y706" t="s">
        <v>58</v>
      </c>
      <c r="Z706" t="s">
        <v>58</v>
      </c>
      <c r="AA706" t="s">
        <v>58</v>
      </c>
      <c r="AC706" t="s">
        <v>58</v>
      </c>
      <c r="AE706" t="s">
        <v>58</v>
      </c>
      <c r="AG706" t="s">
        <v>63</v>
      </c>
      <c r="AH706" s="11" t="str">
        <f t="shared" ref="AH706:AH769" si="14">HYPERLINK("mailto: soilterrain@victoria1.gov.bc.ca","mailto: soilterrain@victoria1.gov.bc.ca")</f>
        <v>mailto: soilterrain@victoria1.gov.bc.ca</v>
      </c>
    </row>
    <row r="707" spans="1:34">
      <c r="A707" t="s">
        <v>1680</v>
      </c>
      <c r="B707" t="s">
        <v>56</v>
      </c>
      <c r="C707" s="10" t="s">
        <v>438</v>
      </c>
      <c r="D707" t="s">
        <v>58</v>
      </c>
      <c r="E707" t="s">
        <v>497</v>
      </c>
      <c r="F707" t="s">
        <v>1681</v>
      </c>
      <c r="G707">
        <v>50000</v>
      </c>
      <c r="H707" t="s">
        <v>187</v>
      </c>
      <c r="I707" t="s">
        <v>58</v>
      </c>
      <c r="J707" t="s">
        <v>58</v>
      </c>
      <c r="K707" t="s">
        <v>58</v>
      </c>
      <c r="L707" t="s">
        <v>58</v>
      </c>
      <c r="M707" t="s">
        <v>58</v>
      </c>
      <c r="N707" t="s">
        <v>61</v>
      </c>
      <c r="Q707" t="s">
        <v>58</v>
      </c>
      <c r="R707" s="11" t="str">
        <f>HYPERLINK("\\imagefiles.bcgov\imagery\scanned_maps\moe_terrain_maps\Scanned_T_maps_all\C06\C06-2607","\\imagefiles.bcgov\imagery\scanned_maps\moe_terrain_maps\Scanned_T_maps_all\C06\C06-2607")</f>
        <v>\\imagefiles.bcgov\imagery\scanned_maps\moe_terrain_maps\Scanned_T_maps_all\C06\C06-2607</v>
      </c>
      <c r="S707" t="s">
        <v>62</v>
      </c>
      <c r="T707" s="11" t="str">
        <f>HYPERLINK("http://www.env.gov.bc.ca/esd/distdata/ecosystems/TEI_Scanned_Maps/C06/C06-2607","http://www.env.gov.bc.ca/esd/distdata/ecosystems/TEI_Scanned_Maps/C06/C06-2607")</f>
        <v>http://www.env.gov.bc.ca/esd/distdata/ecosystems/TEI_Scanned_Maps/C06/C06-2607</v>
      </c>
      <c r="U707" t="s">
        <v>58</v>
      </c>
      <c r="V707" t="s">
        <v>58</v>
      </c>
      <c r="W707" t="s">
        <v>58</v>
      </c>
      <c r="X707" t="s">
        <v>58</v>
      </c>
      <c r="Y707" t="s">
        <v>58</v>
      </c>
      <c r="Z707" t="s">
        <v>58</v>
      </c>
      <c r="AA707" t="s">
        <v>58</v>
      </c>
      <c r="AC707" t="s">
        <v>58</v>
      </c>
      <c r="AE707" t="s">
        <v>58</v>
      </c>
      <c r="AG707" t="s">
        <v>63</v>
      </c>
      <c r="AH707" s="11" t="str">
        <f t="shared" si="14"/>
        <v>mailto: soilterrain@victoria1.gov.bc.ca</v>
      </c>
    </row>
    <row r="708" spans="1:34">
      <c r="A708" t="s">
        <v>1682</v>
      </c>
      <c r="B708" t="s">
        <v>56</v>
      </c>
      <c r="C708" s="10" t="s">
        <v>456</v>
      </c>
      <c r="D708" t="s">
        <v>58</v>
      </c>
      <c r="E708" t="s">
        <v>497</v>
      </c>
      <c r="F708" t="s">
        <v>1683</v>
      </c>
      <c r="G708">
        <v>50000</v>
      </c>
      <c r="H708" t="s">
        <v>187</v>
      </c>
      <c r="I708" t="s">
        <v>58</v>
      </c>
      <c r="J708" t="s">
        <v>58</v>
      </c>
      <c r="K708" t="s">
        <v>58</v>
      </c>
      <c r="L708" t="s">
        <v>58</v>
      </c>
      <c r="M708" t="s">
        <v>58</v>
      </c>
      <c r="N708" t="s">
        <v>61</v>
      </c>
      <c r="Q708" t="s">
        <v>58</v>
      </c>
      <c r="R708" s="11" t="str">
        <f>HYPERLINK("\\imagefiles.bcgov\imagery\scanned_maps\moe_terrain_maps\Scanned_T_maps_all\C06\C06-2609","\\imagefiles.bcgov\imagery\scanned_maps\moe_terrain_maps\Scanned_T_maps_all\C06\C06-2609")</f>
        <v>\\imagefiles.bcgov\imagery\scanned_maps\moe_terrain_maps\Scanned_T_maps_all\C06\C06-2609</v>
      </c>
      <c r="S708" t="s">
        <v>62</v>
      </c>
      <c r="T708" s="11" t="str">
        <f>HYPERLINK("http://www.env.gov.bc.ca/esd/distdata/ecosystems/TEI_Scanned_Maps/C06/C06-2609","http://www.env.gov.bc.ca/esd/distdata/ecosystems/TEI_Scanned_Maps/C06/C06-2609")</f>
        <v>http://www.env.gov.bc.ca/esd/distdata/ecosystems/TEI_Scanned_Maps/C06/C06-2609</v>
      </c>
      <c r="U708" t="s">
        <v>58</v>
      </c>
      <c r="V708" t="s">
        <v>58</v>
      </c>
      <c r="W708" t="s">
        <v>58</v>
      </c>
      <c r="X708" t="s">
        <v>58</v>
      </c>
      <c r="Y708" t="s">
        <v>58</v>
      </c>
      <c r="Z708" t="s">
        <v>58</v>
      </c>
      <c r="AA708" t="s">
        <v>58</v>
      </c>
      <c r="AC708" t="s">
        <v>58</v>
      </c>
      <c r="AE708" t="s">
        <v>58</v>
      </c>
      <c r="AG708" t="s">
        <v>63</v>
      </c>
      <c r="AH708" s="11" t="str">
        <f t="shared" si="14"/>
        <v>mailto: soilterrain@victoria1.gov.bc.ca</v>
      </c>
    </row>
    <row r="709" spans="1:34">
      <c r="A709" t="s">
        <v>1684</v>
      </c>
      <c r="B709" t="s">
        <v>56</v>
      </c>
      <c r="C709" s="10" t="s">
        <v>451</v>
      </c>
      <c r="D709" t="s">
        <v>58</v>
      </c>
      <c r="E709" t="s">
        <v>497</v>
      </c>
      <c r="F709" t="s">
        <v>1685</v>
      </c>
      <c r="G709">
        <v>50000</v>
      </c>
      <c r="H709">
        <v>1974</v>
      </c>
      <c r="I709" t="s">
        <v>58</v>
      </c>
      <c r="J709" t="s">
        <v>58</v>
      </c>
      <c r="K709" t="s">
        <v>58</v>
      </c>
      <c r="L709" t="s">
        <v>58</v>
      </c>
      <c r="M709" t="s">
        <v>58</v>
      </c>
      <c r="N709" t="s">
        <v>61</v>
      </c>
      <c r="Q709" t="s">
        <v>58</v>
      </c>
      <c r="R709" s="11" t="str">
        <f>HYPERLINK("\\imagefiles.bcgov\imagery\scanned_maps\moe_terrain_maps\Scanned_T_maps_all\C06\C06-2611","\\imagefiles.bcgov\imagery\scanned_maps\moe_terrain_maps\Scanned_T_maps_all\C06\C06-2611")</f>
        <v>\\imagefiles.bcgov\imagery\scanned_maps\moe_terrain_maps\Scanned_T_maps_all\C06\C06-2611</v>
      </c>
      <c r="S709" t="s">
        <v>62</v>
      </c>
      <c r="T709" s="11" t="str">
        <f>HYPERLINK("http://www.env.gov.bc.ca/esd/distdata/ecosystems/TEI_Scanned_Maps/C06/C06-2611","http://www.env.gov.bc.ca/esd/distdata/ecosystems/TEI_Scanned_Maps/C06/C06-2611")</f>
        <v>http://www.env.gov.bc.ca/esd/distdata/ecosystems/TEI_Scanned_Maps/C06/C06-2611</v>
      </c>
      <c r="U709" t="s">
        <v>58</v>
      </c>
      <c r="V709" t="s">
        <v>58</v>
      </c>
      <c r="W709" t="s">
        <v>58</v>
      </c>
      <c r="X709" t="s">
        <v>58</v>
      </c>
      <c r="Y709" t="s">
        <v>58</v>
      </c>
      <c r="Z709" t="s">
        <v>58</v>
      </c>
      <c r="AA709" t="s">
        <v>58</v>
      </c>
      <c r="AC709" t="s">
        <v>58</v>
      </c>
      <c r="AE709" t="s">
        <v>58</v>
      </c>
      <c r="AG709" t="s">
        <v>63</v>
      </c>
      <c r="AH709" s="11" t="str">
        <f t="shared" si="14"/>
        <v>mailto: soilterrain@victoria1.gov.bc.ca</v>
      </c>
    </row>
    <row r="710" spans="1:34">
      <c r="A710" t="s">
        <v>1686</v>
      </c>
      <c r="B710" t="s">
        <v>56</v>
      </c>
      <c r="C710" s="10" t="s">
        <v>1687</v>
      </c>
      <c r="D710" t="s">
        <v>58</v>
      </c>
      <c r="E710" t="s">
        <v>497</v>
      </c>
      <c r="F710" t="s">
        <v>1688</v>
      </c>
      <c r="G710">
        <v>50000</v>
      </c>
      <c r="H710">
        <v>1972</v>
      </c>
      <c r="I710" t="s">
        <v>58</v>
      </c>
      <c r="J710" t="s">
        <v>58</v>
      </c>
      <c r="K710" t="s">
        <v>58</v>
      </c>
      <c r="L710" t="s">
        <v>58</v>
      </c>
      <c r="M710" t="s">
        <v>58</v>
      </c>
      <c r="N710" t="s">
        <v>61</v>
      </c>
      <c r="Q710" t="s">
        <v>58</v>
      </c>
      <c r="R710" s="11" t="str">
        <f>HYPERLINK("\\imagefiles.bcgov\imagery\scanned_maps\moe_terrain_maps\Scanned_T_maps_all\C06\C06-2632","\\imagefiles.bcgov\imagery\scanned_maps\moe_terrain_maps\Scanned_T_maps_all\C06\C06-2632")</f>
        <v>\\imagefiles.bcgov\imagery\scanned_maps\moe_terrain_maps\Scanned_T_maps_all\C06\C06-2632</v>
      </c>
      <c r="S710" t="s">
        <v>62</v>
      </c>
      <c r="T710" s="11" t="str">
        <f>HYPERLINK("http://www.env.gov.bc.ca/esd/distdata/ecosystems/TEI_Scanned_Maps/C06/C06-2632","http://www.env.gov.bc.ca/esd/distdata/ecosystems/TEI_Scanned_Maps/C06/C06-2632")</f>
        <v>http://www.env.gov.bc.ca/esd/distdata/ecosystems/TEI_Scanned_Maps/C06/C06-2632</v>
      </c>
      <c r="U710" t="s">
        <v>58</v>
      </c>
      <c r="V710" t="s">
        <v>58</v>
      </c>
      <c r="W710" t="s">
        <v>58</v>
      </c>
      <c r="X710" t="s">
        <v>58</v>
      </c>
      <c r="Y710" t="s">
        <v>58</v>
      </c>
      <c r="Z710" t="s">
        <v>58</v>
      </c>
      <c r="AA710" t="s">
        <v>58</v>
      </c>
      <c r="AC710" t="s">
        <v>58</v>
      </c>
      <c r="AE710" t="s">
        <v>58</v>
      </c>
      <c r="AG710" t="s">
        <v>63</v>
      </c>
      <c r="AH710" s="11" t="str">
        <f t="shared" si="14"/>
        <v>mailto: soilterrain@victoria1.gov.bc.ca</v>
      </c>
    </row>
    <row r="711" spans="1:34">
      <c r="A711" t="s">
        <v>1689</v>
      </c>
      <c r="B711" t="s">
        <v>56</v>
      </c>
      <c r="C711" s="10" t="s">
        <v>324</v>
      </c>
      <c r="D711" t="s">
        <v>58</v>
      </c>
      <c r="E711" t="s">
        <v>497</v>
      </c>
      <c r="F711" t="s">
        <v>1690</v>
      </c>
      <c r="G711">
        <v>50000</v>
      </c>
      <c r="H711" t="s">
        <v>187</v>
      </c>
      <c r="I711" t="s">
        <v>58</v>
      </c>
      <c r="J711" t="s">
        <v>58</v>
      </c>
      <c r="K711" t="s">
        <v>58</v>
      </c>
      <c r="L711" t="s">
        <v>58</v>
      </c>
      <c r="M711" t="s">
        <v>58</v>
      </c>
      <c r="N711" t="s">
        <v>61</v>
      </c>
      <c r="Q711" t="s">
        <v>58</v>
      </c>
      <c r="R711" s="11" t="str">
        <f>HYPERLINK("\\imagefiles.bcgov\imagery\scanned_maps\moe_terrain_maps\Scanned_T_maps_all\C06\C06-2634","\\imagefiles.bcgov\imagery\scanned_maps\moe_terrain_maps\Scanned_T_maps_all\C06\C06-2634")</f>
        <v>\\imagefiles.bcgov\imagery\scanned_maps\moe_terrain_maps\Scanned_T_maps_all\C06\C06-2634</v>
      </c>
      <c r="S711" t="s">
        <v>62</v>
      </c>
      <c r="T711" s="11" t="str">
        <f>HYPERLINK("http://www.env.gov.bc.ca/esd/distdata/ecosystems/TEI_Scanned_Maps/C06/C06-2634","http://www.env.gov.bc.ca/esd/distdata/ecosystems/TEI_Scanned_Maps/C06/C06-2634")</f>
        <v>http://www.env.gov.bc.ca/esd/distdata/ecosystems/TEI_Scanned_Maps/C06/C06-2634</v>
      </c>
      <c r="U711" t="s">
        <v>58</v>
      </c>
      <c r="V711" t="s">
        <v>58</v>
      </c>
      <c r="W711" t="s">
        <v>58</v>
      </c>
      <c r="X711" t="s">
        <v>58</v>
      </c>
      <c r="Y711" t="s">
        <v>58</v>
      </c>
      <c r="Z711" t="s">
        <v>58</v>
      </c>
      <c r="AA711" t="s">
        <v>58</v>
      </c>
      <c r="AC711" t="s">
        <v>58</v>
      </c>
      <c r="AE711" t="s">
        <v>58</v>
      </c>
      <c r="AG711" t="s">
        <v>63</v>
      </c>
      <c r="AH711" s="11" t="str">
        <f t="shared" si="14"/>
        <v>mailto: soilterrain@victoria1.gov.bc.ca</v>
      </c>
    </row>
    <row r="712" spans="1:34">
      <c r="A712" t="s">
        <v>1691</v>
      </c>
      <c r="B712" t="s">
        <v>56</v>
      </c>
      <c r="C712" s="10" t="s">
        <v>326</v>
      </c>
      <c r="D712" t="s">
        <v>58</v>
      </c>
      <c r="E712" t="s">
        <v>497</v>
      </c>
      <c r="F712" t="s">
        <v>1692</v>
      </c>
      <c r="G712">
        <v>50000</v>
      </c>
      <c r="H712" t="s">
        <v>187</v>
      </c>
      <c r="I712" t="s">
        <v>58</v>
      </c>
      <c r="J712" t="s">
        <v>58</v>
      </c>
      <c r="K712" t="s">
        <v>58</v>
      </c>
      <c r="L712" t="s">
        <v>58</v>
      </c>
      <c r="M712" t="s">
        <v>58</v>
      </c>
      <c r="N712" t="s">
        <v>61</v>
      </c>
      <c r="Q712" t="s">
        <v>58</v>
      </c>
      <c r="R712" s="11" t="str">
        <f>HYPERLINK("\\imagefiles.bcgov\imagery\scanned_maps\moe_terrain_maps\Scanned_T_maps_all\C06\C06-2637","\\imagefiles.bcgov\imagery\scanned_maps\moe_terrain_maps\Scanned_T_maps_all\C06\C06-2637")</f>
        <v>\\imagefiles.bcgov\imagery\scanned_maps\moe_terrain_maps\Scanned_T_maps_all\C06\C06-2637</v>
      </c>
      <c r="S712" t="s">
        <v>62</v>
      </c>
      <c r="T712" s="11" t="str">
        <f>HYPERLINK("http://www.env.gov.bc.ca/esd/distdata/ecosystems/TEI_Scanned_Maps/C06/C06-2637","http://www.env.gov.bc.ca/esd/distdata/ecosystems/TEI_Scanned_Maps/C06/C06-2637")</f>
        <v>http://www.env.gov.bc.ca/esd/distdata/ecosystems/TEI_Scanned_Maps/C06/C06-2637</v>
      </c>
      <c r="U712" t="s">
        <v>58</v>
      </c>
      <c r="V712" t="s">
        <v>58</v>
      </c>
      <c r="W712" t="s">
        <v>58</v>
      </c>
      <c r="X712" t="s">
        <v>58</v>
      </c>
      <c r="Y712" t="s">
        <v>58</v>
      </c>
      <c r="Z712" t="s">
        <v>58</v>
      </c>
      <c r="AA712" t="s">
        <v>58</v>
      </c>
      <c r="AC712" t="s">
        <v>58</v>
      </c>
      <c r="AE712" t="s">
        <v>58</v>
      </c>
      <c r="AG712" t="s">
        <v>63</v>
      </c>
      <c r="AH712" s="11" t="str">
        <f t="shared" si="14"/>
        <v>mailto: soilterrain@victoria1.gov.bc.ca</v>
      </c>
    </row>
    <row r="713" spans="1:34">
      <c r="A713" t="s">
        <v>1693</v>
      </c>
      <c r="B713" t="s">
        <v>56</v>
      </c>
      <c r="C713" s="10" t="s">
        <v>1694</v>
      </c>
      <c r="D713" t="s">
        <v>58</v>
      </c>
      <c r="E713" t="s">
        <v>497</v>
      </c>
      <c r="F713" t="s">
        <v>1695</v>
      </c>
      <c r="G713">
        <v>50000</v>
      </c>
      <c r="H713">
        <v>1974</v>
      </c>
      <c r="I713" t="s">
        <v>58</v>
      </c>
      <c r="J713" t="s">
        <v>58</v>
      </c>
      <c r="K713" t="s">
        <v>58</v>
      </c>
      <c r="L713" t="s">
        <v>58</v>
      </c>
      <c r="M713" t="s">
        <v>58</v>
      </c>
      <c r="N713" t="s">
        <v>61</v>
      </c>
      <c r="Q713" t="s">
        <v>58</v>
      </c>
      <c r="R713" s="11" t="str">
        <f>HYPERLINK("\\imagefiles.bcgov\imagery\scanned_maps\moe_terrain_maps\Scanned_T_maps_all\C06\C06-2640","\\imagefiles.bcgov\imagery\scanned_maps\moe_terrain_maps\Scanned_T_maps_all\C06\C06-2640")</f>
        <v>\\imagefiles.bcgov\imagery\scanned_maps\moe_terrain_maps\Scanned_T_maps_all\C06\C06-2640</v>
      </c>
      <c r="S713" t="s">
        <v>62</v>
      </c>
      <c r="T713" s="11" t="str">
        <f>HYPERLINK("http://www.env.gov.bc.ca/esd/distdata/ecosystems/TEI_Scanned_Maps/C06/C06-2640","http://www.env.gov.bc.ca/esd/distdata/ecosystems/TEI_Scanned_Maps/C06/C06-2640")</f>
        <v>http://www.env.gov.bc.ca/esd/distdata/ecosystems/TEI_Scanned_Maps/C06/C06-2640</v>
      </c>
      <c r="U713" t="s">
        <v>58</v>
      </c>
      <c r="V713" t="s">
        <v>58</v>
      </c>
      <c r="W713" t="s">
        <v>58</v>
      </c>
      <c r="X713" t="s">
        <v>58</v>
      </c>
      <c r="Y713" t="s">
        <v>58</v>
      </c>
      <c r="Z713" t="s">
        <v>58</v>
      </c>
      <c r="AA713" t="s">
        <v>58</v>
      </c>
      <c r="AC713" t="s">
        <v>58</v>
      </c>
      <c r="AE713" t="s">
        <v>58</v>
      </c>
      <c r="AG713" t="s">
        <v>63</v>
      </c>
      <c r="AH713" s="11" t="str">
        <f t="shared" si="14"/>
        <v>mailto: soilterrain@victoria1.gov.bc.ca</v>
      </c>
    </row>
    <row r="714" spans="1:34">
      <c r="A714" t="s">
        <v>1696</v>
      </c>
      <c r="B714" t="s">
        <v>56</v>
      </c>
      <c r="C714" s="10" t="s">
        <v>468</v>
      </c>
      <c r="D714" t="s">
        <v>58</v>
      </c>
      <c r="E714" t="s">
        <v>497</v>
      </c>
      <c r="F714" t="s">
        <v>1697</v>
      </c>
      <c r="G714">
        <v>50000</v>
      </c>
      <c r="H714">
        <v>1972</v>
      </c>
      <c r="I714" t="s">
        <v>58</v>
      </c>
      <c r="J714" t="s">
        <v>58</v>
      </c>
      <c r="K714" t="s">
        <v>58</v>
      </c>
      <c r="L714" t="s">
        <v>58</v>
      </c>
      <c r="M714" t="s">
        <v>58</v>
      </c>
      <c r="N714" t="s">
        <v>61</v>
      </c>
      <c r="Q714" t="s">
        <v>58</v>
      </c>
      <c r="R714" s="11" t="str">
        <f>HYPERLINK("\\imagefiles.bcgov\imagery\scanned_maps\moe_terrain_maps\Scanned_T_maps_all\C06\C06-2643","\\imagefiles.bcgov\imagery\scanned_maps\moe_terrain_maps\Scanned_T_maps_all\C06\C06-2643")</f>
        <v>\\imagefiles.bcgov\imagery\scanned_maps\moe_terrain_maps\Scanned_T_maps_all\C06\C06-2643</v>
      </c>
      <c r="S714" t="s">
        <v>62</v>
      </c>
      <c r="T714" s="11" t="str">
        <f>HYPERLINK("http://www.env.gov.bc.ca/esd/distdata/ecosystems/TEI_Scanned_Maps/C06/C06-2643","http://www.env.gov.bc.ca/esd/distdata/ecosystems/TEI_Scanned_Maps/C06/C06-2643")</f>
        <v>http://www.env.gov.bc.ca/esd/distdata/ecosystems/TEI_Scanned_Maps/C06/C06-2643</v>
      </c>
      <c r="U714" t="s">
        <v>58</v>
      </c>
      <c r="V714" t="s">
        <v>58</v>
      </c>
      <c r="W714" t="s">
        <v>58</v>
      </c>
      <c r="X714" t="s">
        <v>58</v>
      </c>
      <c r="Y714" t="s">
        <v>58</v>
      </c>
      <c r="Z714" t="s">
        <v>58</v>
      </c>
      <c r="AA714" t="s">
        <v>58</v>
      </c>
      <c r="AC714" t="s">
        <v>58</v>
      </c>
      <c r="AE714" t="s">
        <v>58</v>
      </c>
      <c r="AG714" t="s">
        <v>63</v>
      </c>
      <c r="AH714" s="11" t="str">
        <f t="shared" si="14"/>
        <v>mailto: soilterrain@victoria1.gov.bc.ca</v>
      </c>
    </row>
    <row r="715" spans="1:34">
      <c r="A715" t="s">
        <v>1698</v>
      </c>
      <c r="B715" t="s">
        <v>56</v>
      </c>
      <c r="C715" s="10" t="s">
        <v>1699</v>
      </c>
      <c r="D715" t="s">
        <v>58</v>
      </c>
      <c r="E715" t="s">
        <v>497</v>
      </c>
      <c r="F715" t="s">
        <v>1700</v>
      </c>
      <c r="G715">
        <v>50000</v>
      </c>
      <c r="H715" t="s">
        <v>187</v>
      </c>
      <c r="I715" t="s">
        <v>58</v>
      </c>
      <c r="J715" t="s">
        <v>58</v>
      </c>
      <c r="K715" t="s">
        <v>58</v>
      </c>
      <c r="L715" t="s">
        <v>58</v>
      </c>
      <c r="M715" t="s">
        <v>58</v>
      </c>
      <c r="N715" t="s">
        <v>61</v>
      </c>
      <c r="Q715" t="s">
        <v>58</v>
      </c>
      <c r="R715" s="11" t="str">
        <f>HYPERLINK("\\imagefiles.bcgov\imagery\scanned_maps\moe_terrain_maps\Scanned_T_maps_all\C06\C06-2646","\\imagefiles.bcgov\imagery\scanned_maps\moe_terrain_maps\Scanned_T_maps_all\C06\C06-2646")</f>
        <v>\\imagefiles.bcgov\imagery\scanned_maps\moe_terrain_maps\Scanned_T_maps_all\C06\C06-2646</v>
      </c>
      <c r="S715" t="s">
        <v>62</v>
      </c>
      <c r="T715" s="11" t="str">
        <f>HYPERLINK("http://www.env.gov.bc.ca/esd/distdata/ecosystems/TEI_Scanned_Maps/C06/C06-2646","http://www.env.gov.bc.ca/esd/distdata/ecosystems/TEI_Scanned_Maps/C06/C06-2646")</f>
        <v>http://www.env.gov.bc.ca/esd/distdata/ecosystems/TEI_Scanned_Maps/C06/C06-2646</v>
      </c>
      <c r="U715" t="s">
        <v>58</v>
      </c>
      <c r="V715" t="s">
        <v>58</v>
      </c>
      <c r="W715" t="s">
        <v>58</v>
      </c>
      <c r="X715" t="s">
        <v>58</v>
      </c>
      <c r="Y715" t="s">
        <v>58</v>
      </c>
      <c r="Z715" t="s">
        <v>58</v>
      </c>
      <c r="AA715" t="s">
        <v>58</v>
      </c>
      <c r="AC715" t="s">
        <v>58</v>
      </c>
      <c r="AE715" t="s">
        <v>58</v>
      </c>
      <c r="AG715" t="s">
        <v>63</v>
      </c>
      <c r="AH715" s="11" t="str">
        <f t="shared" si="14"/>
        <v>mailto: soilterrain@victoria1.gov.bc.ca</v>
      </c>
    </row>
    <row r="716" spans="1:34">
      <c r="A716" t="s">
        <v>1701</v>
      </c>
      <c r="B716" t="s">
        <v>56</v>
      </c>
      <c r="C716" s="10" t="s">
        <v>684</v>
      </c>
      <c r="D716" t="s">
        <v>58</v>
      </c>
      <c r="E716" t="s">
        <v>497</v>
      </c>
      <c r="F716" t="s">
        <v>1702</v>
      </c>
      <c r="G716">
        <v>50000</v>
      </c>
      <c r="H716" t="s">
        <v>187</v>
      </c>
      <c r="I716" t="s">
        <v>58</v>
      </c>
      <c r="J716" t="s">
        <v>58</v>
      </c>
      <c r="K716" t="s">
        <v>58</v>
      </c>
      <c r="L716" t="s">
        <v>58</v>
      </c>
      <c r="M716" t="s">
        <v>58</v>
      </c>
      <c r="N716" t="s">
        <v>61</v>
      </c>
      <c r="Q716" t="s">
        <v>58</v>
      </c>
      <c r="R716" s="11" t="str">
        <f>HYPERLINK("\\imagefiles.bcgov\imagery\scanned_maps\moe_terrain_maps\Scanned_T_maps_all\C06\C06-2649","\\imagefiles.bcgov\imagery\scanned_maps\moe_terrain_maps\Scanned_T_maps_all\C06\C06-2649")</f>
        <v>\\imagefiles.bcgov\imagery\scanned_maps\moe_terrain_maps\Scanned_T_maps_all\C06\C06-2649</v>
      </c>
      <c r="S716" t="s">
        <v>62</v>
      </c>
      <c r="T716" s="11" t="str">
        <f>HYPERLINK("http://www.env.gov.bc.ca/esd/distdata/ecosystems/TEI_Scanned_Maps/C06/C06-2649","http://www.env.gov.bc.ca/esd/distdata/ecosystems/TEI_Scanned_Maps/C06/C06-2649")</f>
        <v>http://www.env.gov.bc.ca/esd/distdata/ecosystems/TEI_Scanned_Maps/C06/C06-2649</v>
      </c>
      <c r="U716" t="s">
        <v>58</v>
      </c>
      <c r="V716" t="s">
        <v>58</v>
      </c>
      <c r="W716" t="s">
        <v>58</v>
      </c>
      <c r="X716" t="s">
        <v>58</v>
      </c>
      <c r="Y716" t="s">
        <v>58</v>
      </c>
      <c r="Z716" t="s">
        <v>58</v>
      </c>
      <c r="AA716" t="s">
        <v>58</v>
      </c>
      <c r="AC716" t="s">
        <v>58</v>
      </c>
      <c r="AE716" t="s">
        <v>58</v>
      </c>
      <c r="AG716" t="s">
        <v>63</v>
      </c>
      <c r="AH716" s="11" t="str">
        <f t="shared" si="14"/>
        <v>mailto: soilterrain@victoria1.gov.bc.ca</v>
      </c>
    </row>
    <row r="717" spans="1:34">
      <c r="A717" t="s">
        <v>1703</v>
      </c>
      <c r="B717" t="s">
        <v>56</v>
      </c>
      <c r="C717" s="10" t="s">
        <v>1704</v>
      </c>
      <c r="D717" t="s">
        <v>58</v>
      </c>
      <c r="E717" t="s">
        <v>497</v>
      </c>
      <c r="F717" t="s">
        <v>1705</v>
      </c>
      <c r="G717">
        <v>50000</v>
      </c>
      <c r="H717">
        <v>1974</v>
      </c>
      <c r="I717" t="s">
        <v>58</v>
      </c>
      <c r="J717" t="s">
        <v>58</v>
      </c>
      <c r="K717" t="s">
        <v>58</v>
      </c>
      <c r="L717" t="s">
        <v>58</v>
      </c>
      <c r="M717" t="s">
        <v>58</v>
      </c>
      <c r="N717" t="s">
        <v>61</v>
      </c>
      <c r="Q717" t="s">
        <v>58</v>
      </c>
      <c r="R717" s="11" t="str">
        <f>HYPERLINK("\\imagefiles.bcgov\imagery\scanned_maps\moe_terrain_maps\Scanned_T_maps_all\C06\C06-2652","\\imagefiles.bcgov\imagery\scanned_maps\moe_terrain_maps\Scanned_T_maps_all\C06\C06-2652")</f>
        <v>\\imagefiles.bcgov\imagery\scanned_maps\moe_terrain_maps\Scanned_T_maps_all\C06\C06-2652</v>
      </c>
      <c r="S717" t="s">
        <v>62</v>
      </c>
      <c r="T717" s="11" t="str">
        <f>HYPERLINK("http://www.env.gov.bc.ca/esd/distdata/ecosystems/TEI_Scanned_Maps/C06/C06-2652","http://www.env.gov.bc.ca/esd/distdata/ecosystems/TEI_Scanned_Maps/C06/C06-2652")</f>
        <v>http://www.env.gov.bc.ca/esd/distdata/ecosystems/TEI_Scanned_Maps/C06/C06-2652</v>
      </c>
      <c r="U717" t="s">
        <v>58</v>
      </c>
      <c r="V717" t="s">
        <v>58</v>
      </c>
      <c r="W717" t="s">
        <v>58</v>
      </c>
      <c r="X717" t="s">
        <v>58</v>
      </c>
      <c r="Y717" t="s">
        <v>58</v>
      </c>
      <c r="Z717" t="s">
        <v>58</v>
      </c>
      <c r="AA717" t="s">
        <v>58</v>
      </c>
      <c r="AC717" t="s">
        <v>58</v>
      </c>
      <c r="AE717" t="s">
        <v>58</v>
      </c>
      <c r="AG717" t="s">
        <v>63</v>
      </c>
      <c r="AH717" s="11" t="str">
        <f t="shared" si="14"/>
        <v>mailto: soilterrain@victoria1.gov.bc.ca</v>
      </c>
    </row>
    <row r="718" spans="1:34">
      <c r="A718" t="s">
        <v>1706</v>
      </c>
      <c r="B718" t="s">
        <v>56</v>
      </c>
      <c r="C718" s="10" t="s">
        <v>951</v>
      </c>
      <c r="D718" t="s">
        <v>58</v>
      </c>
      <c r="E718" t="s">
        <v>497</v>
      </c>
      <c r="F718" t="s">
        <v>1707</v>
      </c>
      <c r="G718">
        <v>50000</v>
      </c>
      <c r="H718">
        <v>1972</v>
      </c>
      <c r="I718" t="s">
        <v>58</v>
      </c>
      <c r="J718" t="s">
        <v>58</v>
      </c>
      <c r="K718" t="s">
        <v>58</v>
      </c>
      <c r="L718" t="s">
        <v>58</v>
      </c>
      <c r="M718" t="s">
        <v>58</v>
      </c>
      <c r="N718" t="s">
        <v>61</v>
      </c>
      <c r="Q718" t="s">
        <v>58</v>
      </c>
      <c r="R718" s="11" t="str">
        <f>HYPERLINK("\\imagefiles.bcgov\imagery\scanned_maps\moe_terrain_maps\Scanned_T_maps_all\C06\C06-2654","\\imagefiles.bcgov\imagery\scanned_maps\moe_terrain_maps\Scanned_T_maps_all\C06\C06-2654")</f>
        <v>\\imagefiles.bcgov\imagery\scanned_maps\moe_terrain_maps\Scanned_T_maps_all\C06\C06-2654</v>
      </c>
      <c r="S718" t="s">
        <v>62</v>
      </c>
      <c r="T718" s="11" t="str">
        <f>HYPERLINK("http://www.env.gov.bc.ca/esd/distdata/ecosystems/TEI_Scanned_Maps/C06/C06-2654","http://www.env.gov.bc.ca/esd/distdata/ecosystems/TEI_Scanned_Maps/C06/C06-2654")</f>
        <v>http://www.env.gov.bc.ca/esd/distdata/ecosystems/TEI_Scanned_Maps/C06/C06-2654</v>
      </c>
      <c r="U718" t="s">
        <v>58</v>
      </c>
      <c r="V718" t="s">
        <v>58</v>
      </c>
      <c r="W718" t="s">
        <v>58</v>
      </c>
      <c r="X718" t="s">
        <v>58</v>
      </c>
      <c r="Y718" t="s">
        <v>58</v>
      </c>
      <c r="Z718" t="s">
        <v>58</v>
      </c>
      <c r="AA718" t="s">
        <v>58</v>
      </c>
      <c r="AC718" t="s">
        <v>58</v>
      </c>
      <c r="AE718" t="s">
        <v>58</v>
      </c>
      <c r="AG718" t="s">
        <v>63</v>
      </c>
      <c r="AH718" s="11" t="str">
        <f t="shared" si="14"/>
        <v>mailto: soilterrain@victoria1.gov.bc.ca</v>
      </c>
    </row>
    <row r="719" spans="1:34">
      <c r="A719" t="s">
        <v>1708</v>
      </c>
      <c r="B719" t="s">
        <v>56</v>
      </c>
      <c r="C719" s="10" t="s">
        <v>954</v>
      </c>
      <c r="D719" t="s">
        <v>58</v>
      </c>
      <c r="E719" t="s">
        <v>497</v>
      </c>
      <c r="F719" t="s">
        <v>1709</v>
      </c>
      <c r="G719">
        <v>50000</v>
      </c>
      <c r="H719" t="s">
        <v>187</v>
      </c>
      <c r="I719" t="s">
        <v>58</v>
      </c>
      <c r="J719" t="s">
        <v>58</v>
      </c>
      <c r="K719" t="s">
        <v>58</v>
      </c>
      <c r="L719" t="s">
        <v>58</v>
      </c>
      <c r="M719" t="s">
        <v>58</v>
      </c>
      <c r="N719" t="s">
        <v>61</v>
      </c>
      <c r="Q719" t="s">
        <v>58</v>
      </c>
      <c r="R719" s="11" t="str">
        <f>HYPERLINK("\\imagefiles.bcgov\imagery\scanned_maps\moe_terrain_maps\Scanned_T_maps_all\C06\C06-2656","\\imagefiles.bcgov\imagery\scanned_maps\moe_terrain_maps\Scanned_T_maps_all\C06\C06-2656")</f>
        <v>\\imagefiles.bcgov\imagery\scanned_maps\moe_terrain_maps\Scanned_T_maps_all\C06\C06-2656</v>
      </c>
      <c r="S719" t="s">
        <v>62</v>
      </c>
      <c r="T719" s="11" t="str">
        <f>HYPERLINK("http://www.env.gov.bc.ca/esd/distdata/ecosystems/TEI_Scanned_Maps/C06/C06-2656","http://www.env.gov.bc.ca/esd/distdata/ecosystems/TEI_Scanned_Maps/C06/C06-2656")</f>
        <v>http://www.env.gov.bc.ca/esd/distdata/ecosystems/TEI_Scanned_Maps/C06/C06-2656</v>
      </c>
      <c r="U719" t="s">
        <v>58</v>
      </c>
      <c r="V719" t="s">
        <v>58</v>
      </c>
      <c r="W719" t="s">
        <v>58</v>
      </c>
      <c r="X719" t="s">
        <v>58</v>
      </c>
      <c r="Y719" t="s">
        <v>58</v>
      </c>
      <c r="Z719" t="s">
        <v>58</v>
      </c>
      <c r="AA719" t="s">
        <v>58</v>
      </c>
      <c r="AC719" t="s">
        <v>58</v>
      </c>
      <c r="AE719" t="s">
        <v>58</v>
      </c>
      <c r="AG719" t="s">
        <v>63</v>
      </c>
      <c r="AH719" s="11" t="str">
        <f t="shared" si="14"/>
        <v>mailto: soilterrain@victoria1.gov.bc.ca</v>
      </c>
    </row>
    <row r="720" spans="1:34">
      <c r="A720" t="s">
        <v>1710</v>
      </c>
      <c r="B720" t="s">
        <v>56</v>
      </c>
      <c r="C720" s="10" t="s">
        <v>1711</v>
      </c>
      <c r="D720" t="s">
        <v>58</v>
      </c>
      <c r="E720" t="s">
        <v>497</v>
      </c>
      <c r="F720" t="s">
        <v>1712</v>
      </c>
      <c r="G720">
        <v>50000</v>
      </c>
      <c r="H720" t="s">
        <v>187</v>
      </c>
      <c r="I720" t="s">
        <v>58</v>
      </c>
      <c r="J720" t="s">
        <v>58</v>
      </c>
      <c r="K720" t="s">
        <v>58</v>
      </c>
      <c r="L720" t="s">
        <v>58</v>
      </c>
      <c r="M720" t="s">
        <v>58</v>
      </c>
      <c r="N720" t="s">
        <v>61</v>
      </c>
      <c r="Q720" t="s">
        <v>58</v>
      </c>
      <c r="R720" s="11" t="str">
        <f>HYPERLINK("\\imagefiles.bcgov\imagery\scanned_maps\moe_terrain_maps\Scanned_T_maps_all\C06\C06-2659","\\imagefiles.bcgov\imagery\scanned_maps\moe_terrain_maps\Scanned_T_maps_all\C06\C06-2659")</f>
        <v>\\imagefiles.bcgov\imagery\scanned_maps\moe_terrain_maps\Scanned_T_maps_all\C06\C06-2659</v>
      </c>
      <c r="S720" t="s">
        <v>62</v>
      </c>
      <c r="T720" s="11" t="str">
        <f>HYPERLINK("http://www.env.gov.bc.ca/esd/distdata/ecosystems/TEI_Scanned_Maps/C06/C06-2659","http://www.env.gov.bc.ca/esd/distdata/ecosystems/TEI_Scanned_Maps/C06/C06-2659")</f>
        <v>http://www.env.gov.bc.ca/esd/distdata/ecosystems/TEI_Scanned_Maps/C06/C06-2659</v>
      </c>
      <c r="U720" t="s">
        <v>58</v>
      </c>
      <c r="V720" t="s">
        <v>58</v>
      </c>
      <c r="W720" t="s">
        <v>58</v>
      </c>
      <c r="X720" t="s">
        <v>58</v>
      </c>
      <c r="Y720" t="s">
        <v>58</v>
      </c>
      <c r="Z720" t="s">
        <v>58</v>
      </c>
      <c r="AA720" t="s">
        <v>58</v>
      </c>
      <c r="AC720" t="s">
        <v>58</v>
      </c>
      <c r="AE720" t="s">
        <v>58</v>
      </c>
      <c r="AG720" t="s">
        <v>63</v>
      </c>
      <c r="AH720" s="11" t="str">
        <f t="shared" si="14"/>
        <v>mailto: soilterrain@victoria1.gov.bc.ca</v>
      </c>
    </row>
    <row r="721" spans="1:34">
      <c r="A721" t="s">
        <v>1713</v>
      </c>
      <c r="B721" t="s">
        <v>56</v>
      </c>
      <c r="C721" s="10" t="s">
        <v>465</v>
      </c>
      <c r="D721" t="s">
        <v>58</v>
      </c>
      <c r="E721" t="s">
        <v>497</v>
      </c>
      <c r="F721" t="s">
        <v>1714</v>
      </c>
      <c r="G721">
        <v>50000</v>
      </c>
      <c r="H721">
        <v>1974</v>
      </c>
      <c r="I721" t="s">
        <v>58</v>
      </c>
      <c r="J721" t="s">
        <v>58</v>
      </c>
      <c r="K721" t="s">
        <v>58</v>
      </c>
      <c r="L721" t="s">
        <v>58</v>
      </c>
      <c r="M721" t="s">
        <v>58</v>
      </c>
      <c r="N721" t="s">
        <v>61</v>
      </c>
      <c r="Q721" t="s">
        <v>58</v>
      </c>
      <c r="R721" s="11" t="str">
        <f>HYPERLINK("\\imagefiles.bcgov\imagery\scanned_maps\moe_terrain_maps\Scanned_T_maps_all\C06\C06-2661","\\imagefiles.bcgov\imagery\scanned_maps\moe_terrain_maps\Scanned_T_maps_all\C06\C06-2661")</f>
        <v>\\imagefiles.bcgov\imagery\scanned_maps\moe_terrain_maps\Scanned_T_maps_all\C06\C06-2661</v>
      </c>
      <c r="S721" t="s">
        <v>62</v>
      </c>
      <c r="T721" s="11" t="str">
        <f>HYPERLINK("http://www.env.gov.bc.ca/esd/distdata/ecosystems/TEI_Scanned_Maps/C06/C06-2661","http://www.env.gov.bc.ca/esd/distdata/ecosystems/TEI_Scanned_Maps/C06/C06-2661")</f>
        <v>http://www.env.gov.bc.ca/esd/distdata/ecosystems/TEI_Scanned_Maps/C06/C06-2661</v>
      </c>
      <c r="U721" t="s">
        <v>58</v>
      </c>
      <c r="V721" t="s">
        <v>58</v>
      </c>
      <c r="W721" t="s">
        <v>58</v>
      </c>
      <c r="X721" t="s">
        <v>58</v>
      </c>
      <c r="Y721" t="s">
        <v>58</v>
      </c>
      <c r="Z721" t="s">
        <v>58</v>
      </c>
      <c r="AA721" t="s">
        <v>58</v>
      </c>
      <c r="AC721" t="s">
        <v>58</v>
      </c>
      <c r="AE721" t="s">
        <v>58</v>
      </c>
      <c r="AG721" t="s">
        <v>63</v>
      </c>
      <c r="AH721" s="11" t="str">
        <f t="shared" si="14"/>
        <v>mailto: soilterrain@victoria1.gov.bc.ca</v>
      </c>
    </row>
    <row r="722" spans="1:34">
      <c r="A722" t="s">
        <v>1715</v>
      </c>
      <c r="B722" t="s">
        <v>56</v>
      </c>
      <c r="C722" s="10" t="s">
        <v>1716</v>
      </c>
      <c r="D722" t="s">
        <v>58</v>
      </c>
      <c r="E722" t="s">
        <v>497</v>
      </c>
      <c r="F722" t="s">
        <v>1717</v>
      </c>
      <c r="G722">
        <v>50000</v>
      </c>
      <c r="H722">
        <v>1972</v>
      </c>
      <c r="I722" t="s">
        <v>58</v>
      </c>
      <c r="J722" t="s">
        <v>58</v>
      </c>
      <c r="K722" t="s">
        <v>58</v>
      </c>
      <c r="L722" t="s">
        <v>58</v>
      </c>
      <c r="M722" t="s">
        <v>58</v>
      </c>
      <c r="N722" t="s">
        <v>61</v>
      </c>
      <c r="Q722" t="s">
        <v>58</v>
      </c>
      <c r="R722" s="11" t="str">
        <f>HYPERLINK("\\imagefiles.bcgov\imagery\scanned_maps\moe_terrain_maps\Scanned_T_maps_all\C06\C06-2664","\\imagefiles.bcgov\imagery\scanned_maps\moe_terrain_maps\Scanned_T_maps_all\C06\C06-2664")</f>
        <v>\\imagefiles.bcgov\imagery\scanned_maps\moe_terrain_maps\Scanned_T_maps_all\C06\C06-2664</v>
      </c>
      <c r="S722" t="s">
        <v>62</v>
      </c>
      <c r="T722" s="11" t="str">
        <f>HYPERLINK("http://www.env.gov.bc.ca/esd/distdata/ecosystems/TEI_Scanned_Maps/C06/C06-2664","http://www.env.gov.bc.ca/esd/distdata/ecosystems/TEI_Scanned_Maps/C06/C06-2664")</f>
        <v>http://www.env.gov.bc.ca/esd/distdata/ecosystems/TEI_Scanned_Maps/C06/C06-2664</v>
      </c>
      <c r="U722" t="s">
        <v>58</v>
      </c>
      <c r="V722" t="s">
        <v>58</v>
      </c>
      <c r="W722" t="s">
        <v>58</v>
      </c>
      <c r="X722" t="s">
        <v>58</v>
      </c>
      <c r="Y722" t="s">
        <v>58</v>
      </c>
      <c r="Z722" t="s">
        <v>58</v>
      </c>
      <c r="AA722" t="s">
        <v>58</v>
      </c>
      <c r="AC722" t="s">
        <v>58</v>
      </c>
      <c r="AE722" t="s">
        <v>58</v>
      </c>
      <c r="AG722" t="s">
        <v>63</v>
      </c>
      <c r="AH722" s="11" t="str">
        <f t="shared" si="14"/>
        <v>mailto: soilterrain@victoria1.gov.bc.ca</v>
      </c>
    </row>
    <row r="723" spans="1:34">
      <c r="A723" t="s">
        <v>1718</v>
      </c>
      <c r="B723" t="s">
        <v>56</v>
      </c>
      <c r="C723" s="10" t="s">
        <v>1719</v>
      </c>
      <c r="D723" t="s">
        <v>58</v>
      </c>
      <c r="E723" t="s">
        <v>497</v>
      </c>
      <c r="F723" t="s">
        <v>1720</v>
      </c>
      <c r="G723">
        <v>50000</v>
      </c>
      <c r="H723">
        <v>1977</v>
      </c>
      <c r="I723" t="s">
        <v>58</v>
      </c>
      <c r="J723" t="s">
        <v>58</v>
      </c>
      <c r="K723" t="s">
        <v>58</v>
      </c>
      <c r="L723" t="s">
        <v>58</v>
      </c>
      <c r="M723" t="s">
        <v>58</v>
      </c>
      <c r="N723" t="s">
        <v>61</v>
      </c>
      <c r="Q723" t="s">
        <v>58</v>
      </c>
      <c r="R723" s="11" t="str">
        <f>HYPERLINK("\\imagefiles.bcgov\imagery\scanned_maps\moe_terrain_maps\Scanned_T_maps_all\C06\C06-2666","\\imagefiles.bcgov\imagery\scanned_maps\moe_terrain_maps\Scanned_T_maps_all\C06\C06-2666")</f>
        <v>\\imagefiles.bcgov\imagery\scanned_maps\moe_terrain_maps\Scanned_T_maps_all\C06\C06-2666</v>
      </c>
      <c r="S723" t="s">
        <v>62</v>
      </c>
      <c r="T723" s="11" t="str">
        <f>HYPERLINK("http://www.env.gov.bc.ca/esd/distdata/ecosystems/TEI_Scanned_Maps/C06/C06-2666","http://www.env.gov.bc.ca/esd/distdata/ecosystems/TEI_Scanned_Maps/C06/C06-2666")</f>
        <v>http://www.env.gov.bc.ca/esd/distdata/ecosystems/TEI_Scanned_Maps/C06/C06-2666</v>
      </c>
      <c r="U723" t="s">
        <v>58</v>
      </c>
      <c r="V723" t="s">
        <v>58</v>
      </c>
      <c r="W723" t="s">
        <v>58</v>
      </c>
      <c r="X723" t="s">
        <v>58</v>
      </c>
      <c r="Y723" t="s">
        <v>58</v>
      </c>
      <c r="Z723" t="s">
        <v>58</v>
      </c>
      <c r="AA723" t="s">
        <v>58</v>
      </c>
      <c r="AC723" t="s">
        <v>58</v>
      </c>
      <c r="AE723" t="s">
        <v>58</v>
      </c>
      <c r="AG723" t="s">
        <v>63</v>
      </c>
      <c r="AH723" s="11" t="str">
        <f t="shared" si="14"/>
        <v>mailto: soilterrain@victoria1.gov.bc.ca</v>
      </c>
    </row>
    <row r="724" spans="1:34">
      <c r="A724" t="s">
        <v>1721</v>
      </c>
      <c r="B724" t="s">
        <v>56</v>
      </c>
      <c r="C724" s="10" t="s">
        <v>957</v>
      </c>
      <c r="D724" t="s">
        <v>58</v>
      </c>
      <c r="E724" t="s">
        <v>497</v>
      </c>
      <c r="F724" t="s">
        <v>1722</v>
      </c>
      <c r="G724">
        <v>50000</v>
      </c>
      <c r="H724">
        <v>1977</v>
      </c>
      <c r="I724" t="s">
        <v>58</v>
      </c>
      <c r="J724" t="s">
        <v>58</v>
      </c>
      <c r="K724" t="s">
        <v>58</v>
      </c>
      <c r="L724" t="s">
        <v>58</v>
      </c>
      <c r="M724" t="s">
        <v>58</v>
      </c>
      <c r="N724" t="s">
        <v>61</v>
      </c>
      <c r="Q724" t="s">
        <v>58</v>
      </c>
      <c r="R724" s="11" t="str">
        <f>HYPERLINK("\\imagefiles.bcgov\imagery\scanned_maps\moe_terrain_maps\Scanned_T_maps_all\C06\C06-2668","\\imagefiles.bcgov\imagery\scanned_maps\moe_terrain_maps\Scanned_T_maps_all\C06\C06-2668")</f>
        <v>\\imagefiles.bcgov\imagery\scanned_maps\moe_terrain_maps\Scanned_T_maps_all\C06\C06-2668</v>
      </c>
      <c r="S724" t="s">
        <v>62</v>
      </c>
      <c r="T724" s="11" t="str">
        <f>HYPERLINK("http://www.env.gov.bc.ca/esd/distdata/ecosystems/TEI_Scanned_Maps/C06/C06-2668","http://www.env.gov.bc.ca/esd/distdata/ecosystems/TEI_Scanned_Maps/C06/C06-2668")</f>
        <v>http://www.env.gov.bc.ca/esd/distdata/ecosystems/TEI_Scanned_Maps/C06/C06-2668</v>
      </c>
      <c r="U724" t="s">
        <v>58</v>
      </c>
      <c r="V724" t="s">
        <v>58</v>
      </c>
      <c r="W724" t="s">
        <v>58</v>
      </c>
      <c r="X724" t="s">
        <v>58</v>
      </c>
      <c r="Y724" t="s">
        <v>58</v>
      </c>
      <c r="Z724" t="s">
        <v>58</v>
      </c>
      <c r="AA724" t="s">
        <v>58</v>
      </c>
      <c r="AC724" t="s">
        <v>58</v>
      </c>
      <c r="AE724" t="s">
        <v>58</v>
      </c>
      <c r="AG724" t="s">
        <v>63</v>
      </c>
      <c r="AH724" s="11" t="str">
        <f t="shared" si="14"/>
        <v>mailto: soilterrain@victoria1.gov.bc.ca</v>
      </c>
    </row>
    <row r="725" spans="1:34">
      <c r="A725" t="s">
        <v>1723</v>
      </c>
      <c r="B725" t="s">
        <v>56</v>
      </c>
      <c r="C725" s="10" t="s">
        <v>960</v>
      </c>
      <c r="D725" t="s">
        <v>58</v>
      </c>
      <c r="E725" t="s">
        <v>497</v>
      </c>
      <c r="F725" t="s">
        <v>1724</v>
      </c>
      <c r="G725">
        <v>50000</v>
      </c>
      <c r="H725">
        <v>1977</v>
      </c>
      <c r="I725" t="s">
        <v>58</v>
      </c>
      <c r="J725" t="s">
        <v>58</v>
      </c>
      <c r="K725" t="s">
        <v>58</v>
      </c>
      <c r="L725" t="s">
        <v>58</v>
      </c>
      <c r="M725" t="s">
        <v>58</v>
      </c>
      <c r="N725" t="s">
        <v>61</v>
      </c>
      <c r="Q725" t="s">
        <v>58</v>
      </c>
      <c r="R725" s="11" t="str">
        <f>HYPERLINK("\\imagefiles.bcgov\imagery\scanned_maps\moe_terrain_maps\Scanned_T_maps_all\C06\C06-2670","\\imagefiles.bcgov\imagery\scanned_maps\moe_terrain_maps\Scanned_T_maps_all\C06\C06-2670")</f>
        <v>\\imagefiles.bcgov\imagery\scanned_maps\moe_terrain_maps\Scanned_T_maps_all\C06\C06-2670</v>
      </c>
      <c r="S725" t="s">
        <v>62</v>
      </c>
      <c r="T725" s="11" t="str">
        <f>HYPERLINK("http://www.env.gov.bc.ca/esd/distdata/ecosystems/TEI_Scanned_Maps/C06/C06-2670","http://www.env.gov.bc.ca/esd/distdata/ecosystems/TEI_Scanned_Maps/C06/C06-2670")</f>
        <v>http://www.env.gov.bc.ca/esd/distdata/ecosystems/TEI_Scanned_Maps/C06/C06-2670</v>
      </c>
      <c r="U725" t="s">
        <v>58</v>
      </c>
      <c r="V725" t="s">
        <v>58</v>
      </c>
      <c r="W725" t="s">
        <v>58</v>
      </c>
      <c r="X725" t="s">
        <v>58</v>
      </c>
      <c r="Y725" t="s">
        <v>58</v>
      </c>
      <c r="Z725" t="s">
        <v>58</v>
      </c>
      <c r="AA725" t="s">
        <v>58</v>
      </c>
      <c r="AC725" t="s">
        <v>58</v>
      </c>
      <c r="AE725" t="s">
        <v>58</v>
      </c>
      <c r="AG725" t="s">
        <v>63</v>
      </c>
      <c r="AH725" s="11" t="str">
        <f t="shared" si="14"/>
        <v>mailto: soilterrain@victoria1.gov.bc.ca</v>
      </c>
    </row>
    <row r="726" spans="1:34">
      <c r="A726" t="s">
        <v>1725</v>
      </c>
      <c r="B726" t="s">
        <v>56</v>
      </c>
      <c r="C726" s="10" t="s">
        <v>1726</v>
      </c>
      <c r="D726" t="s">
        <v>58</v>
      </c>
      <c r="E726" t="s">
        <v>497</v>
      </c>
      <c r="F726" t="s">
        <v>1727</v>
      </c>
      <c r="G726">
        <v>50000</v>
      </c>
      <c r="H726">
        <v>1979</v>
      </c>
      <c r="I726" t="s">
        <v>58</v>
      </c>
      <c r="J726" t="s">
        <v>58</v>
      </c>
      <c r="K726" t="s">
        <v>58</v>
      </c>
      <c r="L726" t="s">
        <v>58</v>
      </c>
      <c r="M726" t="s">
        <v>58</v>
      </c>
      <c r="N726" t="s">
        <v>61</v>
      </c>
      <c r="Q726" t="s">
        <v>58</v>
      </c>
      <c r="R726" s="11" t="str">
        <f>HYPERLINK("\\imagefiles.bcgov\imagery\scanned_maps\moe_terrain_maps\Scanned_T_maps_all\C06\C06-2693","\\imagefiles.bcgov\imagery\scanned_maps\moe_terrain_maps\Scanned_T_maps_all\C06\C06-2693")</f>
        <v>\\imagefiles.bcgov\imagery\scanned_maps\moe_terrain_maps\Scanned_T_maps_all\C06\C06-2693</v>
      </c>
      <c r="S726" t="s">
        <v>62</v>
      </c>
      <c r="T726" s="11" t="str">
        <f>HYPERLINK("http://www.env.gov.bc.ca/esd/distdata/ecosystems/TEI_Scanned_Maps/C06/C06-2693","http://www.env.gov.bc.ca/esd/distdata/ecosystems/TEI_Scanned_Maps/C06/C06-2693")</f>
        <v>http://www.env.gov.bc.ca/esd/distdata/ecosystems/TEI_Scanned_Maps/C06/C06-2693</v>
      </c>
      <c r="U726" t="s">
        <v>58</v>
      </c>
      <c r="V726" t="s">
        <v>58</v>
      </c>
      <c r="W726" t="s">
        <v>58</v>
      </c>
      <c r="X726" t="s">
        <v>58</v>
      </c>
      <c r="Y726" t="s">
        <v>58</v>
      </c>
      <c r="Z726" t="s">
        <v>58</v>
      </c>
      <c r="AA726" t="s">
        <v>58</v>
      </c>
      <c r="AC726" t="s">
        <v>58</v>
      </c>
      <c r="AE726" t="s">
        <v>58</v>
      </c>
      <c r="AG726" t="s">
        <v>63</v>
      </c>
      <c r="AH726" s="11" t="str">
        <f t="shared" si="14"/>
        <v>mailto: soilterrain@victoria1.gov.bc.ca</v>
      </c>
    </row>
    <row r="727" spans="1:34">
      <c r="A727" t="s">
        <v>1728</v>
      </c>
      <c r="B727" t="s">
        <v>56</v>
      </c>
      <c r="C727" s="10" t="s">
        <v>1729</v>
      </c>
      <c r="D727" t="s">
        <v>58</v>
      </c>
      <c r="E727" t="s">
        <v>497</v>
      </c>
      <c r="F727" t="s">
        <v>1730</v>
      </c>
      <c r="G727">
        <v>50000</v>
      </c>
      <c r="H727">
        <v>1979</v>
      </c>
      <c r="I727" t="s">
        <v>58</v>
      </c>
      <c r="J727" t="s">
        <v>58</v>
      </c>
      <c r="K727" t="s">
        <v>58</v>
      </c>
      <c r="L727" t="s">
        <v>58</v>
      </c>
      <c r="M727" t="s">
        <v>58</v>
      </c>
      <c r="N727" t="s">
        <v>61</v>
      </c>
      <c r="Q727" t="s">
        <v>58</v>
      </c>
      <c r="R727" s="11" t="str">
        <f>HYPERLINK("\\imagefiles.bcgov\imagery\scanned_maps\moe_terrain_maps\Scanned_T_maps_all\C06\C06-2695","\\imagefiles.bcgov\imagery\scanned_maps\moe_terrain_maps\Scanned_T_maps_all\C06\C06-2695")</f>
        <v>\\imagefiles.bcgov\imagery\scanned_maps\moe_terrain_maps\Scanned_T_maps_all\C06\C06-2695</v>
      </c>
      <c r="S727" t="s">
        <v>62</v>
      </c>
      <c r="T727" s="11" t="str">
        <f>HYPERLINK("http://www.env.gov.bc.ca/esd/distdata/ecosystems/TEI_Scanned_Maps/C06/C06-2695","http://www.env.gov.bc.ca/esd/distdata/ecosystems/TEI_Scanned_Maps/C06/C06-2695")</f>
        <v>http://www.env.gov.bc.ca/esd/distdata/ecosystems/TEI_Scanned_Maps/C06/C06-2695</v>
      </c>
      <c r="U727" t="s">
        <v>58</v>
      </c>
      <c r="V727" t="s">
        <v>58</v>
      </c>
      <c r="W727" t="s">
        <v>58</v>
      </c>
      <c r="X727" t="s">
        <v>58</v>
      </c>
      <c r="Y727" t="s">
        <v>58</v>
      </c>
      <c r="Z727" t="s">
        <v>58</v>
      </c>
      <c r="AA727" t="s">
        <v>58</v>
      </c>
      <c r="AC727" t="s">
        <v>58</v>
      </c>
      <c r="AE727" t="s">
        <v>58</v>
      </c>
      <c r="AG727" t="s">
        <v>63</v>
      </c>
      <c r="AH727" s="11" t="str">
        <f t="shared" si="14"/>
        <v>mailto: soilterrain@victoria1.gov.bc.ca</v>
      </c>
    </row>
    <row r="728" spans="1:34">
      <c r="A728" t="s">
        <v>1731</v>
      </c>
      <c r="B728" t="s">
        <v>56</v>
      </c>
      <c r="C728" s="10" t="s">
        <v>1732</v>
      </c>
      <c r="D728" t="s">
        <v>58</v>
      </c>
      <c r="E728" t="s">
        <v>497</v>
      </c>
      <c r="F728" t="s">
        <v>1733</v>
      </c>
      <c r="G728">
        <v>50000</v>
      </c>
      <c r="H728">
        <v>1979</v>
      </c>
      <c r="I728" t="s">
        <v>58</v>
      </c>
      <c r="J728" t="s">
        <v>58</v>
      </c>
      <c r="K728" t="s">
        <v>58</v>
      </c>
      <c r="L728" t="s">
        <v>58</v>
      </c>
      <c r="M728" t="s">
        <v>58</v>
      </c>
      <c r="N728" t="s">
        <v>61</v>
      </c>
      <c r="Q728" t="s">
        <v>58</v>
      </c>
      <c r="R728" s="11" t="str">
        <f>HYPERLINK("\\imagefiles.bcgov\imagery\scanned_maps\moe_terrain_maps\Scanned_T_maps_all\C06\C06-2697","\\imagefiles.bcgov\imagery\scanned_maps\moe_terrain_maps\Scanned_T_maps_all\C06\C06-2697")</f>
        <v>\\imagefiles.bcgov\imagery\scanned_maps\moe_terrain_maps\Scanned_T_maps_all\C06\C06-2697</v>
      </c>
      <c r="S728" t="s">
        <v>62</v>
      </c>
      <c r="T728" s="11" t="str">
        <f>HYPERLINK("http://www.env.gov.bc.ca/esd/distdata/ecosystems/TEI_Scanned_Maps/C06/C06-2697","http://www.env.gov.bc.ca/esd/distdata/ecosystems/TEI_Scanned_Maps/C06/C06-2697")</f>
        <v>http://www.env.gov.bc.ca/esd/distdata/ecosystems/TEI_Scanned_Maps/C06/C06-2697</v>
      </c>
      <c r="U728" t="s">
        <v>58</v>
      </c>
      <c r="V728" t="s">
        <v>58</v>
      </c>
      <c r="W728" t="s">
        <v>58</v>
      </c>
      <c r="X728" t="s">
        <v>58</v>
      </c>
      <c r="Y728" t="s">
        <v>58</v>
      </c>
      <c r="Z728" t="s">
        <v>58</v>
      </c>
      <c r="AA728" t="s">
        <v>58</v>
      </c>
      <c r="AC728" t="s">
        <v>58</v>
      </c>
      <c r="AE728" t="s">
        <v>58</v>
      </c>
      <c r="AG728" t="s">
        <v>63</v>
      </c>
      <c r="AH728" s="11" t="str">
        <f t="shared" si="14"/>
        <v>mailto: soilterrain@victoria1.gov.bc.ca</v>
      </c>
    </row>
    <row r="729" spans="1:34">
      <c r="A729" t="s">
        <v>1734</v>
      </c>
      <c r="B729" t="s">
        <v>56</v>
      </c>
      <c r="C729" s="10" t="s">
        <v>1735</v>
      </c>
      <c r="D729" t="s">
        <v>58</v>
      </c>
      <c r="E729" t="s">
        <v>497</v>
      </c>
      <c r="F729" t="s">
        <v>1736</v>
      </c>
      <c r="G729">
        <v>50000</v>
      </c>
      <c r="H729">
        <v>1979</v>
      </c>
      <c r="I729" t="s">
        <v>58</v>
      </c>
      <c r="J729" t="s">
        <v>58</v>
      </c>
      <c r="K729" t="s">
        <v>58</v>
      </c>
      <c r="L729" t="s">
        <v>58</v>
      </c>
      <c r="M729" t="s">
        <v>58</v>
      </c>
      <c r="N729" t="s">
        <v>61</v>
      </c>
      <c r="Q729" t="s">
        <v>58</v>
      </c>
      <c r="R729" s="11" t="str">
        <f>HYPERLINK("\\imagefiles.bcgov\imagery\scanned_maps\moe_terrain_maps\Scanned_T_maps_all\C06\C06-2699","\\imagefiles.bcgov\imagery\scanned_maps\moe_terrain_maps\Scanned_T_maps_all\C06\C06-2699")</f>
        <v>\\imagefiles.bcgov\imagery\scanned_maps\moe_terrain_maps\Scanned_T_maps_all\C06\C06-2699</v>
      </c>
      <c r="S729" t="s">
        <v>62</v>
      </c>
      <c r="T729" s="11" t="str">
        <f>HYPERLINK("http://www.env.gov.bc.ca/esd/distdata/ecosystems/TEI_Scanned_Maps/C06/C06-2699","http://www.env.gov.bc.ca/esd/distdata/ecosystems/TEI_Scanned_Maps/C06/C06-2699")</f>
        <v>http://www.env.gov.bc.ca/esd/distdata/ecosystems/TEI_Scanned_Maps/C06/C06-2699</v>
      </c>
      <c r="U729" t="s">
        <v>58</v>
      </c>
      <c r="V729" t="s">
        <v>58</v>
      </c>
      <c r="W729" t="s">
        <v>58</v>
      </c>
      <c r="X729" t="s">
        <v>58</v>
      </c>
      <c r="Y729" t="s">
        <v>58</v>
      </c>
      <c r="Z729" t="s">
        <v>58</v>
      </c>
      <c r="AA729" t="s">
        <v>58</v>
      </c>
      <c r="AC729" t="s">
        <v>58</v>
      </c>
      <c r="AE729" t="s">
        <v>58</v>
      </c>
      <c r="AG729" t="s">
        <v>63</v>
      </c>
      <c r="AH729" s="11" t="str">
        <f t="shared" si="14"/>
        <v>mailto: soilterrain@victoria1.gov.bc.ca</v>
      </c>
    </row>
    <row r="730" spans="1:34">
      <c r="A730" t="s">
        <v>1737</v>
      </c>
      <c r="B730" t="s">
        <v>56</v>
      </c>
      <c r="C730" s="10" t="s">
        <v>1738</v>
      </c>
      <c r="D730" t="s">
        <v>58</v>
      </c>
      <c r="E730" t="s">
        <v>497</v>
      </c>
      <c r="F730" t="s">
        <v>1739</v>
      </c>
      <c r="G730">
        <v>50000</v>
      </c>
      <c r="H730">
        <v>1979</v>
      </c>
      <c r="I730" t="s">
        <v>58</v>
      </c>
      <c r="J730" t="s">
        <v>58</v>
      </c>
      <c r="K730" t="s">
        <v>58</v>
      </c>
      <c r="L730" t="s">
        <v>58</v>
      </c>
      <c r="M730" t="s">
        <v>58</v>
      </c>
      <c r="N730" t="s">
        <v>61</v>
      </c>
      <c r="Q730" t="s">
        <v>58</v>
      </c>
      <c r="R730" s="11" t="str">
        <f>HYPERLINK("\\imagefiles.bcgov\imagery\scanned_maps\moe_terrain_maps\Scanned_T_maps_all\C06\C06-27","\\imagefiles.bcgov\imagery\scanned_maps\moe_terrain_maps\Scanned_T_maps_all\C06\C06-27")</f>
        <v>\\imagefiles.bcgov\imagery\scanned_maps\moe_terrain_maps\Scanned_T_maps_all\C06\C06-27</v>
      </c>
      <c r="S730" t="s">
        <v>62</v>
      </c>
      <c r="T730" s="11" t="str">
        <f>HYPERLINK("http://www.env.gov.bc.ca/esd/distdata/ecosystems/TEI_Scanned_Maps/C06/C06-27","http://www.env.gov.bc.ca/esd/distdata/ecosystems/TEI_Scanned_Maps/C06/C06-27")</f>
        <v>http://www.env.gov.bc.ca/esd/distdata/ecosystems/TEI_Scanned_Maps/C06/C06-27</v>
      </c>
      <c r="U730" t="s">
        <v>58</v>
      </c>
      <c r="V730" t="s">
        <v>58</v>
      </c>
      <c r="W730" t="s">
        <v>58</v>
      </c>
      <c r="X730" t="s">
        <v>58</v>
      </c>
      <c r="Y730" t="s">
        <v>58</v>
      </c>
      <c r="Z730" t="s">
        <v>58</v>
      </c>
      <c r="AA730" t="s">
        <v>58</v>
      </c>
      <c r="AC730" t="s">
        <v>58</v>
      </c>
      <c r="AE730" t="s">
        <v>58</v>
      </c>
      <c r="AG730" t="s">
        <v>63</v>
      </c>
      <c r="AH730" s="11" t="str">
        <f t="shared" si="14"/>
        <v>mailto: soilterrain@victoria1.gov.bc.ca</v>
      </c>
    </row>
    <row r="731" spans="1:34">
      <c r="A731" t="s">
        <v>1740</v>
      </c>
      <c r="B731" t="s">
        <v>56</v>
      </c>
      <c r="C731" s="10" t="s">
        <v>1741</v>
      </c>
      <c r="D731" t="s">
        <v>58</v>
      </c>
      <c r="E731" t="s">
        <v>497</v>
      </c>
      <c r="F731" t="s">
        <v>1742</v>
      </c>
      <c r="G731">
        <v>50000</v>
      </c>
      <c r="H731">
        <v>1979</v>
      </c>
      <c r="I731" t="s">
        <v>58</v>
      </c>
      <c r="J731" t="s">
        <v>58</v>
      </c>
      <c r="K731" t="s">
        <v>58</v>
      </c>
      <c r="L731" t="s">
        <v>58</v>
      </c>
      <c r="M731" t="s">
        <v>58</v>
      </c>
      <c r="N731" t="s">
        <v>61</v>
      </c>
      <c r="Q731" t="s">
        <v>58</v>
      </c>
      <c r="R731" s="11" t="str">
        <f>HYPERLINK("\\imagefiles.bcgov\imagery\scanned_maps\moe_terrain_maps\Scanned_T_maps_all\C06\C06-2701","\\imagefiles.bcgov\imagery\scanned_maps\moe_terrain_maps\Scanned_T_maps_all\C06\C06-2701")</f>
        <v>\\imagefiles.bcgov\imagery\scanned_maps\moe_terrain_maps\Scanned_T_maps_all\C06\C06-2701</v>
      </c>
      <c r="S731" t="s">
        <v>62</v>
      </c>
      <c r="T731" s="11" t="str">
        <f>HYPERLINK("http://www.env.gov.bc.ca/esd/distdata/ecosystems/TEI_Scanned_Maps/C06/C06-2701","http://www.env.gov.bc.ca/esd/distdata/ecosystems/TEI_Scanned_Maps/C06/C06-2701")</f>
        <v>http://www.env.gov.bc.ca/esd/distdata/ecosystems/TEI_Scanned_Maps/C06/C06-2701</v>
      </c>
      <c r="U731" t="s">
        <v>58</v>
      </c>
      <c r="V731" t="s">
        <v>58</v>
      </c>
      <c r="W731" t="s">
        <v>58</v>
      </c>
      <c r="X731" t="s">
        <v>58</v>
      </c>
      <c r="Y731" t="s">
        <v>58</v>
      </c>
      <c r="Z731" t="s">
        <v>58</v>
      </c>
      <c r="AA731" t="s">
        <v>58</v>
      </c>
      <c r="AC731" t="s">
        <v>58</v>
      </c>
      <c r="AE731" t="s">
        <v>58</v>
      </c>
      <c r="AG731" t="s">
        <v>63</v>
      </c>
      <c r="AH731" s="11" t="str">
        <f t="shared" si="14"/>
        <v>mailto: soilterrain@victoria1.gov.bc.ca</v>
      </c>
    </row>
    <row r="732" spans="1:34">
      <c r="A732" t="s">
        <v>1743</v>
      </c>
      <c r="B732" t="s">
        <v>56</v>
      </c>
      <c r="C732" s="10" t="s">
        <v>1744</v>
      </c>
      <c r="D732" t="s">
        <v>58</v>
      </c>
      <c r="E732" t="s">
        <v>497</v>
      </c>
      <c r="F732" t="s">
        <v>1745</v>
      </c>
      <c r="G732">
        <v>50000</v>
      </c>
      <c r="H732">
        <v>1979</v>
      </c>
      <c r="I732" t="s">
        <v>58</v>
      </c>
      <c r="J732" t="s">
        <v>58</v>
      </c>
      <c r="K732" t="s">
        <v>58</v>
      </c>
      <c r="L732" t="s">
        <v>58</v>
      </c>
      <c r="M732" t="s">
        <v>58</v>
      </c>
      <c r="N732" t="s">
        <v>61</v>
      </c>
      <c r="Q732" t="s">
        <v>58</v>
      </c>
      <c r="R732" s="11" t="str">
        <f>HYPERLINK("\\imagefiles.bcgov\imagery\scanned_maps\moe_terrain_maps\Scanned_T_maps_all\C06\C06-2703","\\imagefiles.bcgov\imagery\scanned_maps\moe_terrain_maps\Scanned_T_maps_all\C06\C06-2703")</f>
        <v>\\imagefiles.bcgov\imagery\scanned_maps\moe_terrain_maps\Scanned_T_maps_all\C06\C06-2703</v>
      </c>
      <c r="S732" t="s">
        <v>62</v>
      </c>
      <c r="T732" s="11" t="str">
        <f>HYPERLINK("http://www.env.gov.bc.ca/esd/distdata/ecosystems/TEI_Scanned_Maps/C06/C06-2703","http://www.env.gov.bc.ca/esd/distdata/ecosystems/TEI_Scanned_Maps/C06/C06-2703")</f>
        <v>http://www.env.gov.bc.ca/esd/distdata/ecosystems/TEI_Scanned_Maps/C06/C06-2703</v>
      </c>
      <c r="U732" t="s">
        <v>58</v>
      </c>
      <c r="V732" t="s">
        <v>58</v>
      </c>
      <c r="W732" t="s">
        <v>58</v>
      </c>
      <c r="X732" t="s">
        <v>58</v>
      </c>
      <c r="Y732" t="s">
        <v>58</v>
      </c>
      <c r="Z732" t="s">
        <v>58</v>
      </c>
      <c r="AA732" t="s">
        <v>58</v>
      </c>
      <c r="AC732" t="s">
        <v>58</v>
      </c>
      <c r="AE732" t="s">
        <v>58</v>
      </c>
      <c r="AG732" t="s">
        <v>63</v>
      </c>
      <c r="AH732" s="11" t="str">
        <f t="shared" si="14"/>
        <v>mailto: soilterrain@victoria1.gov.bc.ca</v>
      </c>
    </row>
    <row r="733" spans="1:34">
      <c r="A733" t="s">
        <v>1746</v>
      </c>
      <c r="B733" t="s">
        <v>56</v>
      </c>
      <c r="C733" s="10" t="s">
        <v>1747</v>
      </c>
      <c r="D733" t="s">
        <v>58</v>
      </c>
      <c r="E733" t="s">
        <v>497</v>
      </c>
      <c r="F733" t="s">
        <v>1748</v>
      </c>
      <c r="G733">
        <v>50000</v>
      </c>
      <c r="H733">
        <v>1979</v>
      </c>
      <c r="I733" t="s">
        <v>58</v>
      </c>
      <c r="J733" t="s">
        <v>58</v>
      </c>
      <c r="K733" t="s">
        <v>58</v>
      </c>
      <c r="L733" t="s">
        <v>58</v>
      </c>
      <c r="M733" t="s">
        <v>58</v>
      </c>
      <c r="N733" t="s">
        <v>61</v>
      </c>
      <c r="Q733" t="s">
        <v>58</v>
      </c>
      <c r="R733" s="11" t="str">
        <f>HYPERLINK("\\imagefiles.bcgov\imagery\scanned_maps\moe_terrain_maps\Scanned_T_maps_all\C06\C06-2705","\\imagefiles.bcgov\imagery\scanned_maps\moe_terrain_maps\Scanned_T_maps_all\C06\C06-2705")</f>
        <v>\\imagefiles.bcgov\imagery\scanned_maps\moe_terrain_maps\Scanned_T_maps_all\C06\C06-2705</v>
      </c>
      <c r="S733" t="s">
        <v>62</v>
      </c>
      <c r="T733" s="11" t="str">
        <f>HYPERLINK("http://www.env.gov.bc.ca/esd/distdata/ecosystems/TEI_Scanned_Maps/C06/C06-2705","http://www.env.gov.bc.ca/esd/distdata/ecosystems/TEI_Scanned_Maps/C06/C06-2705")</f>
        <v>http://www.env.gov.bc.ca/esd/distdata/ecosystems/TEI_Scanned_Maps/C06/C06-2705</v>
      </c>
      <c r="U733" t="s">
        <v>58</v>
      </c>
      <c r="V733" t="s">
        <v>58</v>
      </c>
      <c r="W733" t="s">
        <v>58</v>
      </c>
      <c r="X733" t="s">
        <v>58</v>
      </c>
      <c r="Y733" t="s">
        <v>58</v>
      </c>
      <c r="Z733" t="s">
        <v>58</v>
      </c>
      <c r="AA733" t="s">
        <v>58</v>
      </c>
      <c r="AC733" t="s">
        <v>58</v>
      </c>
      <c r="AE733" t="s">
        <v>58</v>
      </c>
      <c r="AG733" t="s">
        <v>63</v>
      </c>
      <c r="AH733" s="11" t="str">
        <f t="shared" si="14"/>
        <v>mailto: soilterrain@victoria1.gov.bc.ca</v>
      </c>
    </row>
    <row r="734" spans="1:34">
      <c r="A734" t="s">
        <v>1749</v>
      </c>
      <c r="B734" t="s">
        <v>56</v>
      </c>
      <c r="C734" s="10" t="s">
        <v>1750</v>
      </c>
      <c r="D734" t="s">
        <v>58</v>
      </c>
      <c r="E734" t="s">
        <v>497</v>
      </c>
      <c r="F734" t="s">
        <v>1751</v>
      </c>
      <c r="G734">
        <v>50000</v>
      </c>
      <c r="H734">
        <v>1979</v>
      </c>
      <c r="I734" t="s">
        <v>58</v>
      </c>
      <c r="J734" t="s">
        <v>58</v>
      </c>
      <c r="K734" t="s">
        <v>58</v>
      </c>
      <c r="L734" t="s">
        <v>58</v>
      </c>
      <c r="M734" t="s">
        <v>58</v>
      </c>
      <c r="N734" t="s">
        <v>61</v>
      </c>
      <c r="Q734" t="s">
        <v>58</v>
      </c>
      <c r="R734" s="11" t="str">
        <f>HYPERLINK("\\imagefiles.bcgov\imagery\scanned_maps\moe_terrain_maps\Scanned_T_maps_all\C06\C06-2707","\\imagefiles.bcgov\imagery\scanned_maps\moe_terrain_maps\Scanned_T_maps_all\C06\C06-2707")</f>
        <v>\\imagefiles.bcgov\imagery\scanned_maps\moe_terrain_maps\Scanned_T_maps_all\C06\C06-2707</v>
      </c>
      <c r="S734" t="s">
        <v>62</v>
      </c>
      <c r="T734" s="11" t="str">
        <f>HYPERLINK("http://www.env.gov.bc.ca/esd/distdata/ecosystems/TEI_Scanned_Maps/C06/C06-2707","http://www.env.gov.bc.ca/esd/distdata/ecosystems/TEI_Scanned_Maps/C06/C06-2707")</f>
        <v>http://www.env.gov.bc.ca/esd/distdata/ecosystems/TEI_Scanned_Maps/C06/C06-2707</v>
      </c>
      <c r="U734" t="s">
        <v>58</v>
      </c>
      <c r="V734" t="s">
        <v>58</v>
      </c>
      <c r="W734" t="s">
        <v>58</v>
      </c>
      <c r="X734" t="s">
        <v>58</v>
      </c>
      <c r="Y734" t="s">
        <v>58</v>
      </c>
      <c r="Z734" t="s">
        <v>58</v>
      </c>
      <c r="AA734" t="s">
        <v>58</v>
      </c>
      <c r="AC734" t="s">
        <v>58</v>
      </c>
      <c r="AE734" t="s">
        <v>58</v>
      </c>
      <c r="AG734" t="s">
        <v>63</v>
      </c>
      <c r="AH734" s="11" t="str">
        <f t="shared" si="14"/>
        <v>mailto: soilterrain@victoria1.gov.bc.ca</v>
      </c>
    </row>
    <row r="735" spans="1:34">
      <c r="A735" t="s">
        <v>1752</v>
      </c>
      <c r="B735" t="s">
        <v>56</v>
      </c>
      <c r="C735" s="10" t="s">
        <v>1753</v>
      </c>
      <c r="D735" t="s">
        <v>58</v>
      </c>
      <c r="E735" t="s">
        <v>497</v>
      </c>
      <c r="F735" t="s">
        <v>1754</v>
      </c>
      <c r="G735">
        <v>50000</v>
      </c>
      <c r="H735">
        <v>1979</v>
      </c>
      <c r="I735" t="s">
        <v>58</v>
      </c>
      <c r="J735" t="s">
        <v>58</v>
      </c>
      <c r="K735" t="s">
        <v>58</v>
      </c>
      <c r="L735" t="s">
        <v>58</v>
      </c>
      <c r="M735" t="s">
        <v>58</v>
      </c>
      <c r="N735" t="s">
        <v>61</v>
      </c>
      <c r="Q735" t="s">
        <v>58</v>
      </c>
      <c r="R735" s="11" t="str">
        <f>HYPERLINK("\\imagefiles.bcgov\imagery\scanned_maps\moe_terrain_maps\Scanned_T_maps_all\C06\C06-2709","\\imagefiles.bcgov\imagery\scanned_maps\moe_terrain_maps\Scanned_T_maps_all\C06\C06-2709")</f>
        <v>\\imagefiles.bcgov\imagery\scanned_maps\moe_terrain_maps\Scanned_T_maps_all\C06\C06-2709</v>
      </c>
      <c r="S735" t="s">
        <v>62</v>
      </c>
      <c r="T735" s="11" t="str">
        <f>HYPERLINK("http://www.env.gov.bc.ca/esd/distdata/ecosystems/TEI_Scanned_Maps/C06/C06-2709","http://www.env.gov.bc.ca/esd/distdata/ecosystems/TEI_Scanned_Maps/C06/C06-2709")</f>
        <v>http://www.env.gov.bc.ca/esd/distdata/ecosystems/TEI_Scanned_Maps/C06/C06-2709</v>
      </c>
      <c r="U735" t="s">
        <v>58</v>
      </c>
      <c r="V735" t="s">
        <v>58</v>
      </c>
      <c r="W735" t="s">
        <v>58</v>
      </c>
      <c r="X735" t="s">
        <v>58</v>
      </c>
      <c r="Y735" t="s">
        <v>58</v>
      </c>
      <c r="Z735" t="s">
        <v>58</v>
      </c>
      <c r="AA735" t="s">
        <v>58</v>
      </c>
      <c r="AC735" t="s">
        <v>58</v>
      </c>
      <c r="AE735" t="s">
        <v>58</v>
      </c>
      <c r="AG735" t="s">
        <v>63</v>
      </c>
      <c r="AH735" s="11" t="str">
        <f t="shared" si="14"/>
        <v>mailto: soilterrain@victoria1.gov.bc.ca</v>
      </c>
    </row>
    <row r="736" spans="1:34">
      <c r="A736" t="s">
        <v>1755</v>
      </c>
      <c r="B736" t="s">
        <v>56</v>
      </c>
      <c r="C736" s="10" t="s">
        <v>1756</v>
      </c>
      <c r="D736" t="s">
        <v>58</v>
      </c>
      <c r="E736" t="s">
        <v>497</v>
      </c>
      <c r="F736" t="s">
        <v>1757</v>
      </c>
      <c r="G736">
        <v>50000</v>
      </c>
      <c r="H736">
        <v>1979</v>
      </c>
      <c r="I736" t="s">
        <v>58</v>
      </c>
      <c r="J736" t="s">
        <v>58</v>
      </c>
      <c r="K736" t="s">
        <v>58</v>
      </c>
      <c r="L736" t="s">
        <v>58</v>
      </c>
      <c r="M736" t="s">
        <v>58</v>
      </c>
      <c r="N736" t="s">
        <v>61</v>
      </c>
      <c r="Q736" t="s">
        <v>58</v>
      </c>
      <c r="R736" s="11" t="str">
        <f>HYPERLINK("\\imagefiles.bcgov\imagery\scanned_maps\moe_terrain_maps\Scanned_T_maps_all\C06\C06-2710","\\imagefiles.bcgov\imagery\scanned_maps\moe_terrain_maps\Scanned_T_maps_all\C06\C06-2710")</f>
        <v>\\imagefiles.bcgov\imagery\scanned_maps\moe_terrain_maps\Scanned_T_maps_all\C06\C06-2710</v>
      </c>
      <c r="S736" t="s">
        <v>62</v>
      </c>
      <c r="T736" s="11" t="str">
        <f>HYPERLINK("http://www.env.gov.bc.ca/esd/distdata/ecosystems/TEI_Scanned_Maps/C06/C06-2710","http://www.env.gov.bc.ca/esd/distdata/ecosystems/TEI_Scanned_Maps/C06/C06-2710")</f>
        <v>http://www.env.gov.bc.ca/esd/distdata/ecosystems/TEI_Scanned_Maps/C06/C06-2710</v>
      </c>
      <c r="U736" t="s">
        <v>58</v>
      </c>
      <c r="V736" t="s">
        <v>58</v>
      </c>
      <c r="W736" t="s">
        <v>58</v>
      </c>
      <c r="X736" t="s">
        <v>58</v>
      </c>
      <c r="Y736" t="s">
        <v>58</v>
      </c>
      <c r="Z736" t="s">
        <v>58</v>
      </c>
      <c r="AA736" t="s">
        <v>58</v>
      </c>
      <c r="AC736" t="s">
        <v>58</v>
      </c>
      <c r="AE736" t="s">
        <v>58</v>
      </c>
      <c r="AG736" t="s">
        <v>63</v>
      </c>
      <c r="AH736" s="11" t="str">
        <f t="shared" si="14"/>
        <v>mailto: soilterrain@victoria1.gov.bc.ca</v>
      </c>
    </row>
    <row r="737" spans="1:34">
      <c r="A737" t="s">
        <v>1758</v>
      </c>
      <c r="B737" t="s">
        <v>56</v>
      </c>
      <c r="C737" s="10" t="s">
        <v>1759</v>
      </c>
      <c r="D737" t="s">
        <v>58</v>
      </c>
      <c r="E737" t="s">
        <v>497</v>
      </c>
      <c r="F737" t="s">
        <v>1760</v>
      </c>
      <c r="G737">
        <v>50000</v>
      </c>
      <c r="H737">
        <v>1978</v>
      </c>
      <c r="I737" t="s">
        <v>58</v>
      </c>
      <c r="J737" t="s">
        <v>58</v>
      </c>
      <c r="K737" t="s">
        <v>58</v>
      </c>
      <c r="L737" t="s">
        <v>58</v>
      </c>
      <c r="M737" t="s">
        <v>58</v>
      </c>
      <c r="N737" t="s">
        <v>61</v>
      </c>
      <c r="Q737" t="s">
        <v>58</v>
      </c>
      <c r="R737" s="11" t="str">
        <f>HYPERLINK("\\imagefiles.bcgov\imagery\scanned_maps\moe_terrain_maps\Scanned_T_maps_all\C06\C06-2711","\\imagefiles.bcgov\imagery\scanned_maps\moe_terrain_maps\Scanned_T_maps_all\C06\C06-2711")</f>
        <v>\\imagefiles.bcgov\imagery\scanned_maps\moe_terrain_maps\Scanned_T_maps_all\C06\C06-2711</v>
      </c>
      <c r="S737" t="s">
        <v>62</v>
      </c>
      <c r="T737" s="11" t="str">
        <f>HYPERLINK("http://www.env.gov.bc.ca/esd/distdata/ecosystems/TEI_Scanned_Maps/C06/C06-2711","http://www.env.gov.bc.ca/esd/distdata/ecosystems/TEI_Scanned_Maps/C06/C06-2711")</f>
        <v>http://www.env.gov.bc.ca/esd/distdata/ecosystems/TEI_Scanned_Maps/C06/C06-2711</v>
      </c>
      <c r="U737" t="s">
        <v>58</v>
      </c>
      <c r="V737" t="s">
        <v>58</v>
      </c>
      <c r="W737" t="s">
        <v>58</v>
      </c>
      <c r="X737" t="s">
        <v>58</v>
      </c>
      <c r="Y737" t="s">
        <v>58</v>
      </c>
      <c r="Z737" t="s">
        <v>58</v>
      </c>
      <c r="AA737" t="s">
        <v>58</v>
      </c>
      <c r="AC737" t="s">
        <v>58</v>
      </c>
      <c r="AE737" t="s">
        <v>58</v>
      </c>
      <c r="AG737" t="s">
        <v>63</v>
      </c>
      <c r="AH737" s="11" t="str">
        <f t="shared" si="14"/>
        <v>mailto: soilterrain@victoria1.gov.bc.ca</v>
      </c>
    </row>
    <row r="738" spans="1:34">
      <c r="A738" t="s">
        <v>1761</v>
      </c>
      <c r="B738" t="s">
        <v>56</v>
      </c>
      <c r="C738" s="10" t="s">
        <v>1762</v>
      </c>
      <c r="D738" t="s">
        <v>58</v>
      </c>
      <c r="E738" t="s">
        <v>497</v>
      </c>
      <c r="F738" t="s">
        <v>1763</v>
      </c>
      <c r="G738">
        <v>50000</v>
      </c>
      <c r="H738">
        <v>1978</v>
      </c>
      <c r="I738" t="s">
        <v>58</v>
      </c>
      <c r="J738" t="s">
        <v>58</v>
      </c>
      <c r="K738" t="s">
        <v>58</v>
      </c>
      <c r="L738" t="s">
        <v>58</v>
      </c>
      <c r="M738" t="s">
        <v>58</v>
      </c>
      <c r="N738" t="s">
        <v>61</v>
      </c>
      <c r="Q738" t="s">
        <v>58</v>
      </c>
      <c r="R738" s="11" t="str">
        <f>HYPERLINK("\\imagefiles.bcgov\imagery\scanned_maps\moe_terrain_maps\Scanned_T_maps_all\C06\C06-2712","\\imagefiles.bcgov\imagery\scanned_maps\moe_terrain_maps\Scanned_T_maps_all\C06\C06-2712")</f>
        <v>\\imagefiles.bcgov\imagery\scanned_maps\moe_terrain_maps\Scanned_T_maps_all\C06\C06-2712</v>
      </c>
      <c r="S738" t="s">
        <v>62</v>
      </c>
      <c r="T738" s="11" t="str">
        <f>HYPERLINK("http://www.env.gov.bc.ca/esd/distdata/ecosystems/TEI_Scanned_Maps/C06/C06-2712","http://www.env.gov.bc.ca/esd/distdata/ecosystems/TEI_Scanned_Maps/C06/C06-2712")</f>
        <v>http://www.env.gov.bc.ca/esd/distdata/ecosystems/TEI_Scanned_Maps/C06/C06-2712</v>
      </c>
      <c r="U738" t="s">
        <v>58</v>
      </c>
      <c r="V738" t="s">
        <v>58</v>
      </c>
      <c r="W738" t="s">
        <v>58</v>
      </c>
      <c r="X738" t="s">
        <v>58</v>
      </c>
      <c r="Y738" t="s">
        <v>58</v>
      </c>
      <c r="Z738" t="s">
        <v>58</v>
      </c>
      <c r="AA738" t="s">
        <v>58</v>
      </c>
      <c r="AC738" t="s">
        <v>58</v>
      </c>
      <c r="AE738" t="s">
        <v>58</v>
      </c>
      <c r="AG738" t="s">
        <v>63</v>
      </c>
      <c r="AH738" s="11" t="str">
        <f t="shared" si="14"/>
        <v>mailto: soilterrain@victoria1.gov.bc.ca</v>
      </c>
    </row>
    <row r="739" spans="1:34">
      <c r="A739" t="s">
        <v>1764</v>
      </c>
      <c r="B739" t="s">
        <v>56</v>
      </c>
      <c r="C739" s="10" t="s">
        <v>1765</v>
      </c>
      <c r="D739" t="s">
        <v>58</v>
      </c>
      <c r="E739" t="s">
        <v>497</v>
      </c>
      <c r="F739" t="s">
        <v>1766</v>
      </c>
      <c r="G739">
        <v>50000</v>
      </c>
      <c r="H739">
        <v>1971</v>
      </c>
      <c r="I739" t="s">
        <v>58</v>
      </c>
      <c r="J739" t="s">
        <v>58</v>
      </c>
      <c r="K739" t="s">
        <v>58</v>
      </c>
      <c r="L739" t="s">
        <v>58</v>
      </c>
      <c r="M739" t="s">
        <v>58</v>
      </c>
      <c r="N739" t="s">
        <v>61</v>
      </c>
      <c r="Q739" t="s">
        <v>58</v>
      </c>
      <c r="R739" s="11" t="str">
        <f>HYPERLINK("\\imagefiles.bcgov\imagery\scanned_maps\moe_terrain_maps\Scanned_T_maps_all\C06\C06-2713","\\imagefiles.bcgov\imagery\scanned_maps\moe_terrain_maps\Scanned_T_maps_all\C06\C06-2713")</f>
        <v>\\imagefiles.bcgov\imagery\scanned_maps\moe_terrain_maps\Scanned_T_maps_all\C06\C06-2713</v>
      </c>
      <c r="S739" t="s">
        <v>62</v>
      </c>
      <c r="T739" s="11" t="str">
        <f>HYPERLINK("http://www.env.gov.bc.ca/esd/distdata/ecosystems/TEI_Scanned_Maps/C06/C06-2713","http://www.env.gov.bc.ca/esd/distdata/ecosystems/TEI_Scanned_Maps/C06/C06-2713")</f>
        <v>http://www.env.gov.bc.ca/esd/distdata/ecosystems/TEI_Scanned_Maps/C06/C06-2713</v>
      </c>
      <c r="U739" t="s">
        <v>58</v>
      </c>
      <c r="V739" t="s">
        <v>58</v>
      </c>
      <c r="W739" t="s">
        <v>58</v>
      </c>
      <c r="X739" t="s">
        <v>58</v>
      </c>
      <c r="Y739" t="s">
        <v>58</v>
      </c>
      <c r="Z739" t="s">
        <v>58</v>
      </c>
      <c r="AA739" t="s">
        <v>58</v>
      </c>
      <c r="AC739" t="s">
        <v>58</v>
      </c>
      <c r="AE739" t="s">
        <v>58</v>
      </c>
      <c r="AG739" t="s">
        <v>63</v>
      </c>
      <c r="AH739" s="11" t="str">
        <f t="shared" si="14"/>
        <v>mailto: soilterrain@victoria1.gov.bc.ca</v>
      </c>
    </row>
    <row r="740" spans="1:34">
      <c r="A740" t="s">
        <v>1767</v>
      </c>
      <c r="B740" t="s">
        <v>56</v>
      </c>
      <c r="C740" s="10" t="s">
        <v>1768</v>
      </c>
      <c r="D740" t="s">
        <v>58</v>
      </c>
      <c r="E740" t="s">
        <v>497</v>
      </c>
      <c r="F740" t="s">
        <v>1769</v>
      </c>
      <c r="G740">
        <v>50000</v>
      </c>
      <c r="H740">
        <v>1969</v>
      </c>
      <c r="I740" t="s">
        <v>58</v>
      </c>
      <c r="J740" t="s">
        <v>58</v>
      </c>
      <c r="K740" t="s">
        <v>58</v>
      </c>
      <c r="L740" t="s">
        <v>58</v>
      </c>
      <c r="M740" t="s">
        <v>58</v>
      </c>
      <c r="N740" t="s">
        <v>61</v>
      </c>
      <c r="Q740" t="s">
        <v>58</v>
      </c>
      <c r="R740" s="11" t="str">
        <f>HYPERLINK("\\imagefiles.bcgov\imagery\scanned_maps\moe_terrain_maps\Scanned_T_maps_all\C06\C06-2714","\\imagefiles.bcgov\imagery\scanned_maps\moe_terrain_maps\Scanned_T_maps_all\C06\C06-2714")</f>
        <v>\\imagefiles.bcgov\imagery\scanned_maps\moe_terrain_maps\Scanned_T_maps_all\C06\C06-2714</v>
      </c>
      <c r="S740" t="s">
        <v>62</v>
      </c>
      <c r="T740" s="11" t="str">
        <f>HYPERLINK("http://www.env.gov.bc.ca/esd/distdata/ecosystems/TEI_Scanned_Maps/C06/C06-2714","http://www.env.gov.bc.ca/esd/distdata/ecosystems/TEI_Scanned_Maps/C06/C06-2714")</f>
        <v>http://www.env.gov.bc.ca/esd/distdata/ecosystems/TEI_Scanned_Maps/C06/C06-2714</v>
      </c>
      <c r="U740" t="s">
        <v>58</v>
      </c>
      <c r="V740" t="s">
        <v>58</v>
      </c>
      <c r="W740" t="s">
        <v>58</v>
      </c>
      <c r="X740" t="s">
        <v>58</v>
      </c>
      <c r="Y740" t="s">
        <v>58</v>
      </c>
      <c r="Z740" t="s">
        <v>58</v>
      </c>
      <c r="AA740" t="s">
        <v>58</v>
      </c>
      <c r="AC740" t="s">
        <v>58</v>
      </c>
      <c r="AE740" t="s">
        <v>58</v>
      </c>
      <c r="AG740" t="s">
        <v>63</v>
      </c>
      <c r="AH740" s="11" t="str">
        <f t="shared" si="14"/>
        <v>mailto: soilterrain@victoria1.gov.bc.ca</v>
      </c>
    </row>
    <row r="741" spans="1:34">
      <c r="A741" t="s">
        <v>1770</v>
      </c>
      <c r="B741" t="s">
        <v>56</v>
      </c>
      <c r="C741" s="10" t="s">
        <v>1771</v>
      </c>
      <c r="D741" t="s">
        <v>58</v>
      </c>
      <c r="E741" t="s">
        <v>497</v>
      </c>
      <c r="F741" t="s">
        <v>1772</v>
      </c>
      <c r="G741">
        <v>50000</v>
      </c>
      <c r="H741">
        <v>1978</v>
      </c>
      <c r="I741" t="s">
        <v>58</v>
      </c>
      <c r="J741" t="s">
        <v>58</v>
      </c>
      <c r="K741" t="s">
        <v>58</v>
      </c>
      <c r="L741" t="s">
        <v>58</v>
      </c>
      <c r="M741" t="s">
        <v>58</v>
      </c>
      <c r="N741" t="s">
        <v>61</v>
      </c>
      <c r="Q741" t="s">
        <v>58</v>
      </c>
      <c r="R741" s="11" t="str">
        <f>HYPERLINK("\\imagefiles.bcgov\imagery\scanned_maps\moe_terrain_maps\Scanned_T_maps_all\C06\C06-2715","\\imagefiles.bcgov\imagery\scanned_maps\moe_terrain_maps\Scanned_T_maps_all\C06\C06-2715")</f>
        <v>\\imagefiles.bcgov\imagery\scanned_maps\moe_terrain_maps\Scanned_T_maps_all\C06\C06-2715</v>
      </c>
      <c r="S741" t="s">
        <v>62</v>
      </c>
      <c r="T741" s="11" t="str">
        <f>HYPERLINK("http://www.env.gov.bc.ca/esd/distdata/ecosystems/TEI_Scanned_Maps/C06/C06-2715","http://www.env.gov.bc.ca/esd/distdata/ecosystems/TEI_Scanned_Maps/C06/C06-2715")</f>
        <v>http://www.env.gov.bc.ca/esd/distdata/ecosystems/TEI_Scanned_Maps/C06/C06-2715</v>
      </c>
      <c r="U741" t="s">
        <v>58</v>
      </c>
      <c r="V741" t="s">
        <v>58</v>
      </c>
      <c r="W741" t="s">
        <v>58</v>
      </c>
      <c r="X741" t="s">
        <v>58</v>
      </c>
      <c r="Y741" t="s">
        <v>58</v>
      </c>
      <c r="Z741" t="s">
        <v>58</v>
      </c>
      <c r="AA741" t="s">
        <v>58</v>
      </c>
      <c r="AC741" t="s">
        <v>58</v>
      </c>
      <c r="AE741" t="s">
        <v>58</v>
      </c>
      <c r="AG741" t="s">
        <v>63</v>
      </c>
      <c r="AH741" s="11" t="str">
        <f t="shared" si="14"/>
        <v>mailto: soilterrain@victoria1.gov.bc.ca</v>
      </c>
    </row>
    <row r="742" spans="1:34">
      <c r="A742" t="s">
        <v>1773</v>
      </c>
      <c r="B742" t="s">
        <v>56</v>
      </c>
      <c r="C742" s="10" t="s">
        <v>1774</v>
      </c>
      <c r="D742" t="s">
        <v>58</v>
      </c>
      <c r="E742" t="s">
        <v>497</v>
      </c>
      <c r="F742" t="s">
        <v>1775</v>
      </c>
      <c r="G742">
        <v>50000</v>
      </c>
      <c r="H742">
        <v>1969</v>
      </c>
      <c r="I742" t="s">
        <v>58</v>
      </c>
      <c r="J742" t="s">
        <v>58</v>
      </c>
      <c r="K742" t="s">
        <v>58</v>
      </c>
      <c r="L742" t="s">
        <v>58</v>
      </c>
      <c r="M742" t="s">
        <v>58</v>
      </c>
      <c r="N742" t="s">
        <v>61</v>
      </c>
      <c r="Q742" t="s">
        <v>58</v>
      </c>
      <c r="R742" s="11" t="str">
        <f>HYPERLINK("\\imagefiles.bcgov\imagery\scanned_maps\moe_terrain_maps\Scanned_T_maps_all\C06\C06-2716","\\imagefiles.bcgov\imagery\scanned_maps\moe_terrain_maps\Scanned_T_maps_all\C06\C06-2716")</f>
        <v>\\imagefiles.bcgov\imagery\scanned_maps\moe_terrain_maps\Scanned_T_maps_all\C06\C06-2716</v>
      </c>
      <c r="S742" t="s">
        <v>62</v>
      </c>
      <c r="T742" s="11" t="str">
        <f>HYPERLINK("http://www.env.gov.bc.ca/esd/distdata/ecosystems/TEI_Scanned_Maps/C06/C06-2716","http://www.env.gov.bc.ca/esd/distdata/ecosystems/TEI_Scanned_Maps/C06/C06-2716")</f>
        <v>http://www.env.gov.bc.ca/esd/distdata/ecosystems/TEI_Scanned_Maps/C06/C06-2716</v>
      </c>
      <c r="U742" t="s">
        <v>58</v>
      </c>
      <c r="V742" t="s">
        <v>58</v>
      </c>
      <c r="W742" t="s">
        <v>58</v>
      </c>
      <c r="X742" t="s">
        <v>58</v>
      </c>
      <c r="Y742" t="s">
        <v>58</v>
      </c>
      <c r="Z742" t="s">
        <v>58</v>
      </c>
      <c r="AA742" t="s">
        <v>58</v>
      </c>
      <c r="AC742" t="s">
        <v>58</v>
      </c>
      <c r="AE742" t="s">
        <v>58</v>
      </c>
      <c r="AG742" t="s">
        <v>63</v>
      </c>
      <c r="AH742" s="11" t="str">
        <f t="shared" si="14"/>
        <v>mailto: soilterrain@victoria1.gov.bc.ca</v>
      </c>
    </row>
    <row r="743" spans="1:34">
      <c r="A743" t="s">
        <v>1776</v>
      </c>
      <c r="B743" t="s">
        <v>56</v>
      </c>
      <c r="C743" s="10" t="s">
        <v>677</v>
      </c>
      <c r="D743" t="s">
        <v>58</v>
      </c>
      <c r="E743" t="s">
        <v>497</v>
      </c>
      <c r="F743" t="s">
        <v>1777</v>
      </c>
      <c r="G743">
        <v>50000</v>
      </c>
      <c r="H743">
        <v>1978</v>
      </c>
      <c r="I743" t="s">
        <v>58</v>
      </c>
      <c r="J743" t="s">
        <v>58</v>
      </c>
      <c r="K743" t="s">
        <v>58</v>
      </c>
      <c r="L743" t="s">
        <v>58</v>
      </c>
      <c r="M743" t="s">
        <v>58</v>
      </c>
      <c r="N743" t="s">
        <v>61</v>
      </c>
      <c r="Q743" t="s">
        <v>58</v>
      </c>
      <c r="R743" s="11" t="str">
        <f>HYPERLINK("\\imagefiles.bcgov\imagery\scanned_maps\moe_terrain_maps\Scanned_T_maps_all\C06\C06-2737","\\imagefiles.bcgov\imagery\scanned_maps\moe_terrain_maps\Scanned_T_maps_all\C06\C06-2737")</f>
        <v>\\imagefiles.bcgov\imagery\scanned_maps\moe_terrain_maps\Scanned_T_maps_all\C06\C06-2737</v>
      </c>
      <c r="S743" t="s">
        <v>62</v>
      </c>
      <c r="T743" s="11" t="str">
        <f>HYPERLINK("http://www.env.gov.bc.ca/esd/distdata/ecosystems/TEI_Scanned_Maps/C06/C06-2737","http://www.env.gov.bc.ca/esd/distdata/ecosystems/TEI_Scanned_Maps/C06/C06-2737")</f>
        <v>http://www.env.gov.bc.ca/esd/distdata/ecosystems/TEI_Scanned_Maps/C06/C06-2737</v>
      </c>
      <c r="U743" t="s">
        <v>58</v>
      </c>
      <c r="V743" t="s">
        <v>58</v>
      </c>
      <c r="W743" t="s">
        <v>58</v>
      </c>
      <c r="X743" t="s">
        <v>58</v>
      </c>
      <c r="Y743" t="s">
        <v>58</v>
      </c>
      <c r="Z743" t="s">
        <v>58</v>
      </c>
      <c r="AA743" t="s">
        <v>58</v>
      </c>
      <c r="AC743" t="s">
        <v>58</v>
      </c>
      <c r="AE743" t="s">
        <v>58</v>
      </c>
      <c r="AG743" t="s">
        <v>63</v>
      </c>
      <c r="AH743" s="11" t="str">
        <f t="shared" si="14"/>
        <v>mailto: soilterrain@victoria1.gov.bc.ca</v>
      </c>
    </row>
    <row r="744" spans="1:34">
      <c r="A744" t="s">
        <v>1778</v>
      </c>
      <c r="B744" t="s">
        <v>56</v>
      </c>
      <c r="C744" s="10" t="s">
        <v>1779</v>
      </c>
      <c r="D744" t="s">
        <v>58</v>
      </c>
      <c r="E744" t="s">
        <v>497</v>
      </c>
      <c r="F744" t="s">
        <v>1780</v>
      </c>
      <c r="G744">
        <v>50000</v>
      </c>
      <c r="H744">
        <v>1968</v>
      </c>
      <c r="I744" t="s">
        <v>58</v>
      </c>
      <c r="J744" t="s">
        <v>58</v>
      </c>
      <c r="K744" t="s">
        <v>58</v>
      </c>
      <c r="L744" t="s">
        <v>58</v>
      </c>
      <c r="M744" t="s">
        <v>58</v>
      </c>
      <c r="N744" t="s">
        <v>61</v>
      </c>
      <c r="Q744" t="s">
        <v>58</v>
      </c>
      <c r="R744" s="11" t="str">
        <f>HYPERLINK("\\imagefiles.bcgov\imagery\scanned_maps\moe_terrain_maps\Scanned_T_maps_all\C06\C06-2739","\\imagefiles.bcgov\imagery\scanned_maps\moe_terrain_maps\Scanned_T_maps_all\C06\C06-2739")</f>
        <v>\\imagefiles.bcgov\imagery\scanned_maps\moe_terrain_maps\Scanned_T_maps_all\C06\C06-2739</v>
      </c>
      <c r="S744" t="s">
        <v>62</v>
      </c>
      <c r="T744" s="11" t="str">
        <f>HYPERLINK("http://www.env.gov.bc.ca/esd/distdata/ecosystems/TEI_Scanned_Maps/C06/C06-2739","http://www.env.gov.bc.ca/esd/distdata/ecosystems/TEI_Scanned_Maps/C06/C06-2739")</f>
        <v>http://www.env.gov.bc.ca/esd/distdata/ecosystems/TEI_Scanned_Maps/C06/C06-2739</v>
      </c>
      <c r="U744" t="s">
        <v>58</v>
      </c>
      <c r="V744" t="s">
        <v>58</v>
      </c>
      <c r="W744" t="s">
        <v>58</v>
      </c>
      <c r="X744" t="s">
        <v>58</v>
      </c>
      <c r="Y744" t="s">
        <v>58</v>
      </c>
      <c r="Z744" t="s">
        <v>58</v>
      </c>
      <c r="AA744" t="s">
        <v>58</v>
      </c>
      <c r="AC744" t="s">
        <v>58</v>
      </c>
      <c r="AE744" t="s">
        <v>58</v>
      </c>
      <c r="AG744" t="s">
        <v>63</v>
      </c>
      <c r="AH744" s="11" t="str">
        <f t="shared" si="14"/>
        <v>mailto: soilterrain@victoria1.gov.bc.ca</v>
      </c>
    </row>
    <row r="745" spans="1:34">
      <c r="A745" t="s">
        <v>1781</v>
      </c>
      <c r="B745" t="s">
        <v>56</v>
      </c>
      <c r="C745" s="10" t="s">
        <v>1782</v>
      </c>
      <c r="D745" t="s">
        <v>58</v>
      </c>
      <c r="E745" t="s">
        <v>497</v>
      </c>
      <c r="F745" t="s">
        <v>1783</v>
      </c>
      <c r="G745">
        <v>50000</v>
      </c>
      <c r="H745">
        <v>1978</v>
      </c>
      <c r="I745" t="s">
        <v>58</v>
      </c>
      <c r="J745" t="s">
        <v>58</v>
      </c>
      <c r="K745" t="s">
        <v>58</v>
      </c>
      <c r="L745" t="s">
        <v>58</v>
      </c>
      <c r="M745" t="s">
        <v>58</v>
      </c>
      <c r="N745" t="s">
        <v>61</v>
      </c>
      <c r="Q745" t="s">
        <v>58</v>
      </c>
      <c r="R745" s="11" t="str">
        <f>HYPERLINK("\\imagefiles.bcgov\imagery\scanned_maps\moe_terrain_maps\Scanned_T_maps_all\C06\C06-2741","\\imagefiles.bcgov\imagery\scanned_maps\moe_terrain_maps\Scanned_T_maps_all\C06\C06-2741")</f>
        <v>\\imagefiles.bcgov\imagery\scanned_maps\moe_terrain_maps\Scanned_T_maps_all\C06\C06-2741</v>
      </c>
      <c r="S745" t="s">
        <v>62</v>
      </c>
      <c r="T745" s="11" t="str">
        <f>HYPERLINK("http://www.env.gov.bc.ca/esd/distdata/ecosystems/TEI_Scanned_Maps/C06/C06-2741","http://www.env.gov.bc.ca/esd/distdata/ecosystems/TEI_Scanned_Maps/C06/C06-2741")</f>
        <v>http://www.env.gov.bc.ca/esd/distdata/ecosystems/TEI_Scanned_Maps/C06/C06-2741</v>
      </c>
      <c r="U745" t="s">
        <v>58</v>
      </c>
      <c r="V745" t="s">
        <v>58</v>
      </c>
      <c r="W745" t="s">
        <v>58</v>
      </c>
      <c r="X745" t="s">
        <v>58</v>
      </c>
      <c r="Y745" t="s">
        <v>58</v>
      </c>
      <c r="Z745" t="s">
        <v>58</v>
      </c>
      <c r="AA745" t="s">
        <v>58</v>
      </c>
      <c r="AC745" t="s">
        <v>58</v>
      </c>
      <c r="AE745" t="s">
        <v>58</v>
      </c>
      <c r="AG745" t="s">
        <v>63</v>
      </c>
      <c r="AH745" s="11" t="str">
        <f t="shared" si="14"/>
        <v>mailto: soilterrain@victoria1.gov.bc.ca</v>
      </c>
    </row>
    <row r="746" spans="1:34">
      <c r="A746" t="s">
        <v>1784</v>
      </c>
      <c r="B746" t="s">
        <v>56</v>
      </c>
      <c r="C746" s="10" t="s">
        <v>1785</v>
      </c>
      <c r="D746" t="s">
        <v>58</v>
      </c>
      <c r="E746" t="s">
        <v>497</v>
      </c>
      <c r="F746" t="s">
        <v>1786</v>
      </c>
      <c r="G746">
        <v>50000</v>
      </c>
      <c r="H746">
        <v>1968</v>
      </c>
      <c r="I746" t="s">
        <v>58</v>
      </c>
      <c r="J746" t="s">
        <v>58</v>
      </c>
      <c r="K746" t="s">
        <v>58</v>
      </c>
      <c r="L746" t="s">
        <v>58</v>
      </c>
      <c r="M746" t="s">
        <v>58</v>
      </c>
      <c r="N746" t="s">
        <v>61</v>
      </c>
      <c r="Q746" t="s">
        <v>58</v>
      </c>
      <c r="R746" s="11" t="str">
        <f>HYPERLINK("\\imagefiles.bcgov\imagery\scanned_maps\moe_terrain_maps\Scanned_T_maps_all\C06\C06-2743","\\imagefiles.bcgov\imagery\scanned_maps\moe_terrain_maps\Scanned_T_maps_all\C06\C06-2743")</f>
        <v>\\imagefiles.bcgov\imagery\scanned_maps\moe_terrain_maps\Scanned_T_maps_all\C06\C06-2743</v>
      </c>
      <c r="S746" t="s">
        <v>62</v>
      </c>
      <c r="T746" s="11" t="str">
        <f>HYPERLINK("http://www.env.gov.bc.ca/esd/distdata/ecosystems/TEI_Scanned_Maps/C06/C06-2743","http://www.env.gov.bc.ca/esd/distdata/ecosystems/TEI_Scanned_Maps/C06/C06-2743")</f>
        <v>http://www.env.gov.bc.ca/esd/distdata/ecosystems/TEI_Scanned_Maps/C06/C06-2743</v>
      </c>
      <c r="U746" t="s">
        <v>58</v>
      </c>
      <c r="V746" t="s">
        <v>58</v>
      </c>
      <c r="W746" t="s">
        <v>58</v>
      </c>
      <c r="X746" t="s">
        <v>58</v>
      </c>
      <c r="Y746" t="s">
        <v>58</v>
      </c>
      <c r="Z746" t="s">
        <v>58</v>
      </c>
      <c r="AA746" t="s">
        <v>58</v>
      </c>
      <c r="AC746" t="s">
        <v>58</v>
      </c>
      <c r="AE746" t="s">
        <v>58</v>
      </c>
      <c r="AG746" t="s">
        <v>63</v>
      </c>
      <c r="AH746" s="11" t="str">
        <f t="shared" si="14"/>
        <v>mailto: soilterrain@victoria1.gov.bc.ca</v>
      </c>
    </row>
    <row r="747" spans="1:34">
      <c r="A747" t="s">
        <v>1787</v>
      </c>
      <c r="B747" t="s">
        <v>56</v>
      </c>
      <c r="C747" s="10" t="s">
        <v>1788</v>
      </c>
      <c r="D747" t="s">
        <v>58</v>
      </c>
      <c r="E747" t="s">
        <v>497</v>
      </c>
      <c r="F747" t="s">
        <v>1789</v>
      </c>
      <c r="G747">
        <v>50000</v>
      </c>
      <c r="H747">
        <v>1978</v>
      </c>
      <c r="I747" t="s">
        <v>58</v>
      </c>
      <c r="J747" t="s">
        <v>58</v>
      </c>
      <c r="K747" t="s">
        <v>58</v>
      </c>
      <c r="L747" t="s">
        <v>58</v>
      </c>
      <c r="M747" t="s">
        <v>58</v>
      </c>
      <c r="N747" t="s">
        <v>61</v>
      </c>
      <c r="Q747" t="s">
        <v>58</v>
      </c>
      <c r="R747" s="11" t="str">
        <f>HYPERLINK("\\imagefiles.bcgov\imagery\scanned_maps\moe_terrain_maps\Scanned_T_maps_all\C06\C06-2745","\\imagefiles.bcgov\imagery\scanned_maps\moe_terrain_maps\Scanned_T_maps_all\C06\C06-2745")</f>
        <v>\\imagefiles.bcgov\imagery\scanned_maps\moe_terrain_maps\Scanned_T_maps_all\C06\C06-2745</v>
      </c>
      <c r="S747" t="s">
        <v>62</v>
      </c>
      <c r="T747" s="11" t="str">
        <f>HYPERLINK("http://www.env.gov.bc.ca/esd/distdata/ecosystems/TEI_Scanned_Maps/C06/C06-2745","http://www.env.gov.bc.ca/esd/distdata/ecosystems/TEI_Scanned_Maps/C06/C06-2745")</f>
        <v>http://www.env.gov.bc.ca/esd/distdata/ecosystems/TEI_Scanned_Maps/C06/C06-2745</v>
      </c>
      <c r="U747" t="s">
        <v>58</v>
      </c>
      <c r="V747" t="s">
        <v>58</v>
      </c>
      <c r="W747" t="s">
        <v>58</v>
      </c>
      <c r="X747" t="s">
        <v>58</v>
      </c>
      <c r="Y747" t="s">
        <v>58</v>
      </c>
      <c r="Z747" t="s">
        <v>58</v>
      </c>
      <c r="AA747" t="s">
        <v>58</v>
      </c>
      <c r="AC747" t="s">
        <v>58</v>
      </c>
      <c r="AE747" t="s">
        <v>58</v>
      </c>
      <c r="AG747" t="s">
        <v>63</v>
      </c>
      <c r="AH747" s="11" t="str">
        <f t="shared" si="14"/>
        <v>mailto: soilterrain@victoria1.gov.bc.ca</v>
      </c>
    </row>
    <row r="748" spans="1:34">
      <c r="A748" t="s">
        <v>1790</v>
      </c>
      <c r="B748" t="s">
        <v>56</v>
      </c>
      <c r="C748" s="10" t="s">
        <v>1791</v>
      </c>
      <c r="D748" t="s">
        <v>58</v>
      </c>
      <c r="E748" t="s">
        <v>497</v>
      </c>
      <c r="F748" t="s">
        <v>1792</v>
      </c>
      <c r="G748">
        <v>50000</v>
      </c>
      <c r="H748">
        <v>1968</v>
      </c>
      <c r="I748" t="s">
        <v>58</v>
      </c>
      <c r="J748" t="s">
        <v>58</v>
      </c>
      <c r="K748" t="s">
        <v>58</v>
      </c>
      <c r="L748" t="s">
        <v>58</v>
      </c>
      <c r="M748" t="s">
        <v>58</v>
      </c>
      <c r="N748" t="s">
        <v>61</v>
      </c>
      <c r="Q748" t="s">
        <v>58</v>
      </c>
      <c r="R748" s="11" t="str">
        <f>HYPERLINK("\\imagefiles.bcgov\imagery\scanned_maps\moe_terrain_maps\Scanned_T_maps_all\C06\C06-2747","\\imagefiles.bcgov\imagery\scanned_maps\moe_terrain_maps\Scanned_T_maps_all\C06\C06-2747")</f>
        <v>\\imagefiles.bcgov\imagery\scanned_maps\moe_terrain_maps\Scanned_T_maps_all\C06\C06-2747</v>
      </c>
      <c r="S748" t="s">
        <v>62</v>
      </c>
      <c r="T748" s="11" t="str">
        <f>HYPERLINK("http://www.env.gov.bc.ca/esd/distdata/ecosystems/TEI_Scanned_Maps/C06/C06-2747","http://www.env.gov.bc.ca/esd/distdata/ecosystems/TEI_Scanned_Maps/C06/C06-2747")</f>
        <v>http://www.env.gov.bc.ca/esd/distdata/ecosystems/TEI_Scanned_Maps/C06/C06-2747</v>
      </c>
      <c r="U748" t="s">
        <v>58</v>
      </c>
      <c r="V748" t="s">
        <v>58</v>
      </c>
      <c r="W748" t="s">
        <v>58</v>
      </c>
      <c r="X748" t="s">
        <v>58</v>
      </c>
      <c r="Y748" t="s">
        <v>58</v>
      </c>
      <c r="Z748" t="s">
        <v>58</v>
      </c>
      <c r="AA748" t="s">
        <v>58</v>
      </c>
      <c r="AC748" t="s">
        <v>58</v>
      </c>
      <c r="AE748" t="s">
        <v>58</v>
      </c>
      <c r="AG748" t="s">
        <v>63</v>
      </c>
      <c r="AH748" s="11" t="str">
        <f t="shared" si="14"/>
        <v>mailto: soilterrain@victoria1.gov.bc.ca</v>
      </c>
    </row>
    <row r="749" spans="1:34">
      <c r="A749" t="s">
        <v>1793</v>
      </c>
      <c r="B749" t="s">
        <v>56</v>
      </c>
      <c r="C749" s="10" t="s">
        <v>1794</v>
      </c>
      <c r="D749" t="s">
        <v>58</v>
      </c>
      <c r="E749" t="s">
        <v>497</v>
      </c>
      <c r="F749" t="s">
        <v>1795</v>
      </c>
      <c r="G749">
        <v>50000</v>
      </c>
      <c r="H749">
        <v>1978</v>
      </c>
      <c r="I749" t="s">
        <v>58</v>
      </c>
      <c r="J749" t="s">
        <v>58</v>
      </c>
      <c r="K749" t="s">
        <v>58</v>
      </c>
      <c r="L749" t="s">
        <v>58</v>
      </c>
      <c r="M749" t="s">
        <v>58</v>
      </c>
      <c r="N749" t="s">
        <v>61</v>
      </c>
      <c r="Q749" t="s">
        <v>58</v>
      </c>
      <c r="R749" s="11" t="str">
        <f>HYPERLINK("\\imagefiles.bcgov\imagery\scanned_maps\moe_terrain_maps\Scanned_T_maps_all\C06\C06-2749","\\imagefiles.bcgov\imagery\scanned_maps\moe_terrain_maps\Scanned_T_maps_all\C06\C06-2749")</f>
        <v>\\imagefiles.bcgov\imagery\scanned_maps\moe_terrain_maps\Scanned_T_maps_all\C06\C06-2749</v>
      </c>
      <c r="S749" t="s">
        <v>62</v>
      </c>
      <c r="T749" s="11" t="str">
        <f>HYPERLINK("http://www.env.gov.bc.ca/esd/distdata/ecosystems/TEI_Scanned_Maps/C06/C06-2749","http://www.env.gov.bc.ca/esd/distdata/ecosystems/TEI_Scanned_Maps/C06/C06-2749")</f>
        <v>http://www.env.gov.bc.ca/esd/distdata/ecosystems/TEI_Scanned_Maps/C06/C06-2749</v>
      </c>
      <c r="U749" t="s">
        <v>58</v>
      </c>
      <c r="V749" t="s">
        <v>58</v>
      </c>
      <c r="W749" t="s">
        <v>58</v>
      </c>
      <c r="X749" t="s">
        <v>58</v>
      </c>
      <c r="Y749" t="s">
        <v>58</v>
      </c>
      <c r="Z749" t="s">
        <v>58</v>
      </c>
      <c r="AA749" t="s">
        <v>58</v>
      </c>
      <c r="AC749" t="s">
        <v>58</v>
      </c>
      <c r="AE749" t="s">
        <v>58</v>
      </c>
      <c r="AG749" t="s">
        <v>63</v>
      </c>
      <c r="AH749" s="11" t="str">
        <f t="shared" si="14"/>
        <v>mailto: soilterrain@victoria1.gov.bc.ca</v>
      </c>
    </row>
    <row r="750" spans="1:34">
      <c r="A750" t="s">
        <v>1796</v>
      </c>
      <c r="B750" t="s">
        <v>56</v>
      </c>
      <c r="C750" s="10" t="s">
        <v>1797</v>
      </c>
      <c r="D750" t="s">
        <v>58</v>
      </c>
      <c r="E750" t="s">
        <v>497</v>
      </c>
      <c r="F750" t="s">
        <v>1798</v>
      </c>
      <c r="G750">
        <v>50000</v>
      </c>
      <c r="H750">
        <v>1968</v>
      </c>
      <c r="I750" t="s">
        <v>58</v>
      </c>
      <c r="J750" t="s">
        <v>58</v>
      </c>
      <c r="K750" t="s">
        <v>58</v>
      </c>
      <c r="L750" t="s">
        <v>58</v>
      </c>
      <c r="M750" t="s">
        <v>58</v>
      </c>
      <c r="N750" t="s">
        <v>61</v>
      </c>
      <c r="Q750" t="s">
        <v>58</v>
      </c>
      <c r="R750" s="11" t="str">
        <f>HYPERLINK("\\imagefiles.bcgov\imagery\scanned_maps\moe_terrain_maps\Scanned_T_maps_all\C06\C06-2751","\\imagefiles.bcgov\imagery\scanned_maps\moe_terrain_maps\Scanned_T_maps_all\C06\C06-2751")</f>
        <v>\\imagefiles.bcgov\imagery\scanned_maps\moe_terrain_maps\Scanned_T_maps_all\C06\C06-2751</v>
      </c>
      <c r="S750" t="s">
        <v>62</v>
      </c>
      <c r="T750" s="11" t="str">
        <f>HYPERLINK("http://www.env.gov.bc.ca/esd/distdata/ecosystems/TEI_Scanned_Maps/C06/C06-2751","http://www.env.gov.bc.ca/esd/distdata/ecosystems/TEI_Scanned_Maps/C06/C06-2751")</f>
        <v>http://www.env.gov.bc.ca/esd/distdata/ecosystems/TEI_Scanned_Maps/C06/C06-2751</v>
      </c>
      <c r="U750" t="s">
        <v>58</v>
      </c>
      <c r="V750" t="s">
        <v>58</v>
      </c>
      <c r="W750" t="s">
        <v>58</v>
      </c>
      <c r="X750" t="s">
        <v>58</v>
      </c>
      <c r="Y750" t="s">
        <v>58</v>
      </c>
      <c r="Z750" t="s">
        <v>58</v>
      </c>
      <c r="AA750" t="s">
        <v>58</v>
      </c>
      <c r="AC750" t="s">
        <v>58</v>
      </c>
      <c r="AE750" t="s">
        <v>58</v>
      </c>
      <c r="AG750" t="s">
        <v>63</v>
      </c>
      <c r="AH750" s="11" t="str">
        <f t="shared" si="14"/>
        <v>mailto: soilterrain@victoria1.gov.bc.ca</v>
      </c>
    </row>
    <row r="751" spans="1:34">
      <c r="A751" t="s">
        <v>1799</v>
      </c>
      <c r="B751" t="s">
        <v>56</v>
      </c>
      <c r="C751" s="10" t="s">
        <v>1800</v>
      </c>
      <c r="D751" t="s">
        <v>58</v>
      </c>
      <c r="E751" t="s">
        <v>497</v>
      </c>
      <c r="F751" t="s">
        <v>1801</v>
      </c>
      <c r="G751">
        <v>50000</v>
      </c>
      <c r="H751">
        <v>1978</v>
      </c>
      <c r="I751" t="s">
        <v>58</v>
      </c>
      <c r="J751" t="s">
        <v>58</v>
      </c>
      <c r="K751" t="s">
        <v>58</v>
      </c>
      <c r="L751" t="s">
        <v>58</v>
      </c>
      <c r="M751" t="s">
        <v>58</v>
      </c>
      <c r="N751" t="s">
        <v>61</v>
      </c>
      <c r="Q751" t="s">
        <v>58</v>
      </c>
      <c r="R751" s="11" t="str">
        <f>HYPERLINK("\\imagefiles.bcgov\imagery\scanned_maps\moe_terrain_maps\Scanned_T_maps_all\C06\C06-2771","\\imagefiles.bcgov\imagery\scanned_maps\moe_terrain_maps\Scanned_T_maps_all\C06\C06-2771")</f>
        <v>\\imagefiles.bcgov\imagery\scanned_maps\moe_terrain_maps\Scanned_T_maps_all\C06\C06-2771</v>
      </c>
      <c r="S751" t="s">
        <v>62</v>
      </c>
      <c r="T751" s="11" t="str">
        <f>HYPERLINK("http://www.env.gov.bc.ca/esd/distdata/ecosystems/TEI_Scanned_Maps/C06/C06-2771","http://www.env.gov.bc.ca/esd/distdata/ecosystems/TEI_Scanned_Maps/C06/C06-2771")</f>
        <v>http://www.env.gov.bc.ca/esd/distdata/ecosystems/TEI_Scanned_Maps/C06/C06-2771</v>
      </c>
      <c r="U751" t="s">
        <v>58</v>
      </c>
      <c r="V751" t="s">
        <v>58</v>
      </c>
      <c r="W751" t="s">
        <v>58</v>
      </c>
      <c r="X751" t="s">
        <v>58</v>
      </c>
      <c r="Y751" t="s">
        <v>58</v>
      </c>
      <c r="Z751" t="s">
        <v>58</v>
      </c>
      <c r="AA751" t="s">
        <v>58</v>
      </c>
      <c r="AC751" t="s">
        <v>58</v>
      </c>
      <c r="AE751" t="s">
        <v>58</v>
      </c>
      <c r="AG751" t="s">
        <v>63</v>
      </c>
      <c r="AH751" s="11" t="str">
        <f t="shared" si="14"/>
        <v>mailto: soilterrain@victoria1.gov.bc.ca</v>
      </c>
    </row>
    <row r="752" spans="1:34">
      <c r="A752" t="s">
        <v>1802</v>
      </c>
      <c r="B752" t="s">
        <v>56</v>
      </c>
      <c r="C752" s="10" t="s">
        <v>1803</v>
      </c>
      <c r="D752" t="s">
        <v>58</v>
      </c>
      <c r="E752" t="s">
        <v>497</v>
      </c>
      <c r="F752" t="s">
        <v>1804</v>
      </c>
      <c r="G752">
        <v>50000</v>
      </c>
      <c r="H752">
        <v>1969</v>
      </c>
      <c r="I752" t="s">
        <v>58</v>
      </c>
      <c r="J752" t="s">
        <v>58</v>
      </c>
      <c r="K752" t="s">
        <v>58</v>
      </c>
      <c r="L752" t="s">
        <v>58</v>
      </c>
      <c r="M752" t="s">
        <v>58</v>
      </c>
      <c r="N752" t="s">
        <v>61</v>
      </c>
      <c r="Q752" t="s">
        <v>58</v>
      </c>
      <c r="R752" s="11" t="str">
        <f>HYPERLINK("\\imagefiles.bcgov\imagery\scanned_maps\moe_terrain_maps\Scanned_T_maps_all\C06\C06-2773","\\imagefiles.bcgov\imagery\scanned_maps\moe_terrain_maps\Scanned_T_maps_all\C06\C06-2773")</f>
        <v>\\imagefiles.bcgov\imagery\scanned_maps\moe_terrain_maps\Scanned_T_maps_all\C06\C06-2773</v>
      </c>
      <c r="S752" t="s">
        <v>62</v>
      </c>
      <c r="T752" s="11" t="str">
        <f>HYPERLINK("http://www.env.gov.bc.ca/esd/distdata/ecosystems/TEI_Scanned_Maps/C06/C06-2773","http://www.env.gov.bc.ca/esd/distdata/ecosystems/TEI_Scanned_Maps/C06/C06-2773")</f>
        <v>http://www.env.gov.bc.ca/esd/distdata/ecosystems/TEI_Scanned_Maps/C06/C06-2773</v>
      </c>
      <c r="U752" t="s">
        <v>58</v>
      </c>
      <c r="V752" t="s">
        <v>58</v>
      </c>
      <c r="W752" t="s">
        <v>58</v>
      </c>
      <c r="X752" t="s">
        <v>58</v>
      </c>
      <c r="Y752" t="s">
        <v>58</v>
      </c>
      <c r="Z752" t="s">
        <v>58</v>
      </c>
      <c r="AA752" t="s">
        <v>58</v>
      </c>
      <c r="AC752" t="s">
        <v>58</v>
      </c>
      <c r="AE752" t="s">
        <v>58</v>
      </c>
      <c r="AG752" t="s">
        <v>63</v>
      </c>
      <c r="AH752" s="11" t="str">
        <f t="shared" si="14"/>
        <v>mailto: soilterrain@victoria1.gov.bc.ca</v>
      </c>
    </row>
    <row r="753" spans="1:34">
      <c r="A753" t="s">
        <v>1805</v>
      </c>
      <c r="B753" t="s">
        <v>56</v>
      </c>
      <c r="C753" s="10" t="s">
        <v>1806</v>
      </c>
      <c r="D753" t="s">
        <v>58</v>
      </c>
      <c r="E753" t="s">
        <v>497</v>
      </c>
      <c r="F753" t="s">
        <v>1807</v>
      </c>
      <c r="G753">
        <v>50000</v>
      </c>
      <c r="H753">
        <v>1978</v>
      </c>
      <c r="I753" t="s">
        <v>58</v>
      </c>
      <c r="J753" t="s">
        <v>58</v>
      </c>
      <c r="K753" t="s">
        <v>58</v>
      </c>
      <c r="L753" t="s">
        <v>58</v>
      </c>
      <c r="M753" t="s">
        <v>58</v>
      </c>
      <c r="N753" t="s">
        <v>61</v>
      </c>
      <c r="Q753" t="s">
        <v>58</v>
      </c>
      <c r="R753" s="11" t="str">
        <f>HYPERLINK("\\imagefiles.bcgov\imagery\scanned_maps\moe_terrain_maps\Scanned_T_maps_all\C06\C06-2775","\\imagefiles.bcgov\imagery\scanned_maps\moe_terrain_maps\Scanned_T_maps_all\C06\C06-2775")</f>
        <v>\\imagefiles.bcgov\imagery\scanned_maps\moe_terrain_maps\Scanned_T_maps_all\C06\C06-2775</v>
      </c>
      <c r="S753" t="s">
        <v>62</v>
      </c>
      <c r="T753" s="11" t="str">
        <f>HYPERLINK("http://www.env.gov.bc.ca/esd/distdata/ecosystems/TEI_Scanned_Maps/C06/C06-2775","http://www.env.gov.bc.ca/esd/distdata/ecosystems/TEI_Scanned_Maps/C06/C06-2775")</f>
        <v>http://www.env.gov.bc.ca/esd/distdata/ecosystems/TEI_Scanned_Maps/C06/C06-2775</v>
      </c>
      <c r="U753" t="s">
        <v>58</v>
      </c>
      <c r="V753" t="s">
        <v>58</v>
      </c>
      <c r="W753" t="s">
        <v>58</v>
      </c>
      <c r="X753" t="s">
        <v>58</v>
      </c>
      <c r="Y753" t="s">
        <v>58</v>
      </c>
      <c r="Z753" t="s">
        <v>58</v>
      </c>
      <c r="AA753" t="s">
        <v>58</v>
      </c>
      <c r="AC753" t="s">
        <v>58</v>
      </c>
      <c r="AE753" t="s">
        <v>58</v>
      </c>
      <c r="AG753" t="s">
        <v>63</v>
      </c>
      <c r="AH753" s="11" t="str">
        <f t="shared" si="14"/>
        <v>mailto: soilterrain@victoria1.gov.bc.ca</v>
      </c>
    </row>
    <row r="754" spans="1:34">
      <c r="A754" t="s">
        <v>1808</v>
      </c>
      <c r="B754" t="s">
        <v>56</v>
      </c>
      <c r="C754" s="10" t="s">
        <v>1809</v>
      </c>
      <c r="D754" t="s">
        <v>58</v>
      </c>
      <c r="E754" t="s">
        <v>497</v>
      </c>
      <c r="F754" t="s">
        <v>1810</v>
      </c>
      <c r="G754">
        <v>50000</v>
      </c>
      <c r="H754">
        <v>1978</v>
      </c>
      <c r="I754" t="s">
        <v>58</v>
      </c>
      <c r="J754" t="s">
        <v>58</v>
      </c>
      <c r="K754" t="s">
        <v>58</v>
      </c>
      <c r="L754" t="s">
        <v>58</v>
      </c>
      <c r="M754" t="s">
        <v>58</v>
      </c>
      <c r="N754" t="s">
        <v>61</v>
      </c>
      <c r="Q754" t="s">
        <v>58</v>
      </c>
      <c r="R754" s="11" t="str">
        <f>HYPERLINK("\\imagefiles.bcgov\imagery\scanned_maps\moe_terrain_maps\Scanned_T_maps_all\C06\C06-2777","\\imagefiles.bcgov\imagery\scanned_maps\moe_terrain_maps\Scanned_T_maps_all\C06\C06-2777")</f>
        <v>\\imagefiles.bcgov\imagery\scanned_maps\moe_terrain_maps\Scanned_T_maps_all\C06\C06-2777</v>
      </c>
      <c r="S754" t="s">
        <v>62</v>
      </c>
      <c r="T754" s="11" t="str">
        <f>HYPERLINK("http://www.env.gov.bc.ca/esd/distdata/ecosystems/TEI_Scanned_Maps/C06/C06-2777","http://www.env.gov.bc.ca/esd/distdata/ecosystems/TEI_Scanned_Maps/C06/C06-2777")</f>
        <v>http://www.env.gov.bc.ca/esd/distdata/ecosystems/TEI_Scanned_Maps/C06/C06-2777</v>
      </c>
      <c r="U754" t="s">
        <v>58</v>
      </c>
      <c r="V754" t="s">
        <v>58</v>
      </c>
      <c r="W754" t="s">
        <v>58</v>
      </c>
      <c r="X754" t="s">
        <v>58</v>
      </c>
      <c r="Y754" t="s">
        <v>58</v>
      </c>
      <c r="Z754" t="s">
        <v>58</v>
      </c>
      <c r="AA754" t="s">
        <v>58</v>
      </c>
      <c r="AC754" t="s">
        <v>58</v>
      </c>
      <c r="AE754" t="s">
        <v>58</v>
      </c>
      <c r="AG754" t="s">
        <v>63</v>
      </c>
      <c r="AH754" s="11" t="str">
        <f t="shared" si="14"/>
        <v>mailto: soilterrain@victoria1.gov.bc.ca</v>
      </c>
    </row>
    <row r="755" spans="1:34">
      <c r="A755" t="s">
        <v>1811</v>
      </c>
      <c r="B755" t="s">
        <v>56</v>
      </c>
      <c r="C755" s="10" t="s">
        <v>1812</v>
      </c>
      <c r="D755" t="s">
        <v>58</v>
      </c>
      <c r="E755" t="s">
        <v>497</v>
      </c>
      <c r="F755" t="s">
        <v>1813</v>
      </c>
      <c r="G755">
        <v>50000</v>
      </c>
      <c r="H755">
        <v>1978</v>
      </c>
      <c r="I755" t="s">
        <v>58</v>
      </c>
      <c r="J755" t="s">
        <v>58</v>
      </c>
      <c r="K755" t="s">
        <v>58</v>
      </c>
      <c r="L755" t="s">
        <v>58</v>
      </c>
      <c r="M755" t="s">
        <v>58</v>
      </c>
      <c r="N755" t="s">
        <v>61</v>
      </c>
      <c r="Q755" t="s">
        <v>58</v>
      </c>
      <c r="R755" s="11" t="str">
        <f>HYPERLINK("\\imagefiles.bcgov\imagery\scanned_maps\moe_terrain_maps\Scanned_T_maps_all\C06\C06-2794","\\imagefiles.bcgov\imagery\scanned_maps\moe_terrain_maps\Scanned_T_maps_all\C06\C06-2794")</f>
        <v>\\imagefiles.bcgov\imagery\scanned_maps\moe_terrain_maps\Scanned_T_maps_all\C06\C06-2794</v>
      </c>
      <c r="S755" t="s">
        <v>62</v>
      </c>
      <c r="T755" s="11" t="str">
        <f>HYPERLINK("http://www.env.gov.bc.ca/esd/distdata/ecosystems/TEI_Scanned_Maps/C06/C06-2794","http://www.env.gov.bc.ca/esd/distdata/ecosystems/TEI_Scanned_Maps/C06/C06-2794")</f>
        <v>http://www.env.gov.bc.ca/esd/distdata/ecosystems/TEI_Scanned_Maps/C06/C06-2794</v>
      </c>
      <c r="U755" t="s">
        <v>58</v>
      </c>
      <c r="V755" t="s">
        <v>58</v>
      </c>
      <c r="W755" t="s">
        <v>58</v>
      </c>
      <c r="X755" t="s">
        <v>58</v>
      </c>
      <c r="Y755" t="s">
        <v>58</v>
      </c>
      <c r="Z755" t="s">
        <v>58</v>
      </c>
      <c r="AA755" t="s">
        <v>58</v>
      </c>
      <c r="AC755" t="s">
        <v>58</v>
      </c>
      <c r="AE755" t="s">
        <v>58</v>
      </c>
      <c r="AG755" t="s">
        <v>63</v>
      </c>
      <c r="AH755" s="11" t="str">
        <f t="shared" si="14"/>
        <v>mailto: soilterrain@victoria1.gov.bc.ca</v>
      </c>
    </row>
    <row r="756" spans="1:34">
      <c r="A756" t="s">
        <v>1814</v>
      </c>
      <c r="B756" t="s">
        <v>56</v>
      </c>
      <c r="C756" s="10" t="s">
        <v>1815</v>
      </c>
      <c r="D756" t="s">
        <v>58</v>
      </c>
      <c r="E756" t="s">
        <v>497</v>
      </c>
      <c r="F756" t="s">
        <v>1816</v>
      </c>
      <c r="G756">
        <v>50000</v>
      </c>
      <c r="H756">
        <v>1981</v>
      </c>
      <c r="I756" t="s">
        <v>58</v>
      </c>
      <c r="J756" t="s">
        <v>58</v>
      </c>
      <c r="K756" t="s">
        <v>58</v>
      </c>
      <c r="L756" t="s">
        <v>58</v>
      </c>
      <c r="M756" t="s">
        <v>58</v>
      </c>
      <c r="N756" t="s">
        <v>61</v>
      </c>
      <c r="Q756" t="s">
        <v>58</v>
      </c>
      <c r="R756" s="11" t="str">
        <f>HYPERLINK("\\imagefiles.bcgov\imagery\scanned_maps\moe_terrain_maps\Scanned_T_maps_all\C06\C06-2795","\\imagefiles.bcgov\imagery\scanned_maps\moe_terrain_maps\Scanned_T_maps_all\C06\C06-2795")</f>
        <v>\\imagefiles.bcgov\imagery\scanned_maps\moe_terrain_maps\Scanned_T_maps_all\C06\C06-2795</v>
      </c>
      <c r="S756" t="s">
        <v>62</v>
      </c>
      <c r="T756" s="11" t="str">
        <f>HYPERLINK("http://www.env.gov.bc.ca/esd/distdata/ecosystems/TEI_Scanned_Maps/C06/C06-2795","http://www.env.gov.bc.ca/esd/distdata/ecosystems/TEI_Scanned_Maps/C06/C06-2795")</f>
        <v>http://www.env.gov.bc.ca/esd/distdata/ecosystems/TEI_Scanned_Maps/C06/C06-2795</v>
      </c>
      <c r="U756" t="s">
        <v>58</v>
      </c>
      <c r="V756" t="s">
        <v>58</v>
      </c>
      <c r="W756" t="s">
        <v>58</v>
      </c>
      <c r="X756" t="s">
        <v>58</v>
      </c>
      <c r="Y756" t="s">
        <v>58</v>
      </c>
      <c r="Z756" t="s">
        <v>58</v>
      </c>
      <c r="AA756" t="s">
        <v>58</v>
      </c>
      <c r="AC756" t="s">
        <v>58</v>
      </c>
      <c r="AE756" t="s">
        <v>58</v>
      </c>
      <c r="AG756" t="s">
        <v>63</v>
      </c>
      <c r="AH756" s="11" t="str">
        <f t="shared" si="14"/>
        <v>mailto: soilterrain@victoria1.gov.bc.ca</v>
      </c>
    </row>
    <row r="757" spans="1:34">
      <c r="A757" t="s">
        <v>1817</v>
      </c>
      <c r="B757" t="s">
        <v>56</v>
      </c>
      <c r="C757" s="10" t="s">
        <v>1818</v>
      </c>
      <c r="D757" t="s">
        <v>58</v>
      </c>
      <c r="E757" t="s">
        <v>497</v>
      </c>
      <c r="F757" t="s">
        <v>1819</v>
      </c>
      <c r="G757">
        <v>50000</v>
      </c>
      <c r="H757">
        <v>1978</v>
      </c>
      <c r="I757" t="s">
        <v>58</v>
      </c>
      <c r="J757" t="s">
        <v>58</v>
      </c>
      <c r="K757" t="s">
        <v>58</v>
      </c>
      <c r="L757" t="s">
        <v>58</v>
      </c>
      <c r="M757" t="s">
        <v>58</v>
      </c>
      <c r="N757" t="s">
        <v>61</v>
      </c>
      <c r="Q757" t="s">
        <v>58</v>
      </c>
      <c r="R757" s="11" t="str">
        <f>HYPERLINK("\\imagefiles.bcgov\imagery\scanned_maps\moe_terrain_maps\Scanned_T_maps_all\C06\C06-2796","\\imagefiles.bcgov\imagery\scanned_maps\moe_terrain_maps\Scanned_T_maps_all\C06\C06-2796")</f>
        <v>\\imagefiles.bcgov\imagery\scanned_maps\moe_terrain_maps\Scanned_T_maps_all\C06\C06-2796</v>
      </c>
      <c r="S757" t="s">
        <v>62</v>
      </c>
      <c r="T757" s="11" t="str">
        <f>HYPERLINK("http://www.env.gov.bc.ca/esd/distdata/ecosystems/TEI_Scanned_Maps/C06/C06-2796","http://www.env.gov.bc.ca/esd/distdata/ecosystems/TEI_Scanned_Maps/C06/C06-2796")</f>
        <v>http://www.env.gov.bc.ca/esd/distdata/ecosystems/TEI_Scanned_Maps/C06/C06-2796</v>
      </c>
      <c r="U757" t="s">
        <v>58</v>
      </c>
      <c r="V757" t="s">
        <v>58</v>
      </c>
      <c r="W757" t="s">
        <v>58</v>
      </c>
      <c r="X757" t="s">
        <v>58</v>
      </c>
      <c r="Y757" t="s">
        <v>58</v>
      </c>
      <c r="Z757" t="s">
        <v>58</v>
      </c>
      <c r="AA757" t="s">
        <v>58</v>
      </c>
      <c r="AC757" t="s">
        <v>58</v>
      </c>
      <c r="AE757" t="s">
        <v>58</v>
      </c>
      <c r="AG757" t="s">
        <v>63</v>
      </c>
      <c r="AH757" s="11" t="str">
        <f t="shared" si="14"/>
        <v>mailto: soilterrain@victoria1.gov.bc.ca</v>
      </c>
    </row>
    <row r="758" spans="1:34">
      <c r="A758" t="s">
        <v>1820</v>
      </c>
      <c r="B758" t="s">
        <v>56</v>
      </c>
      <c r="C758" s="10" t="s">
        <v>1821</v>
      </c>
      <c r="D758" t="s">
        <v>58</v>
      </c>
      <c r="E758" t="s">
        <v>497</v>
      </c>
      <c r="F758" t="s">
        <v>1822</v>
      </c>
      <c r="G758">
        <v>50000</v>
      </c>
      <c r="H758">
        <v>1968</v>
      </c>
      <c r="I758" t="s">
        <v>58</v>
      </c>
      <c r="J758" t="s">
        <v>58</v>
      </c>
      <c r="K758" t="s">
        <v>58</v>
      </c>
      <c r="L758" t="s">
        <v>58</v>
      </c>
      <c r="M758" t="s">
        <v>58</v>
      </c>
      <c r="N758" t="s">
        <v>61</v>
      </c>
      <c r="Q758" t="s">
        <v>58</v>
      </c>
      <c r="R758" s="11" t="str">
        <f>HYPERLINK("\\imagefiles.bcgov\imagery\scanned_maps\moe_terrain_maps\Scanned_T_maps_all\C06\C06-2798","\\imagefiles.bcgov\imagery\scanned_maps\moe_terrain_maps\Scanned_T_maps_all\C06\C06-2798")</f>
        <v>\\imagefiles.bcgov\imagery\scanned_maps\moe_terrain_maps\Scanned_T_maps_all\C06\C06-2798</v>
      </c>
      <c r="S758" t="s">
        <v>62</v>
      </c>
      <c r="T758" s="11" t="str">
        <f>HYPERLINK("http://www.env.gov.bc.ca/esd/distdata/ecosystems/TEI_Scanned_Maps/C06/C06-2798","http://www.env.gov.bc.ca/esd/distdata/ecosystems/TEI_Scanned_Maps/C06/C06-2798")</f>
        <v>http://www.env.gov.bc.ca/esd/distdata/ecosystems/TEI_Scanned_Maps/C06/C06-2798</v>
      </c>
      <c r="U758" t="s">
        <v>58</v>
      </c>
      <c r="V758" t="s">
        <v>58</v>
      </c>
      <c r="W758" t="s">
        <v>58</v>
      </c>
      <c r="X758" t="s">
        <v>58</v>
      </c>
      <c r="Y758" t="s">
        <v>58</v>
      </c>
      <c r="Z758" t="s">
        <v>58</v>
      </c>
      <c r="AA758" t="s">
        <v>58</v>
      </c>
      <c r="AC758" t="s">
        <v>58</v>
      </c>
      <c r="AE758" t="s">
        <v>58</v>
      </c>
      <c r="AG758" t="s">
        <v>63</v>
      </c>
      <c r="AH758" s="11" t="str">
        <f t="shared" si="14"/>
        <v>mailto: soilterrain@victoria1.gov.bc.ca</v>
      </c>
    </row>
    <row r="759" spans="1:34">
      <c r="A759" t="s">
        <v>1823</v>
      </c>
      <c r="B759" t="s">
        <v>56</v>
      </c>
      <c r="C759" s="10" t="s">
        <v>1824</v>
      </c>
      <c r="D759" t="s">
        <v>58</v>
      </c>
      <c r="E759" t="s">
        <v>497</v>
      </c>
      <c r="F759" t="s">
        <v>1825</v>
      </c>
      <c r="G759">
        <v>50000</v>
      </c>
      <c r="H759">
        <v>1978</v>
      </c>
      <c r="I759" t="s">
        <v>58</v>
      </c>
      <c r="J759" t="s">
        <v>58</v>
      </c>
      <c r="K759" t="s">
        <v>58</v>
      </c>
      <c r="L759" t="s">
        <v>58</v>
      </c>
      <c r="M759" t="s">
        <v>58</v>
      </c>
      <c r="N759" t="s">
        <v>61</v>
      </c>
      <c r="Q759" t="s">
        <v>58</v>
      </c>
      <c r="R759" s="11" t="str">
        <f>HYPERLINK("\\imagefiles.bcgov\imagery\scanned_maps\moe_terrain_maps\Scanned_T_maps_all\C06\C06-28","\\imagefiles.bcgov\imagery\scanned_maps\moe_terrain_maps\Scanned_T_maps_all\C06\C06-28")</f>
        <v>\\imagefiles.bcgov\imagery\scanned_maps\moe_terrain_maps\Scanned_T_maps_all\C06\C06-28</v>
      </c>
      <c r="S759" t="s">
        <v>62</v>
      </c>
      <c r="T759" s="11" t="str">
        <f>HYPERLINK("http://www.env.gov.bc.ca/esd/distdata/ecosystems/TEI_Scanned_Maps/C06/C06-28","http://www.env.gov.bc.ca/esd/distdata/ecosystems/TEI_Scanned_Maps/C06/C06-28")</f>
        <v>http://www.env.gov.bc.ca/esd/distdata/ecosystems/TEI_Scanned_Maps/C06/C06-28</v>
      </c>
      <c r="U759" t="s">
        <v>58</v>
      </c>
      <c r="V759" t="s">
        <v>58</v>
      </c>
      <c r="W759" t="s">
        <v>58</v>
      </c>
      <c r="X759" t="s">
        <v>58</v>
      </c>
      <c r="Y759" t="s">
        <v>58</v>
      </c>
      <c r="Z759" t="s">
        <v>58</v>
      </c>
      <c r="AA759" t="s">
        <v>58</v>
      </c>
      <c r="AC759" t="s">
        <v>58</v>
      </c>
      <c r="AE759" t="s">
        <v>58</v>
      </c>
      <c r="AG759" t="s">
        <v>63</v>
      </c>
      <c r="AH759" s="11" t="str">
        <f t="shared" si="14"/>
        <v>mailto: soilterrain@victoria1.gov.bc.ca</v>
      </c>
    </row>
    <row r="760" spans="1:34">
      <c r="A760" t="s">
        <v>1826</v>
      </c>
      <c r="B760" t="s">
        <v>56</v>
      </c>
      <c r="C760" s="10" t="s">
        <v>1827</v>
      </c>
      <c r="D760" t="s">
        <v>58</v>
      </c>
      <c r="E760" t="s">
        <v>497</v>
      </c>
      <c r="F760" t="s">
        <v>1828</v>
      </c>
      <c r="G760">
        <v>50000</v>
      </c>
      <c r="H760">
        <v>1968</v>
      </c>
      <c r="I760" t="s">
        <v>58</v>
      </c>
      <c r="J760" t="s">
        <v>58</v>
      </c>
      <c r="K760" t="s">
        <v>58</v>
      </c>
      <c r="L760" t="s">
        <v>58</v>
      </c>
      <c r="M760" t="s">
        <v>58</v>
      </c>
      <c r="N760" t="s">
        <v>61</v>
      </c>
      <c r="Q760" t="s">
        <v>58</v>
      </c>
      <c r="R760" s="11" t="str">
        <f>HYPERLINK("\\imagefiles.bcgov\imagery\scanned_maps\moe_terrain_maps\Scanned_T_maps_all\C06\C06-2800","\\imagefiles.bcgov\imagery\scanned_maps\moe_terrain_maps\Scanned_T_maps_all\C06\C06-2800")</f>
        <v>\\imagefiles.bcgov\imagery\scanned_maps\moe_terrain_maps\Scanned_T_maps_all\C06\C06-2800</v>
      </c>
      <c r="S760" t="s">
        <v>62</v>
      </c>
      <c r="T760" s="11" t="str">
        <f>HYPERLINK("http://www.env.gov.bc.ca/esd/distdata/ecosystems/TEI_Scanned_Maps/C06/C06-2800","http://www.env.gov.bc.ca/esd/distdata/ecosystems/TEI_Scanned_Maps/C06/C06-2800")</f>
        <v>http://www.env.gov.bc.ca/esd/distdata/ecosystems/TEI_Scanned_Maps/C06/C06-2800</v>
      </c>
      <c r="U760" t="s">
        <v>58</v>
      </c>
      <c r="V760" t="s">
        <v>58</v>
      </c>
      <c r="W760" t="s">
        <v>58</v>
      </c>
      <c r="X760" t="s">
        <v>58</v>
      </c>
      <c r="Y760" t="s">
        <v>58</v>
      </c>
      <c r="Z760" t="s">
        <v>58</v>
      </c>
      <c r="AA760" t="s">
        <v>58</v>
      </c>
      <c r="AC760" t="s">
        <v>58</v>
      </c>
      <c r="AE760" t="s">
        <v>58</v>
      </c>
      <c r="AG760" t="s">
        <v>63</v>
      </c>
      <c r="AH760" s="11" t="str">
        <f t="shared" si="14"/>
        <v>mailto: soilterrain@victoria1.gov.bc.ca</v>
      </c>
    </row>
    <row r="761" spans="1:34">
      <c r="A761" t="s">
        <v>1829</v>
      </c>
      <c r="B761" t="s">
        <v>56</v>
      </c>
      <c r="C761" s="10" t="s">
        <v>1830</v>
      </c>
      <c r="D761" t="s">
        <v>58</v>
      </c>
      <c r="E761" t="s">
        <v>497</v>
      </c>
      <c r="F761" t="s">
        <v>1831</v>
      </c>
      <c r="G761">
        <v>50000</v>
      </c>
      <c r="H761">
        <v>1978</v>
      </c>
      <c r="I761" t="s">
        <v>58</v>
      </c>
      <c r="J761" t="s">
        <v>58</v>
      </c>
      <c r="K761" t="s">
        <v>58</v>
      </c>
      <c r="L761" t="s">
        <v>58</v>
      </c>
      <c r="M761" t="s">
        <v>58</v>
      </c>
      <c r="N761" t="s">
        <v>61</v>
      </c>
      <c r="Q761" t="s">
        <v>58</v>
      </c>
      <c r="R761" s="11" t="str">
        <f>HYPERLINK("\\imagefiles.bcgov\imagery\scanned_maps\moe_terrain_maps\Scanned_T_maps_all\C06\C06-2802","\\imagefiles.bcgov\imagery\scanned_maps\moe_terrain_maps\Scanned_T_maps_all\C06\C06-2802")</f>
        <v>\\imagefiles.bcgov\imagery\scanned_maps\moe_terrain_maps\Scanned_T_maps_all\C06\C06-2802</v>
      </c>
      <c r="S761" t="s">
        <v>62</v>
      </c>
      <c r="T761" s="11" t="str">
        <f>HYPERLINK("http://www.env.gov.bc.ca/esd/distdata/ecosystems/TEI_Scanned_Maps/C06/C06-2802","http://www.env.gov.bc.ca/esd/distdata/ecosystems/TEI_Scanned_Maps/C06/C06-2802")</f>
        <v>http://www.env.gov.bc.ca/esd/distdata/ecosystems/TEI_Scanned_Maps/C06/C06-2802</v>
      </c>
      <c r="U761" t="s">
        <v>58</v>
      </c>
      <c r="V761" t="s">
        <v>58</v>
      </c>
      <c r="W761" t="s">
        <v>58</v>
      </c>
      <c r="X761" t="s">
        <v>58</v>
      </c>
      <c r="Y761" t="s">
        <v>58</v>
      </c>
      <c r="Z761" t="s">
        <v>58</v>
      </c>
      <c r="AA761" t="s">
        <v>58</v>
      </c>
      <c r="AC761" t="s">
        <v>58</v>
      </c>
      <c r="AE761" t="s">
        <v>58</v>
      </c>
      <c r="AG761" t="s">
        <v>63</v>
      </c>
      <c r="AH761" s="11" t="str">
        <f t="shared" si="14"/>
        <v>mailto: soilterrain@victoria1.gov.bc.ca</v>
      </c>
    </row>
    <row r="762" spans="1:34">
      <c r="A762" t="s">
        <v>1832</v>
      </c>
      <c r="B762" t="s">
        <v>56</v>
      </c>
      <c r="C762" s="10" t="s">
        <v>1833</v>
      </c>
      <c r="D762" t="s">
        <v>58</v>
      </c>
      <c r="E762" t="s">
        <v>497</v>
      </c>
      <c r="F762" t="s">
        <v>1834</v>
      </c>
      <c r="G762">
        <v>50000</v>
      </c>
      <c r="H762">
        <v>1983</v>
      </c>
      <c r="I762" t="s">
        <v>58</v>
      </c>
      <c r="J762" t="s">
        <v>58</v>
      </c>
      <c r="K762" t="s">
        <v>58</v>
      </c>
      <c r="L762" t="s">
        <v>58</v>
      </c>
      <c r="M762" t="s">
        <v>58</v>
      </c>
      <c r="N762" t="s">
        <v>61</v>
      </c>
      <c r="Q762" t="s">
        <v>58</v>
      </c>
      <c r="R762" s="11" t="str">
        <f>HYPERLINK("\\imagefiles.bcgov\imagery\scanned_maps\moe_terrain_maps\Scanned_T_maps_all\C06\C06-2804","\\imagefiles.bcgov\imagery\scanned_maps\moe_terrain_maps\Scanned_T_maps_all\C06\C06-2804")</f>
        <v>\\imagefiles.bcgov\imagery\scanned_maps\moe_terrain_maps\Scanned_T_maps_all\C06\C06-2804</v>
      </c>
      <c r="S762" t="s">
        <v>62</v>
      </c>
      <c r="T762" s="11" t="str">
        <f>HYPERLINK("http://www.env.gov.bc.ca/esd/distdata/ecosystems/TEI_Scanned_Maps/C06/C06-2804","http://www.env.gov.bc.ca/esd/distdata/ecosystems/TEI_Scanned_Maps/C06/C06-2804")</f>
        <v>http://www.env.gov.bc.ca/esd/distdata/ecosystems/TEI_Scanned_Maps/C06/C06-2804</v>
      </c>
      <c r="U762" t="s">
        <v>58</v>
      </c>
      <c r="V762" t="s">
        <v>58</v>
      </c>
      <c r="W762" t="s">
        <v>58</v>
      </c>
      <c r="X762" t="s">
        <v>58</v>
      </c>
      <c r="Y762" t="s">
        <v>58</v>
      </c>
      <c r="Z762" t="s">
        <v>58</v>
      </c>
      <c r="AA762" t="s">
        <v>58</v>
      </c>
      <c r="AC762" t="s">
        <v>58</v>
      </c>
      <c r="AE762" t="s">
        <v>58</v>
      </c>
      <c r="AG762" t="s">
        <v>63</v>
      </c>
      <c r="AH762" s="11" t="str">
        <f t="shared" si="14"/>
        <v>mailto: soilterrain@victoria1.gov.bc.ca</v>
      </c>
    </row>
    <row r="763" spans="1:34">
      <c r="A763" t="s">
        <v>1835</v>
      </c>
      <c r="B763" t="s">
        <v>56</v>
      </c>
      <c r="C763" s="10" t="s">
        <v>1836</v>
      </c>
      <c r="D763" t="s">
        <v>58</v>
      </c>
      <c r="E763" t="s">
        <v>497</v>
      </c>
      <c r="F763" t="s">
        <v>1837</v>
      </c>
      <c r="G763">
        <v>50000</v>
      </c>
      <c r="H763">
        <v>1978</v>
      </c>
      <c r="I763" t="s">
        <v>58</v>
      </c>
      <c r="J763" t="s">
        <v>58</v>
      </c>
      <c r="K763" t="s">
        <v>58</v>
      </c>
      <c r="L763" t="s">
        <v>58</v>
      </c>
      <c r="M763" t="s">
        <v>58</v>
      </c>
      <c r="N763" t="s">
        <v>61</v>
      </c>
      <c r="Q763" t="s">
        <v>58</v>
      </c>
      <c r="R763" s="11" t="str">
        <f>HYPERLINK("\\imagefiles.bcgov\imagery\scanned_maps\moe_terrain_maps\Scanned_T_maps_all\C06\C06-2805","\\imagefiles.bcgov\imagery\scanned_maps\moe_terrain_maps\Scanned_T_maps_all\C06\C06-2805")</f>
        <v>\\imagefiles.bcgov\imagery\scanned_maps\moe_terrain_maps\Scanned_T_maps_all\C06\C06-2805</v>
      </c>
      <c r="S763" t="s">
        <v>62</v>
      </c>
      <c r="T763" s="11" t="str">
        <f>HYPERLINK("http://www.env.gov.bc.ca/esd/distdata/ecosystems/TEI_Scanned_Maps/C06/C06-2805","http://www.env.gov.bc.ca/esd/distdata/ecosystems/TEI_Scanned_Maps/C06/C06-2805")</f>
        <v>http://www.env.gov.bc.ca/esd/distdata/ecosystems/TEI_Scanned_Maps/C06/C06-2805</v>
      </c>
      <c r="U763" t="s">
        <v>58</v>
      </c>
      <c r="V763" t="s">
        <v>58</v>
      </c>
      <c r="W763" t="s">
        <v>58</v>
      </c>
      <c r="X763" t="s">
        <v>58</v>
      </c>
      <c r="Y763" t="s">
        <v>58</v>
      </c>
      <c r="Z763" t="s">
        <v>58</v>
      </c>
      <c r="AA763" t="s">
        <v>58</v>
      </c>
      <c r="AC763" t="s">
        <v>58</v>
      </c>
      <c r="AE763" t="s">
        <v>58</v>
      </c>
      <c r="AG763" t="s">
        <v>63</v>
      </c>
      <c r="AH763" s="11" t="str">
        <f t="shared" si="14"/>
        <v>mailto: soilterrain@victoria1.gov.bc.ca</v>
      </c>
    </row>
    <row r="764" spans="1:34">
      <c r="A764" t="s">
        <v>1838</v>
      </c>
      <c r="B764" t="s">
        <v>56</v>
      </c>
      <c r="C764" s="10" t="s">
        <v>1839</v>
      </c>
      <c r="D764" t="s">
        <v>58</v>
      </c>
      <c r="E764" t="s">
        <v>497</v>
      </c>
      <c r="F764" t="s">
        <v>1840</v>
      </c>
      <c r="G764">
        <v>50000</v>
      </c>
      <c r="H764">
        <v>1991</v>
      </c>
      <c r="I764" t="s">
        <v>58</v>
      </c>
      <c r="J764" t="s">
        <v>58</v>
      </c>
      <c r="K764" t="s">
        <v>58</v>
      </c>
      <c r="L764" t="s">
        <v>58</v>
      </c>
      <c r="M764" t="s">
        <v>58</v>
      </c>
      <c r="N764" t="s">
        <v>61</v>
      </c>
      <c r="Q764" t="s">
        <v>58</v>
      </c>
      <c r="R764" s="11" t="str">
        <f>HYPERLINK("\\imagefiles.bcgov\imagery\scanned_maps\moe_terrain_maps\Scanned_T_maps_all\C06\C06-2810","\\imagefiles.bcgov\imagery\scanned_maps\moe_terrain_maps\Scanned_T_maps_all\C06\C06-2810")</f>
        <v>\\imagefiles.bcgov\imagery\scanned_maps\moe_terrain_maps\Scanned_T_maps_all\C06\C06-2810</v>
      </c>
      <c r="S764" t="s">
        <v>62</v>
      </c>
      <c r="T764" s="11" t="str">
        <f>HYPERLINK("http://www.env.gov.bc.ca/esd/distdata/ecosystems/TEI_Scanned_Maps/C06/C06-2810","http://www.env.gov.bc.ca/esd/distdata/ecosystems/TEI_Scanned_Maps/C06/C06-2810")</f>
        <v>http://www.env.gov.bc.ca/esd/distdata/ecosystems/TEI_Scanned_Maps/C06/C06-2810</v>
      </c>
      <c r="U764" t="s">
        <v>58</v>
      </c>
      <c r="V764" t="s">
        <v>58</v>
      </c>
      <c r="W764" t="s">
        <v>58</v>
      </c>
      <c r="X764" t="s">
        <v>58</v>
      </c>
      <c r="Y764" t="s">
        <v>58</v>
      </c>
      <c r="Z764" t="s">
        <v>58</v>
      </c>
      <c r="AA764" t="s">
        <v>58</v>
      </c>
      <c r="AC764" t="s">
        <v>58</v>
      </c>
      <c r="AE764" t="s">
        <v>58</v>
      </c>
      <c r="AG764" t="s">
        <v>63</v>
      </c>
      <c r="AH764" s="11" t="str">
        <f t="shared" si="14"/>
        <v>mailto: soilterrain@victoria1.gov.bc.ca</v>
      </c>
    </row>
    <row r="765" spans="1:34">
      <c r="A765" t="s">
        <v>1841</v>
      </c>
      <c r="B765" t="s">
        <v>56</v>
      </c>
      <c r="C765" s="10" t="s">
        <v>1842</v>
      </c>
      <c r="D765" t="s">
        <v>58</v>
      </c>
      <c r="E765" t="s">
        <v>497</v>
      </c>
      <c r="F765" t="s">
        <v>1843</v>
      </c>
      <c r="G765">
        <v>50000</v>
      </c>
      <c r="H765">
        <v>1991</v>
      </c>
      <c r="I765" t="s">
        <v>58</v>
      </c>
      <c r="J765" t="s">
        <v>58</v>
      </c>
      <c r="K765" t="s">
        <v>58</v>
      </c>
      <c r="L765" t="s">
        <v>58</v>
      </c>
      <c r="M765" t="s">
        <v>58</v>
      </c>
      <c r="N765" t="s">
        <v>61</v>
      </c>
      <c r="Q765" t="s">
        <v>58</v>
      </c>
      <c r="R765" s="11" t="str">
        <f>HYPERLINK("\\imagefiles.bcgov\imagery\scanned_maps\moe_terrain_maps\Scanned_T_maps_all\C06\C06-2812","\\imagefiles.bcgov\imagery\scanned_maps\moe_terrain_maps\Scanned_T_maps_all\C06\C06-2812")</f>
        <v>\\imagefiles.bcgov\imagery\scanned_maps\moe_terrain_maps\Scanned_T_maps_all\C06\C06-2812</v>
      </c>
      <c r="S765" t="s">
        <v>62</v>
      </c>
      <c r="T765" s="11" t="str">
        <f>HYPERLINK("http://www.env.gov.bc.ca/esd/distdata/ecosystems/TEI_Scanned_Maps/C06/C06-2812","http://www.env.gov.bc.ca/esd/distdata/ecosystems/TEI_Scanned_Maps/C06/C06-2812")</f>
        <v>http://www.env.gov.bc.ca/esd/distdata/ecosystems/TEI_Scanned_Maps/C06/C06-2812</v>
      </c>
      <c r="U765" t="s">
        <v>58</v>
      </c>
      <c r="V765" t="s">
        <v>58</v>
      </c>
      <c r="W765" t="s">
        <v>58</v>
      </c>
      <c r="X765" t="s">
        <v>58</v>
      </c>
      <c r="Y765" t="s">
        <v>58</v>
      </c>
      <c r="Z765" t="s">
        <v>58</v>
      </c>
      <c r="AA765" t="s">
        <v>58</v>
      </c>
      <c r="AC765" t="s">
        <v>58</v>
      </c>
      <c r="AE765" t="s">
        <v>58</v>
      </c>
      <c r="AG765" t="s">
        <v>63</v>
      </c>
      <c r="AH765" s="11" t="str">
        <f t="shared" si="14"/>
        <v>mailto: soilterrain@victoria1.gov.bc.ca</v>
      </c>
    </row>
    <row r="766" spans="1:34">
      <c r="A766" t="s">
        <v>1844</v>
      </c>
      <c r="B766" t="s">
        <v>56</v>
      </c>
      <c r="C766" s="10" t="s">
        <v>1845</v>
      </c>
      <c r="D766" t="s">
        <v>58</v>
      </c>
      <c r="E766" t="s">
        <v>497</v>
      </c>
      <c r="F766" t="s">
        <v>1846</v>
      </c>
      <c r="G766">
        <v>50000</v>
      </c>
      <c r="H766" t="s">
        <v>187</v>
      </c>
      <c r="I766" t="s">
        <v>58</v>
      </c>
      <c r="J766" t="s">
        <v>58</v>
      </c>
      <c r="K766" t="s">
        <v>58</v>
      </c>
      <c r="L766" t="s">
        <v>58</v>
      </c>
      <c r="M766" t="s">
        <v>58</v>
      </c>
      <c r="N766" t="s">
        <v>61</v>
      </c>
      <c r="Q766" t="s">
        <v>58</v>
      </c>
      <c r="R766" s="11" t="str">
        <f>HYPERLINK("\\imagefiles.bcgov\imagery\scanned_maps\moe_terrain_maps\Scanned_T_maps_all\C06\C06-2814","\\imagefiles.bcgov\imagery\scanned_maps\moe_terrain_maps\Scanned_T_maps_all\C06\C06-2814")</f>
        <v>\\imagefiles.bcgov\imagery\scanned_maps\moe_terrain_maps\Scanned_T_maps_all\C06\C06-2814</v>
      </c>
      <c r="S766" t="s">
        <v>62</v>
      </c>
      <c r="T766" s="11" t="str">
        <f>HYPERLINK("http://www.env.gov.bc.ca/esd/distdata/ecosystems/TEI_Scanned_Maps/C06/C06-2814","http://www.env.gov.bc.ca/esd/distdata/ecosystems/TEI_Scanned_Maps/C06/C06-2814")</f>
        <v>http://www.env.gov.bc.ca/esd/distdata/ecosystems/TEI_Scanned_Maps/C06/C06-2814</v>
      </c>
      <c r="U766" t="s">
        <v>58</v>
      </c>
      <c r="V766" t="s">
        <v>58</v>
      </c>
      <c r="W766" t="s">
        <v>58</v>
      </c>
      <c r="X766" t="s">
        <v>58</v>
      </c>
      <c r="Y766" t="s">
        <v>58</v>
      </c>
      <c r="Z766" t="s">
        <v>58</v>
      </c>
      <c r="AA766" t="s">
        <v>58</v>
      </c>
      <c r="AC766" t="s">
        <v>58</v>
      </c>
      <c r="AE766" t="s">
        <v>58</v>
      </c>
      <c r="AG766" t="s">
        <v>63</v>
      </c>
      <c r="AH766" s="11" t="str">
        <f t="shared" si="14"/>
        <v>mailto: soilterrain@victoria1.gov.bc.ca</v>
      </c>
    </row>
    <row r="767" spans="1:34">
      <c r="A767" t="s">
        <v>1847</v>
      </c>
      <c r="B767" t="s">
        <v>56</v>
      </c>
      <c r="C767" s="10" t="s">
        <v>1848</v>
      </c>
      <c r="D767" t="s">
        <v>58</v>
      </c>
      <c r="E767" t="s">
        <v>497</v>
      </c>
      <c r="F767" t="s">
        <v>1849</v>
      </c>
      <c r="G767">
        <v>50000</v>
      </c>
      <c r="H767" t="s">
        <v>187</v>
      </c>
      <c r="I767" t="s">
        <v>58</v>
      </c>
      <c r="J767" t="s">
        <v>58</v>
      </c>
      <c r="K767" t="s">
        <v>58</v>
      </c>
      <c r="L767" t="s">
        <v>58</v>
      </c>
      <c r="M767" t="s">
        <v>58</v>
      </c>
      <c r="N767" t="s">
        <v>61</v>
      </c>
      <c r="Q767" t="s">
        <v>58</v>
      </c>
      <c r="R767" s="11" t="str">
        <f>HYPERLINK("\\imagefiles.bcgov\imagery\scanned_maps\moe_terrain_maps\Scanned_T_maps_all\C06\C06-2816","\\imagefiles.bcgov\imagery\scanned_maps\moe_terrain_maps\Scanned_T_maps_all\C06\C06-2816")</f>
        <v>\\imagefiles.bcgov\imagery\scanned_maps\moe_terrain_maps\Scanned_T_maps_all\C06\C06-2816</v>
      </c>
      <c r="S767" t="s">
        <v>62</v>
      </c>
      <c r="T767" s="11" t="str">
        <f>HYPERLINK("http://www.env.gov.bc.ca/esd/distdata/ecosystems/TEI_Scanned_Maps/C06/C06-2816","http://www.env.gov.bc.ca/esd/distdata/ecosystems/TEI_Scanned_Maps/C06/C06-2816")</f>
        <v>http://www.env.gov.bc.ca/esd/distdata/ecosystems/TEI_Scanned_Maps/C06/C06-2816</v>
      </c>
      <c r="U767" t="s">
        <v>58</v>
      </c>
      <c r="V767" t="s">
        <v>58</v>
      </c>
      <c r="W767" t="s">
        <v>58</v>
      </c>
      <c r="X767" t="s">
        <v>58</v>
      </c>
      <c r="Y767" t="s">
        <v>58</v>
      </c>
      <c r="Z767" t="s">
        <v>58</v>
      </c>
      <c r="AA767" t="s">
        <v>58</v>
      </c>
      <c r="AC767" t="s">
        <v>58</v>
      </c>
      <c r="AE767" t="s">
        <v>58</v>
      </c>
      <c r="AG767" t="s">
        <v>63</v>
      </c>
      <c r="AH767" s="11" t="str">
        <f t="shared" si="14"/>
        <v>mailto: soilterrain@victoria1.gov.bc.ca</v>
      </c>
    </row>
    <row r="768" spans="1:34">
      <c r="A768" t="s">
        <v>1850</v>
      </c>
      <c r="B768" t="s">
        <v>56</v>
      </c>
      <c r="C768" s="10" t="s">
        <v>1851</v>
      </c>
      <c r="D768" t="s">
        <v>58</v>
      </c>
      <c r="E768" t="s">
        <v>497</v>
      </c>
      <c r="F768" t="s">
        <v>1852</v>
      </c>
      <c r="G768">
        <v>50000</v>
      </c>
      <c r="H768" t="s">
        <v>187</v>
      </c>
      <c r="I768" t="s">
        <v>58</v>
      </c>
      <c r="J768" t="s">
        <v>58</v>
      </c>
      <c r="K768" t="s">
        <v>58</v>
      </c>
      <c r="L768" t="s">
        <v>58</v>
      </c>
      <c r="M768" t="s">
        <v>58</v>
      </c>
      <c r="N768" t="s">
        <v>61</v>
      </c>
      <c r="Q768" t="s">
        <v>58</v>
      </c>
      <c r="R768" s="11" t="str">
        <f>HYPERLINK("\\imagefiles.bcgov\imagery\scanned_maps\moe_terrain_maps\Scanned_T_maps_all\C06\C06-2818","\\imagefiles.bcgov\imagery\scanned_maps\moe_terrain_maps\Scanned_T_maps_all\C06\C06-2818")</f>
        <v>\\imagefiles.bcgov\imagery\scanned_maps\moe_terrain_maps\Scanned_T_maps_all\C06\C06-2818</v>
      </c>
      <c r="S768" t="s">
        <v>62</v>
      </c>
      <c r="T768" s="11" t="str">
        <f>HYPERLINK("http://www.env.gov.bc.ca/esd/distdata/ecosystems/TEI_Scanned_Maps/C06/C06-2818","http://www.env.gov.bc.ca/esd/distdata/ecosystems/TEI_Scanned_Maps/C06/C06-2818")</f>
        <v>http://www.env.gov.bc.ca/esd/distdata/ecosystems/TEI_Scanned_Maps/C06/C06-2818</v>
      </c>
      <c r="U768" t="s">
        <v>58</v>
      </c>
      <c r="V768" t="s">
        <v>58</v>
      </c>
      <c r="W768" t="s">
        <v>58</v>
      </c>
      <c r="X768" t="s">
        <v>58</v>
      </c>
      <c r="Y768" t="s">
        <v>58</v>
      </c>
      <c r="Z768" t="s">
        <v>58</v>
      </c>
      <c r="AA768" t="s">
        <v>58</v>
      </c>
      <c r="AC768" t="s">
        <v>58</v>
      </c>
      <c r="AE768" t="s">
        <v>58</v>
      </c>
      <c r="AG768" t="s">
        <v>63</v>
      </c>
      <c r="AH768" s="11" t="str">
        <f t="shared" si="14"/>
        <v>mailto: soilterrain@victoria1.gov.bc.ca</v>
      </c>
    </row>
    <row r="769" spans="1:34">
      <c r="A769" t="s">
        <v>1853</v>
      </c>
      <c r="B769" t="s">
        <v>56</v>
      </c>
      <c r="C769" s="10" t="s">
        <v>1854</v>
      </c>
      <c r="D769" t="s">
        <v>58</v>
      </c>
      <c r="E769" t="s">
        <v>497</v>
      </c>
      <c r="F769" t="s">
        <v>1855</v>
      </c>
      <c r="G769">
        <v>50000</v>
      </c>
      <c r="H769">
        <v>1991</v>
      </c>
      <c r="I769" t="s">
        <v>58</v>
      </c>
      <c r="J769" t="s">
        <v>58</v>
      </c>
      <c r="K769" t="s">
        <v>58</v>
      </c>
      <c r="L769" t="s">
        <v>58</v>
      </c>
      <c r="M769" t="s">
        <v>58</v>
      </c>
      <c r="N769" t="s">
        <v>61</v>
      </c>
      <c r="Q769" t="s">
        <v>58</v>
      </c>
      <c r="R769" s="11" t="str">
        <f>HYPERLINK("\\imagefiles.bcgov\imagery\scanned_maps\moe_terrain_maps\Scanned_T_maps_all\C06\C06-2820","\\imagefiles.bcgov\imagery\scanned_maps\moe_terrain_maps\Scanned_T_maps_all\C06\C06-2820")</f>
        <v>\\imagefiles.bcgov\imagery\scanned_maps\moe_terrain_maps\Scanned_T_maps_all\C06\C06-2820</v>
      </c>
      <c r="S769" t="s">
        <v>62</v>
      </c>
      <c r="T769" s="11" t="str">
        <f>HYPERLINK("http://www.env.gov.bc.ca/esd/distdata/ecosystems/TEI_Scanned_Maps/C06/C06-2820","http://www.env.gov.bc.ca/esd/distdata/ecosystems/TEI_Scanned_Maps/C06/C06-2820")</f>
        <v>http://www.env.gov.bc.ca/esd/distdata/ecosystems/TEI_Scanned_Maps/C06/C06-2820</v>
      </c>
      <c r="U769" t="s">
        <v>58</v>
      </c>
      <c r="V769" t="s">
        <v>58</v>
      </c>
      <c r="W769" t="s">
        <v>58</v>
      </c>
      <c r="X769" t="s">
        <v>58</v>
      </c>
      <c r="Y769" t="s">
        <v>58</v>
      </c>
      <c r="Z769" t="s">
        <v>58</v>
      </c>
      <c r="AA769" t="s">
        <v>58</v>
      </c>
      <c r="AC769" t="s">
        <v>58</v>
      </c>
      <c r="AE769" t="s">
        <v>58</v>
      </c>
      <c r="AG769" t="s">
        <v>63</v>
      </c>
      <c r="AH769" s="11" t="str">
        <f t="shared" si="14"/>
        <v>mailto: soilterrain@victoria1.gov.bc.ca</v>
      </c>
    </row>
    <row r="770" spans="1:34">
      <c r="A770" t="s">
        <v>1856</v>
      </c>
      <c r="B770" t="s">
        <v>56</v>
      </c>
      <c r="C770" s="10" t="s">
        <v>1857</v>
      </c>
      <c r="D770" t="s">
        <v>58</v>
      </c>
      <c r="E770" t="s">
        <v>497</v>
      </c>
      <c r="F770" t="s">
        <v>1858</v>
      </c>
      <c r="G770">
        <v>50000</v>
      </c>
      <c r="H770" t="s">
        <v>187</v>
      </c>
      <c r="I770" t="s">
        <v>58</v>
      </c>
      <c r="J770" t="s">
        <v>58</v>
      </c>
      <c r="K770" t="s">
        <v>58</v>
      </c>
      <c r="L770" t="s">
        <v>58</v>
      </c>
      <c r="M770" t="s">
        <v>58</v>
      </c>
      <c r="N770" t="s">
        <v>61</v>
      </c>
      <c r="Q770" t="s">
        <v>58</v>
      </c>
      <c r="R770" s="11" t="str">
        <f>HYPERLINK("\\imagefiles.bcgov\imagery\scanned_maps\moe_terrain_maps\Scanned_T_maps_all\C06\C06-2822","\\imagefiles.bcgov\imagery\scanned_maps\moe_terrain_maps\Scanned_T_maps_all\C06\C06-2822")</f>
        <v>\\imagefiles.bcgov\imagery\scanned_maps\moe_terrain_maps\Scanned_T_maps_all\C06\C06-2822</v>
      </c>
      <c r="S770" t="s">
        <v>62</v>
      </c>
      <c r="T770" s="11" t="str">
        <f>HYPERLINK("http://www.env.gov.bc.ca/esd/distdata/ecosystems/TEI_Scanned_Maps/C06/C06-2822","http://www.env.gov.bc.ca/esd/distdata/ecosystems/TEI_Scanned_Maps/C06/C06-2822")</f>
        <v>http://www.env.gov.bc.ca/esd/distdata/ecosystems/TEI_Scanned_Maps/C06/C06-2822</v>
      </c>
      <c r="U770" t="s">
        <v>58</v>
      </c>
      <c r="V770" t="s">
        <v>58</v>
      </c>
      <c r="W770" t="s">
        <v>58</v>
      </c>
      <c r="X770" t="s">
        <v>58</v>
      </c>
      <c r="Y770" t="s">
        <v>58</v>
      </c>
      <c r="Z770" t="s">
        <v>58</v>
      </c>
      <c r="AA770" t="s">
        <v>58</v>
      </c>
      <c r="AC770" t="s">
        <v>58</v>
      </c>
      <c r="AE770" t="s">
        <v>58</v>
      </c>
      <c r="AG770" t="s">
        <v>63</v>
      </c>
      <c r="AH770" s="11" t="str">
        <f t="shared" ref="AH770:AH833" si="15">HYPERLINK("mailto: soilterrain@victoria1.gov.bc.ca","mailto: soilterrain@victoria1.gov.bc.ca")</f>
        <v>mailto: soilterrain@victoria1.gov.bc.ca</v>
      </c>
    </row>
    <row r="771" spans="1:34">
      <c r="A771" t="s">
        <v>1859</v>
      </c>
      <c r="B771" t="s">
        <v>56</v>
      </c>
      <c r="C771" s="10" t="s">
        <v>1860</v>
      </c>
      <c r="D771" t="s">
        <v>58</v>
      </c>
      <c r="E771" t="s">
        <v>497</v>
      </c>
      <c r="F771" t="s">
        <v>1861</v>
      </c>
      <c r="G771">
        <v>50000</v>
      </c>
      <c r="H771" t="s">
        <v>187</v>
      </c>
      <c r="I771" t="s">
        <v>58</v>
      </c>
      <c r="J771" t="s">
        <v>58</v>
      </c>
      <c r="K771" t="s">
        <v>58</v>
      </c>
      <c r="L771" t="s">
        <v>58</v>
      </c>
      <c r="M771" t="s">
        <v>58</v>
      </c>
      <c r="N771" t="s">
        <v>61</v>
      </c>
      <c r="Q771" t="s">
        <v>58</v>
      </c>
      <c r="R771" s="11" t="str">
        <f>HYPERLINK("\\imagefiles.bcgov\imagery\scanned_maps\moe_terrain_maps\Scanned_T_maps_all\C06\C06-2824","\\imagefiles.bcgov\imagery\scanned_maps\moe_terrain_maps\Scanned_T_maps_all\C06\C06-2824")</f>
        <v>\\imagefiles.bcgov\imagery\scanned_maps\moe_terrain_maps\Scanned_T_maps_all\C06\C06-2824</v>
      </c>
      <c r="S771" t="s">
        <v>62</v>
      </c>
      <c r="T771" s="11" t="str">
        <f>HYPERLINK("http://www.env.gov.bc.ca/esd/distdata/ecosystems/TEI_Scanned_Maps/C06/C06-2824","http://www.env.gov.bc.ca/esd/distdata/ecosystems/TEI_Scanned_Maps/C06/C06-2824")</f>
        <v>http://www.env.gov.bc.ca/esd/distdata/ecosystems/TEI_Scanned_Maps/C06/C06-2824</v>
      </c>
      <c r="U771" t="s">
        <v>58</v>
      </c>
      <c r="V771" t="s">
        <v>58</v>
      </c>
      <c r="W771" t="s">
        <v>58</v>
      </c>
      <c r="X771" t="s">
        <v>58</v>
      </c>
      <c r="Y771" t="s">
        <v>58</v>
      </c>
      <c r="Z771" t="s">
        <v>58</v>
      </c>
      <c r="AA771" t="s">
        <v>58</v>
      </c>
      <c r="AC771" t="s">
        <v>58</v>
      </c>
      <c r="AE771" t="s">
        <v>58</v>
      </c>
      <c r="AG771" t="s">
        <v>63</v>
      </c>
      <c r="AH771" s="11" t="str">
        <f t="shared" si="15"/>
        <v>mailto: soilterrain@victoria1.gov.bc.ca</v>
      </c>
    </row>
    <row r="772" spans="1:34">
      <c r="A772" t="s">
        <v>1862</v>
      </c>
      <c r="B772" t="s">
        <v>56</v>
      </c>
      <c r="C772" s="10" t="s">
        <v>1863</v>
      </c>
      <c r="D772" t="s">
        <v>58</v>
      </c>
      <c r="E772" t="s">
        <v>497</v>
      </c>
      <c r="F772" t="s">
        <v>1864</v>
      </c>
      <c r="G772">
        <v>50000</v>
      </c>
      <c r="H772">
        <v>1991</v>
      </c>
      <c r="I772" t="s">
        <v>58</v>
      </c>
      <c r="J772" t="s">
        <v>58</v>
      </c>
      <c r="K772" t="s">
        <v>58</v>
      </c>
      <c r="L772" t="s">
        <v>58</v>
      </c>
      <c r="M772" t="s">
        <v>58</v>
      </c>
      <c r="N772" t="s">
        <v>61</v>
      </c>
      <c r="Q772" t="s">
        <v>58</v>
      </c>
      <c r="R772" s="11" t="str">
        <f>HYPERLINK("\\imagefiles.bcgov\imagery\scanned_maps\moe_terrain_maps\Scanned_T_maps_all\C06\C06-29","\\imagefiles.bcgov\imagery\scanned_maps\moe_terrain_maps\Scanned_T_maps_all\C06\C06-29")</f>
        <v>\\imagefiles.bcgov\imagery\scanned_maps\moe_terrain_maps\Scanned_T_maps_all\C06\C06-29</v>
      </c>
      <c r="S772" t="s">
        <v>62</v>
      </c>
      <c r="T772" s="11" t="str">
        <f>HYPERLINK("http://www.env.gov.bc.ca/esd/distdata/ecosystems/TEI_Scanned_Maps/C06/C06-29","http://www.env.gov.bc.ca/esd/distdata/ecosystems/TEI_Scanned_Maps/C06/C06-29")</f>
        <v>http://www.env.gov.bc.ca/esd/distdata/ecosystems/TEI_Scanned_Maps/C06/C06-29</v>
      </c>
      <c r="U772" t="s">
        <v>58</v>
      </c>
      <c r="V772" t="s">
        <v>58</v>
      </c>
      <c r="W772" t="s">
        <v>58</v>
      </c>
      <c r="X772" t="s">
        <v>58</v>
      </c>
      <c r="Y772" t="s">
        <v>58</v>
      </c>
      <c r="Z772" t="s">
        <v>58</v>
      </c>
      <c r="AA772" t="s">
        <v>58</v>
      </c>
      <c r="AC772" t="s">
        <v>58</v>
      </c>
      <c r="AE772" t="s">
        <v>58</v>
      </c>
      <c r="AG772" t="s">
        <v>63</v>
      </c>
      <c r="AH772" s="11" t="str">
        <f t="shared" si="15"/>
        <v>mailto: soilterrain@victoria1.gov.bc.ca</v>
      </c>
    </row>
    <row r="773" spans="1:34">
      <c r="A773" t="s">
        <v>1865</v>
      </c>
      <c r="B773" t="s">
        <v>56</v>
      </c>
      <c r="C773" s="10" t="s">
        <v>1866</v>
      </c>
      <c r="D773" t="s">
        <v>58</v>
      </c>
      <c r="E773" t="s">
        <v>497</v>
      </c>
      <c r="F773" t="s">
        <v>1867</v>
      </c>
      <c r="G773">
        <v>50000</v>
      </c>
      <c r="H773">
        <v>1977</v>
      </c>
      <c r="I773" t="s">
        <v>58</v>
      </c>
      <c r="J773" t="s">
        <v>58</v>
      </c>
      <c r="K773" t="s">
        <v>58</v>
      </c>
      <c r="L773" t="s">
        <v>58</v>
      </c>
      <c r="M773" t="s">
        <v>58</v>
      </c>
      <c r="N773" t="s">
        <v>61</v>
      </c>
      <c r="Q773" t="s">
        <v>58</v>
      </c>
      <c r="R773" s="11" t="str">
        <f>HYPERLINK("\\imagefiles.bcgov\imagery\scanned_maps\moe_terrain_maps\Scanned_T_maps_all\C06\C06-30","\\imagefiles.bcgov\imagery\scanned_maps\moe_terrain_maps\Scanned_T_maps_all\C06\C06-30")</f>
        <v>\\imagefiles.bcgov\imagery\scanned_maps\moe_terrain_maps\Scanned_T_maps_all\C06\C06-30</v>
      </c>
      <c r="S773" t="s">
        <v>62</v>
      </c>
      <c r="T773" s="11" t="str">
        <f>HYPERLINK("http://www.env.gov.bc.ca/esd/distdata/ecosystems/TEI_Scanned_Maps/C06/C06-30","http://www.env.gov.bc.ca/esd/distdata/ecosystems/TEI_Scanned_Maps/C06/C06-30")</f>
        <v>http://www.env.gov.bc.ca/esd/distdata/ecosystems/TEI_Scanned_Maps/C06/C06-30</v>
      </c>
      <c r="U773" t="s">
        <v>58</v>
      </c>
      <c r="V773" t="s">
        <v>58</v>
      </c>
      <c r="W773" t="s">
        <v>58</v>
      </c>
      <c r="X773" t="s">
        <v>58</v>
      </c>
      <c r="Y773" t="s">
        <v>58</v>
      </c>
      <c r="Z773" t="s">
        <v>58</v>
      </c>
      <c r="AA773" t="s">
        <v>58</v>
      </c>
      <c r="AC773" t="s">
        <v>58</v>
      </c>
      <c r="AE773" t="s">
        <v>58</v>
      </c>
      <c r="AG773" t="s">
        <v>63</v>
      </c>
      <c r="AH773" s="11" t="str">
        <f t="shared" si="15"/>
        <v>mailto: soilterrain@victoria1.gov.bc.ca</v>
      </c>
    </row>
    <row r="774" spans="1:34">
      <c r="A774" t="s">
        <v>1868</v>
      </c>
      <c r="B774" t="s">
        <v>56</v>
      </c>
      <c r="C774" s="10" t="s">
        <v>1869</v>
      </c>
      <c r="D774" t="s">
        <v>58</v>
      </c>
      <c r="E774" t="s">
        <v>497</v>
      </c>
      <c r="F774" t="s">
        <v>1870</v>
      </c>
      <c r="G774">
        <v>50000</v>
      </c>
      <c r="H774">
        <v>1965</v>
      </c>
      <c r="I774" t="s">
        <v>58</v>
      </c>
      <c r="J774" t="s">
        <v>58</v>
      </c>
      <c r="K774" t="s">
        <v>58</v>
      </c>
      <c r="L774" t="s">
        <v>58</v>
      </c>
      <c r="M774" t="s">
        <v>58</v>
      </c>
      <c r="N774" t="s">
        <v>61</v>
      </c>
      <c r="Q774" t="s">
        <v>58</v>
      </c>
      <c r="R774" s="11" t="str">
        <f>HYPERLINK("\\imagefiles.bcgov\imagery\scanned_maps\moe_terrain_maps\Scanned_T_maps_all\C06\C06-8","\\imagefiles.bcgov\imagery\scanned_maps\moe_terrain_maps\Scanned_T_maps_all\C06\C06-8")</f>
        <v>\\imagefiles.bcgov\imagery\scanned_maps\moe_terrain_maps\Scanned_T_maps_all\C06\C06-8</v>
      </c>
      <c r="S774" t="s">
        <v>62</v>
      </c>
      <c r="T774" s="11" t="str">
        <f>HYPERLINK("http://www.env.gov.bc.ca/esd/distdata/ecosystems/TEI_Scanned_Maps/C06/C06-8","http://www.env.gov.bc.ca/esd/distdata/ecosystems/TEI_Scanned_Maps/C06/C06-8")</f>
        <v>http://www.env.gov.bc.ca/esd/distdata/ecosystems/TEI_Scanned_Maps/C06/C06-8</v>
      </c>
      <c r="U774" t="s">
        <v>58</v>
      </c>
      <c r="V774" t="s">
        <v>58</v>
      </c>
      <c r="W774" t="s">
        <v>58</v>
      </c>
      <c r="X774" t="s">
        <v>58</v>
      </c>
      <c r="Y774" t="s">
        <v>58</v>
      </c>
      <c r="Z774" t="s">
        <v>58</v>
      </c>
      <c r="AA774" t="s">
        <v>58</v>
      </c>
      <c r="AC774" t="s">
        <v>58</v>
      </c>
      <c r="AE774" t="s">
        <v>58</v>
      </c>
      <c r="AG774" t="s">
        <v>63</v>
      </c>
      <c r="AH774" s="11" t="str">
        <f t="shared" si="15"/>
        <v>mailto: soilterrain@victoria1.gov.bc.ca</v>
      </c>
    </row>
    <row r="775" spans="1:34">
      <c r="A775" t="s">
        <v>1871</v>
      </c>
      <c r="B775" t="s">
        <v>56</v>
      </c>
      <c r="C775" s="10" t="s">
        <v>1872</v>
      </c>
      <c r="D775" t="s">
        <v>58</v>
      </c>
      <c r="E775" t="s">
        <v>497</v>
      </c>
      <c r="F775" t="s">
        <v>1873</v>
      </c>
      <c r="G775">
        <v>50000</v>
      </c>
      <c r="H775">
        <v>1965</v>
      </c>
      <c r="I775" t="s">
        <v>58</v>
      </c>
      <c r="J775" t="s">
        <v>58</v>
      </c>
      <c r="K775" t="s">
        <v>58</v>
      </c>
      <c r="L775" t="s">
        <v>58</v>
      </c>
      <c r="M775" t="s">
        <v>58</v>
      </c>
      <c r="N775" t="s">
        <v>61</v>
      </c>
      <c r="Q775" t="s">
        <v>58</v>
      </c>
      <c r="R775" s="11" t="str">
        <f>HYPERLINK("\\imagefiles.bcgov\imagery\scanned_maps\moe_terrain_maps\Scanned_T_maps_all\C06\C06-9","\\imagefiles.bcgov\imagery\scanned_maps\moe_terrain_maps\Scanned_T_maps_all\C06\C06-9")</f>
        <v>\\imagefiles.bcgov\imagery\scanned_maps\moe_terrain_maps\Scanned_T_maps_all\C06\C06-9</v>
      </c>
      <c r="S775" t="s">
        <v>62</v>
      </c>
      <c r="T775" s="11" t="str">
        <f>HYPERLINK("http://www.env.gov.bc.ca/esd/distdata/ecosystems/TEI_Scanned_Maps/C06/C06-9","http://www.env.gov.bc.ca/esd/distdata/ecosystems/TEI_Scanned_Maps/C06/C06-9")</f>
        <v>http://www.env.gov.bc.ca/esd/distdata/ecosystems/TEI_Scanned_Maps/C06/C06-9</v>
      </c>
      <c r="U775" t="s">
        <v>58</v>
      </c>
      <c r="V775" t="s">
        <v>58</v>
      </c>
      <c r="W775" t="s">
        <v>58</v>
      </c>
      <c r="X775" t="s">
        <v>58</v>
      </c>
      <c r="Y775" t="s">
        <v>58</v>
      </c>
      <c r="Z775" t="s">
        <v>58</v>
      </c>
      <c r="AA775" t="s">
        <v>58</v>
      </c>
      <c r="AC775" t="s">
        <v>58</v>
      </c>
      <c r="AE775" t="s">
        <v>58</v>
      </c>
      <c r="AG775" t="s">
        <v>63</v>
      </c>
      <c r="AH775" s="11" t="str">
        <f t="shared" si="15"/>
        <v>mailto: soilterrain@victoria1.gov.bc.ca</v>
      </c>
    </row>
    <row r="776" spans="1:34">
      <c r="A776" t="s">
        <v>1874</v>
      </c>
      <c r="B776" t="s">
        <v>56</v>
      </c>
      <c r="C776" s="10" t="s">
        <v>1875</v>
      </c>
      <c r="D776" t="s">
        <v>58</v>
      </c>
      <c r="E776" t="s">
        <v>497</v>
      </c>
      <c r="F776" t="s">
        <v>1876</v>
      </c>
      <c r="G776">
        <v>125000</v>
      </c>
      <c r="H776">
        <v>1978</v>
      </c>
      <c r="I776" t="s">
        <v>58</v>
      </c>
      <c r="J776" t="s">
        <v>58</v>
      </c>
      <c r="K776" t="s">
        <v>58</v>
      </c>
      <c r="L776" t="s">
        <v>58</v>
      </c>
      <c r="M776" t="s">
        <v>58</v>
      </c>
      <c r="N776" t="s">
        <v>61</v>
      </c>
      <c r="Q776" t="s">
        <v>58</v>
      </c>
      <c r="R776" s="11" t="str">
        <f>HYPERLINK("\\imagefiles.bcgov\imagery\scanned_maps\moe_terrain_maps\Scanned_T_maps_all\C07\C07-1099","\\imagefiles.bcgov\imagery\scanned_maps\moe_terrain_maps\Scanned_T_maps_all\C07\C07-1099")</f>
        <v>\\imagefiles.bcgov\imagery\scanned_maps\moe_terrain_maps\Scanned_T_maps_all\C07\C07-1099</v>
      </c>
      <c r="S776" t="s">
        <v>62</v>
      </c>
      <c r="T776" s="11" t="str">
        <f>HYPERLINK("http://www.env.gov.bc.ca/esd/distdata/ecosystems/TEI_Scanned_Maps/C07/C07-1099","http://www.env.gov.bc.ca/esd/distdata/ecosystems/TEI_Scanned_Maps/C07/C07-1099")</f>
        <v>http://www.env.gov.bc.ca/esd/distdata/ecosystems/TEI_Scanned_Maps/C07/C07-1099</v>
      </c>
      <c r="U776" t="s">
        <v>58</v>
      </c>
      <c r="V776" t="s">
        <v>58</v>
      </c>
      <c r="W776" t="s">
        <v>58</v>
      </c>
      <c r="X776" t="s">
        <v>58</v>
      </c>
      <c r="Y776" t="s">
        <v>58</v>
      </c>
      <c r="Z776" t="s">
        <v>58</v>
      </c>
      <c r="AA776" t="s">
        <v>58</v>
      </c>
      <c r="AC776" t="s">
        <v>58</v>
      </c>
      <c r="AE776" t="s">
        <v>58</v>
      </c>
      <c r="AG776" t="s">
        <v>63</v>
      </c>
      <c r="AH776" s="11" t="str">
        <f t="shared" si="15"/>
        <v>mailto: soilterrain@victoria1.gov.bc.ca</v>
      </c>
    </row>
    <row r="777" spans="1:34">
      <c r="A777" t="s">
        <v>1877</v>
      </c>
      <c r="B777" t="s">
        <v>56</v>
      </c>
      <c r="C777" s="10" t="s">
        <v>1878</v>
      </c>
      <c r="D777" t="s">
        <v>58</v>
      </c>
      <c r="E777" t="s">
        <v>497</v>
      </c>
      <c r="F777" t="s">
        <v>1879</v>
      </c>
      <c r="G777">
        <v>125000</v>
      </c>
      <c r="H777">
        <v>1968</v>
      </c>
      <c r="I777" t="s">
        <v>58</v>
      </c>
      <c r="J777" t="s">
        <v>58</v>
      </c>
      <c r="K777" t="s">
        <v>58</v>
      </c>
      <c r="L777" t="s">
        <v>58</v>
      </c>
      <c r="M777" t="s">
        <v>58</v>
      </c>
      <c r="N777" t="s">
        <v>61</v>
      </c>
      <c r="Q777" t="s">
        <v>58</v>
      </c>
      <c r="R777" s="11" t="str">
        <f>HYPERLINK("\\imagefiles.bcgov\imagery\scanned_maps\moe_terrain_maps\Scanned_T_maps_all\C07\C07-1335","\\imagefiles.bcgov\imagery\scanned_maps\moe_terrain_maps\Scanned_T_maps_all\C07\C07-1335")</f>
        <v>\\imagefiles.bcgov\imagery\scanned_maps\moe_terrain_maps\Scanned_T_maps_all\C07\C07-1335</v>
      </c>
      <c r="S777" t="s">
        <v>62</v>
      </c>
      <c r="T777" s="11" t="str">
        <f>HYPERLINK("http://www.env.gov.bc.ca/esd/distdata/ecosystems/TEI_Scanned_Maps/C07/C07-1335","http://www.env.gov.bc.ca/esd/distdata/ecosystems/TEI_Scanned_Maps/C07/C07-1335")</f>
        <v>http://www.env.gov.bc.ca/esd/distdata/ecosystems/TEI_Scanned_Maps/C07/C07-1335</v>
      </c>
      <c r="U777" t="s">
        <v>58</v>
      </c>
      <c r="V777" t="s">
        <v>58</v>
      </c>
      <c r="W777" t="s">
        <v>58</v>
      </c>
      <c r="X777" t="s">
        <v>58</v>
      </c>
      <c r="Y777" t="s">
        <v>58</v>
      </c>
      <c r="Z777" t="s">
        <v>58</v>
      </c>
      <c r="AA777" t="s">
        <v>58</v>
      </c>
      <c r="AC777" t="s">
        <v>58</v>
      </c>
      <c r="AE777" t="s">
        <v>58</v>
      </c>
      <c r="AG777" t="s">
        <v>63</v>
      </c>
      <c r="AH777" s="11" t="str">
        <f t="shared" si="15"/>
        <v>mailto: soilterrain@victoria1.gov.bc.ca</v>
      </c>
    </row>
    <row r="778" spans="1:34">
      <c r="A778" t="s">
        <v>1880</v>
      </c>
      <c r="B778" t="s">
        <v>56</v>
      </c>
      <c r="C778" s="10" t="s">
        <v>1881</v>
      </c>
      <c r="D778" t="s">
        <v>58</v>
      </c>
      <c r="E778" t="s">
        <v>497</v>
      </c>
      <c r="F778" t="s">
        <v>1882</v>
      </c>
      <c r="G778">
        <v>125000</v>
      </c>
      <c r="H778">
        <v>1968</v>
      </c>
      <c r="I778" t="s">
        <v>58</v>
      </c>
      <c r="J778" t="s">
        <v>58</v>
      </c>
      <c r="K778" t="s">
        <v>58</v>
      </c>
      <c r="L778" t="s">
        <v>58</v>
      </c>
      <c r="M778" t="s">
        <v>58</v>
      </c>
      <c r="N778" t="s">
        <v>61</v>
      </c>
      <c r="Q778" t="s">
        <v>58</v>
      </c>
      <c r="R778" s="11" t="str">
        <f>HYPERLINK("\\imagefiles.bcgov\imagery\scanned_maps\moe_terrain_maps\Scanned_T_maps_all\C07\C07-1343","\\imagefiles.bcgov\imagery\scanned_maps\moe_terrain_maps\Scanned_T_maps_all\C07\C07-1343")</f>
        <v>\\imagefiles.bcgov\imagery\scanned_maps\moe_terrain_maps\Scanned_T_maps_all\C07\C07-1343</v>
      </c>
      <c r="S778" t="s">
        <v>62</v>
      </c>
      <c r="T778" s="11" t="str">
        <f>HYPERLINK("http://www.env.gov.bc.ca/esd/distdata/ecosystems/TEI_Scanned_Maps/C07/C07-1343","http://www.env.gov.bc.ca/esd/distdata/ecosystems/TEI_Scanned_Maps/C07/C07-1343")</f>
        <v>http://www.env.gov.bc.ca/esd/distdata/ecosystems/TEI_Scanned_Maps/C07/C07-1343</v>
      </c>
      <c r="U778" t="s">
        <v>58</v>
      </c>
      <c r="V778" t="s">
        <v>58</v>
      </c>
      <c r="W778" t="s">
        <v>58</v>
      </c>
      <c r="X778" t="s">
        <v>58</v>
      </c>
      <c r="Y778" t="s">
        <v>58</v>
      </c>
      <c r="Z778" t="s">
        <v>58</v>
      </c>
      <c r="AA778" t="s">
        <v>58</v>
      </c>
      <c r="AC778" t="s">
        <v>58</v>
      </c>
      <c r="AE778" t="s">
        <v>58</v>
      </c>
      <c r="AG778" t="s">
        <v>63</v>
      </c>
      <c r="AH778" s="11" t="str">
        <f t="shared" si="15"/>
        <v>mailto: soilterrain@victoria1.gov.bc.ca</v>
      </c>
    </row>
    <row r="779" spans="1:34">
      <c r="A779" t="s">
        <v>1883</v>
      </c>
      <c r="B779" t="s">
        <v>56</v>
      </c>
      <c r="C779" s="10" t="s">
        <v>1884</v>
      </c>
      <c r="D779" t="s">
        <v>58</v>
      </c>
      <c r="E779" t="s">
        <v>497</v>
      </c>
      <c r="F779" t="s">
        <v>1885</v>
      </c>
      <c r="G779">
        <v>125000</v>
      </c>
      <c r="H779">
        <v>1978</v>
      </c>
      <c r="I779" t="s">
        <v>58</v>
      </c>
      <c r="J779" t="s">
        <v>58</v>
      </c>
      <c r="K779" t="s">
        <v>58</v>
      </c>
      <c r="L779" t="s">
        <v>58</v>
      </c>
      <c r="M779" t="s">
        <v>58</v>
      </c>
      <c r="N779" t="s">
        <v>61</v>
      </c>
      <c r="Q779" t="s">
        <v>58</v>
      </c>
      <c r="R779" s="11" t="str">
        <f>HYPERLINK("\\imagefiles.bcgov\imagery\scanned_maps\moe_terrain_maps\Scanned_T_maps_all\C07\C07-1350","\\imagefiles.bcgov\imagery\scanned_maps\moe_terrain_maps\Scanned_T_maps_all\C07\C07-1350")</f>
        <v>\\imagefiles.bcgov\imagery\scanned_maps\moe_terrain_maps\Scanned_T_maps_all\C07\C07-1350</v>
      </c>
      <c r="S779" t="s">
        <v>62</v>
      </c>
      <c r="T779" s="11" t="str">
        <f>HYPERLINK("http://www.env.gov.bc.ca/esd/distdata/ecosystems/TEI_Scanned_Maps/C07/C07-1350","http://www.env.gov.bc.ca/esd/distdata/ecosystems/TEI_Scanned_Maps/C07/C07-1350")</f>
        <v>http://www.env.gov.bc.ca/esd/distdata/ecosystems/TEI_Scanned_Maps/C07/C07-1350</v>
      </c>
      <c r="U779" t="s">
        <v>58</v>
      </c>
      <c r="V779" t="s">
        <v>58</v>
      </c>
      <c r="W779" t="s">
        <v>58</v>
      </c>
      <c r="X779" t="s">
        <v>58</v>
      </c>
      <c r="Y779" t="s">
        <v>58</v>
      </c>
      <c r="Z779" t="s">
        <v>58</v>
      </c>
      <c r="AA779" t="s">
        <v>58</v>
      </c>
      <c r="AC779" t="s">
        <v>58</v>
      </c>
      <c r="AE779" t="s">
        <v>58</v>
      </c>
      <c r="AG779" t="s">
        <v>63</v>
      </c>
      <c r="AH779" s="11" t="str">
        <f t="shared" si="15"/>
        <v>mailto: soilterrain@victoria1.gov.bc.ca</v>
      </c>
    </row>
    <row r="780" spans="1:34">
      <c r="A780" t="s">
        <v>1886</v>
      </c>
      <c r="B780" t="s">
        <v>56</v>
      </c>
      <c r="C780" s="10" t="s">
        <v>1887</v>
      </c>
      <c r="D780" t="s">
        <v>58</v>
      </c>
      <c r="E780" t="s">
        <v>497</v>
      </c>
      <c r="F780" t="s">
        <v>1888</v>
      </c>
      <c r="G780">
        <v>125000</v>
      </c>
      <c r="H780">
        <v>1968</v>
      </c>
      <c r="I780" t="s">
        <v>58</v>
      </c>
      <c r="J780" t="s">
        <v>58</v>
      </c>
      <c r="K780" t="s">
        <v>58</v>
      </c>
      <c r="L780" t="s">
        <v>58</v>
      </c>
      <c r="M780" t="s">
        <v>58</v>
      </c>
      <c r="N780" t="s">
        <v>61</v>
      </c>
      <c r="Q780" t="s">
        <v>58</v>
      </c>
      <c r="R780" s="11" t="str">
        <f>HYPERLINK("\\imagefiles.bcgov\imagery\scanned_maps\moe_terrain_maps\Scanned_T_maps_all\C07\C07-1626","\\imagefiles.bcgov\imagery\scanned_maps\moe_terrain_maps\Scanned_T_maps_all\C07\C07-1626")</f>
        <v>\\imagefiles.bcgov\imagery\scanned_maps\moe_terrain_maps\Scanned_T_maps_all\C07\C07-1626</v>
      </c>
      <c r="S780" t="s">
        <v>62</v>
      </c>
      <c r="T780" s="11" t="str">
        <f>HYPERLINK("http://www.env.gov.bc.ca/esd/distdata/ecosystems/TEI_Scanned_Maps/C07/C07-1626","http://www.env.gov.bc.ca/esd/distdata/ecosystems/TEI_Scanned_Maps/C07/C07-1626")</f>
        <v>http://www.env.gov.bc.ca/esd/distdata/ecosystems/TEI_Scanned_Maps/C07/C07-1626</v>
      </c>
      <c r="U780" t="s">
        <v>58</v>
      </c>
      <c r="V780" t="s">
        <v>58</v>
      </c>
      <c r="W780" t="s">
        <v>58</v>
      </c>
      <c r="X780" t="s">
        <v>58</v>
      </c>
      <c r="Y780" t="s">
        <v>58</v>
      </c>
      <c r="Z780" t="s">
        <v>58</v>
      </c>
      <c r="AA780" t="s">
        <v>58</v>
      </c>
      <c r="AC780" t="s">
        <v>58</v>
      </c>
      <c r="AE780" t="s">
        <v>58</v>
      </c>
      <c r="AG780" t="s">
        <v>63</v>
      </c>
      <c r="AH780" s="11" t="str">
        <f t="shared" si="15"/>
        <v>mailto: soilterrain@victoria1.gov.bc.ca</v>
      </c>
    </row>
    <row r="781" spans="1:34">
      <c r="A781" t="s">
        <v>1889</v>
      </c>
      <c r="B781" t="s">
        <v>56</v>
      </c>
      <c r="C781" s="10" t="s">
        <v>1890</v>
      </c>
      <c r="D781" t="s">
        <v>58</v>
      </c>
      <c r="E781" t="s">
        <v>497</v>
      </c>
      <c r="F781" t="s">
        <v>1891</v>
      </c>
      <c r="G781">
        <v>125000</v>
      </c>
      <c r="H781">
        <v>1978</v>
      </c>
      <c r="I781" t="s">
        <v>58</v>
      </c>
      <c r="J781" t="s">
        <v>58</v>
      </c>
      <c r="K781" t="s">
        <v>58</v>
      </c>
      <c r="L781" t="s">
        <v>58</v>
      </c>
      <c r="M781" t="s">
        <v>58</v>
      </c>
      <c r="N781" t="s">
        <v>61</v>
      </c>
      <c r="Q781" t="s">
        <v>58</v>
      </c>
      <c r="R781" s="11" t="str">
        <f>HYPERLINK("\\imagefiles.bcgov\imagery\scanned_maps\moe_terrain_maps\Scanned_T_maps_all\C07\C07-1628","\\imagefiles.bcgov\imagery\scanned_maps\moe_terrain_maps\Scanned_T_maps_all\C07\C07-1628")</f>
        <v>\\imagefiles.bcgov\imagery\scanned_maps\moe_terrain_maps\Scanned_T_maps_all\C07\C07-1628</v>
      </c>
      <c r="S781" t="s">
        <v>62</v>
      </c>
      <c r="T781" s="11" t="str">
        <f>HYPERLINK("http://www.env.gov.bc.ca/esd/distdata/ecosystems/TEI_Scanned_Maps/C07/C07-1628","http://www.env.gov.bc.ca/esd/distdata/ecosystems/TEI_Scanned_Maps/C07/C07-1628")</f>
        <v>http://www.env.gov.bc.ca/esd/distdata/ecosystems/TEI_Scanned_Maps/C07/C07-1628</v>
      </c>
      <c r="U781" t="s">
        <v>58</v>
      </c>
      <c r="V781" t="s">
        <v>58</v>
      </c>
      <c r="W781" t="s">
        <v>58</v>
      </c>
      <c r="X781" t="s">
        <v>58</v>
      </c>
      <c r="Y781" t="s">
        <v>58</v>
      </c>
      <c r="Z781" t="s">
        <v>58</v>
      </c>
      <c r="AA781" t="s">
        <v>58</v>
      </c>
      <c r="AC781" t="s">
        <v>58</v>
      </c>
      <c r="AE781" t="s">
        <v>58</v>
      </c>
      <c r="AG781" t="s">
        <v>63</v>
      </c>
      <c r="AH781" s="11" t="str">
        <f t="shared" si="15"/>
        <v>mailto: soilterrain@victoria1.gov.bc.ca</v>
      </c>
    </row>
    <row r="782" spans="1:34">
      <c r="A782" t="s">
        <v>1892</v>
      </c>
      <c r="B782" t="s">
        <v>56</v>
      </c>
      <c r="C782" s="10" t="s">
        <v>1893</v>
      </c>
      <c r="D782" t="s">
        <v>58</v>
      </c>
      <c r="E782" t="s">
        <v>497</v>
      </c>
      <c r="F782" t="s">
        <v>1894</v>
      </c>
      <c r="G782">
        <v>100000</v>
      </c>
      <c r="H782">
        <v>1968</v>
      </c>
      <c r="I782" t="s">
        <v>58</v>
      </c>
      <c r="J782" t="s">
        <v>58</v>
      </c>
      <c r="K782" t="s">
        <v>58</v>
      </c>
      <c r="L782" t="s">
        <v>58</v>
      </c>
      <c r="M782" t="s">
        <v>58</v>
      </c>
      <c r="N782" t="s">
        <v>61</v>
      </c>
      <c r="Q782" t="s">
        <v>58</v>
      </c>
      <c r="R782" s="11" t="str">
        <f>HYPERLINK("\\imagefiles.bcgov\imagery\scanned_maps\moe_terrain_maps\Scanned_T_maps_all\C07\C07-1642","\\imagefiles.bcgov\imagery\scanned_maps\moe_terrain_maps\Scanned_T_maps_all\C07\C07-1642")</f>
        <v>\\imagefiles.bcgov\imagery\scanned_maps\moe_terrain_maps\Scanned_T_maps_all\C07\C07-1642</v>
      </c>
      <c r="S782" t="s">
        <v>62</v>
      </c>
      <c r="T782" s="11" t="str">
        <f>HYPERLINK("http://www.env.gov.bc.ca/esd/distdata/ecosystems/TEI_Scanned_Maps/C07/C07-1642","http://www.env.gov.bc.ca/esd/distdata/ecosystems/TEI_Scanned_Maps/C07/C07-1642")</f>
        <v>http://www.env.gov.bc.ca/esd/distdata/ecosystems/TEI_Scanned_Maps/C07/C07-1642</v>
      </c>
      <c r="U782" t="s">
        <v>58</v>
      </c>
      <c r="V782" t="s">
        <v>58</v>
      </c>
      <c r="W782" t="s">
        <v>58</v>
      </c>
      <c r="X782" t="s">
        <v>58</v>
      </c>
      <c r="Y782" t="s">
        <v>58</v>
      </c>
      <c r="Z782" t="s">
        <v>58</v>
      </c>
      <c r="AA782" t="s">
        <v>58</v>
      </c>
      <c r="AC782" t="s">
        <v>58</v>
      </c>
      <c r="AE782" t="s">
        <v>58</v>
      </c>
      <c r="AG782" t="s">
        <v>63</v>
      </c>
      <c r="AH782" s="11" t="str">
        <f t="shared" si="15"/>
        <v>mailto: soilterrain@victoria1.gov.bc.ca</v>
      </c>
    </row>
    <row r="783" spans="1:34">
      <c r="A783" t="s">
        <v>1895</v>
      </c>
      <c r="B783" t="s">
        <v>56</v>
      </c>
      <c r="C783" s="10" t="s">
        <v>1896</v>
      </c>
      <c r="D783" t="s">
        <v>58</v>
      </c>
      <c r="E783" t="s">
        <v>497</v>
      </c>
      <c r="F783" t="s">
        <v>1897</v>
      </c>
      <c r="G783">
        <v>126720</v>
      </c>
      <c r="H783">
        <v>1978</v>
      </c>
      <c r="I783" t="s">
        <v>58</v>
      </c>
      <c r="J783" t="s">
        <v>58</v>
      </c>
      <c r="K783" t="s">
        <v>58</v>
      </c>
      <c r="L783" t="s">
        <v>58</v>
      </c>
      <c r="M783" t="s">
        <v>58</v>
      </c>
      <c r="N783" t="s">
        <v>61</v>
      </c>
      <c r="Q783" t="s">
        <v>58</v>
      </c>
      <c r="R783" s="11" t="str">
        <f>HYPERLINK("\\imagefiles.bcgov\imagery\scanned_maps\moe_terrain_maps\Scanned_T_maps_all\C07\C07-1720","\\imagefiles.bcgov\imagery\scanned_maps\moe_terrain_maps\Scanned_T_maps_all\C07\C07-1720")</f>
        <v>\\imagefiles.bcgov\imagery\scanned_maps\moe_terrain_maps\Scanned_T_maps_all\C07\C07-1720</v>
      </c>
      <c r="S783" t="s">
        <v>62</v>
      </c>
      <c r="T783" s="11" t="str">
        <f>HYPERLINK("http://www.env.gov.bc.ca/esd/distdata/ecosystems/TEI_Scanned_Maps/C07/C07-1720","http://www.env.gov.bc.ca/esd/distdata/ecosystems/TEI_Scanned_Maps/C07/C07-1720")</f>
        <v>http://www.env.gov.bc.ca/esd/distdata/ecosystems/TEI_Scanned_Maps/C07/C07-1720</v>
      </c>
      <c r="U783" t="s">
        <v>58</v>
      </c>
      <c r="V783" t="s">
        <v>58</v>
      </c>
      <c r="W783" t="s">
        <v>58</v>
      </c>
      <c r="X783" t="s">
        <v>58</v>
      </c>
      <c r="Y783" t="s">
        <v>58</v>
      </c>
      <c r="Z783" t="s">
        <v>58</v>
      </c>
      <c r="AA783" t="s">
        <v>58</v>
      </c>
      <c r="AC783" t="s">
        <v>58</v>
      </c>
      <c r="AE783" t="s">
        <v>58</v>
      </c>
      <c r="AG783" t="s">
        <v>63</v>
      </c>
      <c r="AH783" s="11" t="str">
        <f t="shared" si="15"/>
        <v>mailto: soilterrain@victoria1.gov.bc.ca</v>
      </c>
    </row>
    <row r="784" spans="1:34">
      <c r="A784" t="s">
        <v>1898</v>
      </c>
      <c r="B784" t="s">
        <v>56</v>
      </c>
      <c r="C784" s="10" t="s">
        <v>1899</v>
      </c>
      <c r="D784" t="s">
        <v>58</v>
      </c>
      <c r="E784" t="s">
        <v>497</v>
      </c>
      <c r="F784" t="s">
        <v>1900</v>
      </c>
      <c r="G784">
        <v>125000</v>
      </c>
      <c r="H784" t="s">
        <v>187</v>
      </c>
      <c r="I784" t="s">
        <v>58</v>
      </c>
      <c r="J784" t="s">
        <v>58</v>
      </c>
      <c r="K784" t="s">
        <v>58</v>
      </c>
      <c r="L784" t="s">
        <v>58</v>
      </c>
      <c r="M784" t="s">
        <v>58</v>
      </c>
      <c r="N784" t="s">
        <v>61</v>
      </c>
      <c r="Q784" t="s">
        <v>58</v>
      </c>
      <c r="R784" s="11" t="str">
        <f>HYPERLINK("\\imagefiles.bcgov\imagery\scanned_maps\moe_terrain_maps\Scanned_T_maps_all\C07\C07-1728","\\imagefiles.bcgov\imagery\scanned_maps\moe_terrain_maps\Scanned_T_maps_all\C07\C07-1728")</f>
        <v>\\imagefiles.bcgov\imagery\scanned_maps\moe_terrain_maps\Scanned_T_maps_all\C07\C07-1728</v>
      </c>
      <c r="S784" t="s">
        <v>62</v>
      </c>
      <c r="T784" s="11" t="str">
        <f>HYPERLINK("http://www.env.gov.bc.ca/esd/distdata/ecosystems/TEI_Scanned_Maps/C07/C07-1728","http://www.env.gov.bc.ca/esd/distdata/ecosystems/TEI_Scanned_Maps/C07/C07-1728")</f>
        <v>http://www.env.gov.bc.ca/esd/distdata/ecosystems/TEI_Scanned_Maps/C07/C07-1728</v>
      </c>
      <c r="U784" t="s">
        <v>58</v>
      </c>
      <c r="V784" t="s">
        <v>58</v>
      </c>
      <c r="W784" t="s">
        <v>58</v>
      </c>
      <c r="X784" t="s">
        <v>58</v>
      </c>
      <c r="Y784" t="s">
        <v>58</v>
      </c>
      <c r="Z784" t="s">
        <v>58</v>
      </c>
      <c r="AA784" t="s">
        <v>58</v>
      </c>
      <c r="AC784" t="s">
        <v>58</v>
      </c>
      <c r="AE784" t="s">
        <v>58</v>
      </c>
      <c r="AG784" t="s">
        <v>63</v>
      </c>
      <c r="AH784" s="11" t="str">
        <f t="shared" si="15"/>
        <v>mailto: soilterrain@victoria1.gov.bc.ca</v>
      </c>
    </row>
    <row r="785" spans="1:34">
      <c r="A785" t="s">
        <v>1901</v>
      </c>
      <c r="B785" t="s">
        <v>56</v>
      </c>
      <c r="C785" s="10" t="s">
        <v>477</v>
      </c>
      <c r="D785" t="s">
        <v>58</v>
      </c>
      <c r="E785" t="s">
        <v>497</v>
      </c>
      <c r="F785" t="s">
        <v>1902</v>
      </c>
      <c r="G785">
        <v>126720</v>
      </c>
      <c r="H785" t="s">
        <v>187</v>
      </c>
      <c r="I785" t="s">
        <v>58</v>
      </c>
      <c r="J785" t="s">
        <v>58</v>
      </c>
      <c r="K785" t="s">
        <v>58</v>
      </c>
      <c r="L785" t="s">
        <v>58</v>
      </c>
      <c r="M785" t="s">
        <v>58</v>
      </c>
      <c r="N785" t="s">
        <v>61</v>
      </c>
      <c r="Q785" t="s">
        <v>58</v>
      </c>
      <c r="R785" s="11" t="str">
        <f>HYPERLINK("\\imagefiles.bcgov\imagery\scanned_maps\moe_terrain_maps\Scanned_T_maps_all\C07\C07-1731","\\imagefiles.bcgov\imagery\scanned_maps\moe_terrain_maps\Scanned_T_maps_all\C07\C07-1731")</f>
        <v>\\imagefiles.bcgov\imagery\scanned_maps\moe_terrain_maps\Scanned_T_maps_all\C07\C07-1731</v>
      </c>
      <c r="S785" t="s">
        <v>62</v>
      </c>
      <c r="T785" s="11" t="str">
        <f>HYPERLINK("http://www.env.gov.bc.ca/esd/distdata/ecosystems/TEI_Scanned_Maps/C07/C07-1731","http://www.env.gov.bc.ca/esd/distdata/ecosystems/TEI_Scanned_Maps/C07/C07-1731")</f>
        <v>http://www.env.gov.bc.ca/esd/distdata/ecosystems/TEI_Scanned_Maps/C07/C07-1731</v>
      </c>
      <c r="U785" t="s">
        <v>58</v>
      </c>
      <c r="V785" t="s">
        <v>58</v>
      </c>
      <c r="W785" t="s">
        <v>58</v>
      </c>
      <c r="X785" t="s">
        <v>58</v>
      </c>
      <c r="Y785" t="s">
        <v>58</v>
      </c>
      <c r="Z785" t="s">
        <v>58</v>
      </c>
      <c r="AA785" t="s">
        <v>58</v>
      </c>
      <c r="AC785" t="s">
        <v>58</v>
      </c>
      <c r="AE785" t="s">
        <v>58</v>
      </c>
      <c r="AG785" t="s">
        <v>63</v>
      </c>
      <c r="AH785" s="11" t="str">
        <f t="shared" si="15"/>
        <v>mailto: soilterrain@victoria1.gov.bc.ca</v>
      </c>
    </row>
    <row r="786" spans="1:34">
      <c r="A786" t="s">
        <v>1903</v>
      </c>
      <c r="B786" t="s">
        <v>56</v>
      </c>
      <c r="C786" s="10" t="s">
        <v>1904</v>
      </c>
      <c r="D786" t="s">
        <v>58</v>
      </c>
      <c r="E786" t="s">
        <v>497</v>
      </c>
      <c r="F786" t="s">
        <v>1905</v>
      </c>
      <c r="G786">
        <v>125000</v>
      </c>
      <c r="H786">
        <v>1980</v>
      </c>
      <c r="I786" t="s">
        <v>58</v>
      </c>
      <c r="J786" t="s">
        <v>58</v>
      </c>
      <c r="K786" t="s">
        <v>58</v>
      </c>
      <c r="L786" t="s">
        <v>58</v>
      </c>
      <c r="M786" t="s">
        <v>58</v>
      </c>
      <c r="N786" t="s">
        <v>61</v>
      </c>
      <c r="Q786" t="s">
        <v>58</v>
      </c>
      <c r="R786" s="11" t="str">
        <f>HYPERLINK("\\imagefiles.bcgov\imagery\scanned_maps\moe_terrain_maps\Scanned_T_maps_all\C07\C07-1916","\\imagefiles.bcgov\imagery\scanned_maps\moe_terrain_maps\Scanned_T_maps_all\C07\C07-1916")</f>
        <v>\\imagefiles.bcgov\imagery\scanned_maps\moe_terrain_maps\Scanned_T_maps_all\C07\C07-1916</v>
      </c>
      <c r="S786" t="s">
        <v>62</v>
      </c>
      <c r="T786" s="11" t="str">
        <f>HYPERLINK("http://www.env.gov.bc.ca/esd/distdata/ecosystems/TEI_Scanned_Maps/C07/C07-1916","http://www.env.gov.bc.ca/esd/distdata/ecosystems/TEI_Scanned_Maps/C07/C07-1916")</f>
        <v>http://www.env.gov.bc.ca/esd/distdata/ecosystems/TEI_Scanned_Maps/C07/C07-1916</v>
      </c>
      <c r="U786" t="s">
        <v>58</v>
      </c>
      <c r="V786" t="s">
        <v>58</v>
      </c>
      <c r="W786" t="s">
        <v>58</v>
      </c>
      <c r="X786" t="s">
        <v>58</v>
      </c>
      <c r="Y786" t="s">
        <v>58</v>
      </c>
      <c r="Z786" t="s">
        <v>58</v>
      </c>
      <c r="AA786" t="s">
        <v>58</v>
      </c>
      <c r="AC786" t="s">
        <v>58</v>
      </c>
      <c r="AE786" t="s">
        <v>58</v>
      </c>
      <c r="AG786" t="s">
        <v>63</v>
      </c>
      <c r="AH786" s="11" t="str">
        <f t="shared" si="15"/>
        <v>mailto: soilterrain@victoria1.gov.bc.ca</v>
      </c>
    </row>
    <row r="787" spans="1:34">
      <c r="A787" t="s">
        <v>1906</v>
      </c>
      <c r="B787" t="s">
        <v>56</v>
      </c>
      <c r="C787" s="10" t="s">
        <v>1907</v>
      </c>
      <c r="D787" t="s">
        <v>58</v>
      </c>
      <c r="E787" t="s">
        <v>497</v>
      </c>
      <c r="F787" t="s">
        <v>1908</v>
      </c>
      <c r="G787">
        <v>125000</v>
      </c>
      <c r="H787">
        <v>1982</v>
      </c>
      <c r="I787" t="s">
        <v>58</v>
      </c>
      <c r="J787" t="s">
        <v>58</v>
      </c>
      <c r="K787" t="s">
        <v>58</v>
      </c>
      <c r="L787" t="s">
        <v>58</v>
      </c>
      <c r="M787" t="s">
        <v>58</v>
      </c>
      <c r="N787" t="s">
        <v>61</v>
      </c>
      <c r="Q787" t="s">
        <v>58</v>
      </c>
      <c r="R787" s="11" t="str">
        <f>HYPERLINK("\\imagefiles.bcgov\imagery\scanned_maps\moe_terrain_maps\Scanned_T_maps_all\C07\C07-1919","\\imagefiles.bcgov\imagery\scanned_maps\moe_terrain_maps\Scanned_T_maps_all\C07\C07-1919")</f>
        <v>\\imagefiles.bcgov\imagery\scanned_maps\moe_terrain_maps\Scanned_T_maps_all\C07\C07-1919</v>
      </c>
      <c r="S787" t="s">
        <v>62</v>
      </c>
      <c r="T787" s="11" t="str">
        <f>HYPERLINK("http://www.env.gov.bc.ca/esd/distdata/ecosystems/TEI_Scanned_Maps/C07/C07-1919","http://www.env.gov.bc.ca/esd/distdata/ecosystems/TEI_Scanned_Maps/C07/C07-1919")</f>
        <v>http://www.env.gov.bc.ca/esd/distdata/ecosystems/TEI_Scanned_Maps/C07/C07-1919</v>
      </c>
      <c r="U787" t="s">
        <v>58</v>
      </c>
      <c r="V787" t="s">
        <v>58</v>
      </c>
      <c r="W787" t="s">
        <v>58</v>
      </c>
      <c r="X787" t="s">
        <v>58</v>
      </c>
      <c r="Y787" t="s">
        <v>58</v>
      </c>
      <c r="Z787" t="s">
        <v>58</v>
      </c>
      <c r="AA787" t="s">
        <v>58</v>
      </c>
      <c r="AC787" t="s">
        <v>58</v>
      </c>
      <c r="AE787" t="s">
        <v>58</v>
      </c>
      <c r="AG787" t="s">
        <v>63</v>
      </c>
      <c r="AH787" s="11" t="str">
        <f t="shared" si="15"/>
        <v>mailto: soilterrain@victoria1.gov.bc.ca</v>
      </c>
    </row>
    <row r="788" spans="1:34">
      <c r="A788" t="s">
        <v>1909</v>
      </c>
      <c r="B788" t="s">
        <v>56</v>
      </c>
      <c r="C788" s="10" t="s">
        <v>1910</v>
      </c>
      <c r="D788" t="s">
        <v>58</v>
      </c>
      <c r="E788" t="s">
        <v>497</v>
      </c>
      <c r="F788" t="s">
        <v>1911</v>
      </c>
      <c r="G788">
        <v>125000</v>
      </c>
      <c r="H788">
        <v>1980</v>
      </c>
      <c r="I788" t="s">
        <v>58</v>
      </c>
      <c r="J788" t="s">
        <v>58</v>
      </c>
      <c r="K788" t="s">
        <v>58</v>
      </c>
      <c r="L788" t="s">
        <v>58</v>
      </c>
      <c r="M788" t="s">
        <v>58</v>
      </c>
      <c r="N788" t="s">
        <v>61</v>
      </c>
      <c r="Q788" t="s">
        <v>58</v>
      </c>
      <c r="R788" s="11" t="str">
        <f>HYPERLINK("\\imagefiles.bcgov\imagery\scanned_maps\moe_terrain_maps\Scanned_T_maps_all\C07\C07-1959","\\imagefiles.bcgov\imagery\scanned_maps\moe_terrain_maps\Scanned_T_maps_all\C07\C07-1959")</f>
        <v>\\imagefiles.bcgov\imagery\scanned_maps\moe_terrain_maps\Scanned_T_maps_all\C07\C07-1959</v>
      </c>
      <c r="S788" t="s">
        <v>62</v>
      </c>
      <c r="T788" s="11" t="str">
        <f>HYPERLINK("http://www.env.gov.bc.ca/esd/distdata/ecosystems/TEI_Scanned_Maps/C07/C07-1959","http://www.env.gov.bc.ca/esd/distdata/ecosystems/TEI_Scanned_Maps/C07/C07-1959")</f>
        <v>http://www.env.gov.bc.ca/esd/distdata/ecosystems/TEI_Scanned_Maps/C07/C07-1959</v>
      </c>
      <c r="U788" t="s">
        <v>58</v>
      </c>
      <c r="V788" t="s">
        <v>58</v>
      </c>
      <c r="W788" t="s">
        <v>58</v>
      </c>
      <c r="X788" t="s">
        <v>58</v>
      </c>
      <c r="Y788" t="s">
        <v>58</v>
      </c>
      <c r="Z788" t="s">
        <v>58</v>
      </c>
      <c r="AA788" t="s">
        <v>58</v>
      </c>
      <c r="AC788" t="s">
        <v>58</v>
      </c>
      <c r="AE788" t="s">
        <v>58</v>
      </c>
      <c r="AG788" t="s">
        <v>63</v>
      </c>
      <c r="AH788" s="11" t="str">
        <f t="shared" si="15"/>
        <v>mailto: soilterrain@victoria1.gov.bc.ca</v>
      </c>
    </row>
    <row r="789" spans="1:34">
      <c r="A789" t="s">
        <v>1912</v>
      </c>
      <c r="B789" t="s">
        <v>56</v>
      </c>
      <c r="C789" s="10" t="s">
        <v>1913</v>
      </c>
      <c r="D789" t="s">
        <v>58</v>
      </c>
      <c r="E789" t="s">
        <v>497</v>
      </c>
      <c r="F789" t="s">
        <v>1914</v>
      </c>
      <c r="G789">
        <v>125000</v>
      </c>
      <c r="H789">
        <v>1982</v>
      </c>
      <c r="I789" t="s">
        <v>58</v>
      </c>
      <c r="J789" t="s">
        <v>58</v>
      </c>
      <c r="K789" t="s">
        <v>58</v>
      </c>
      <c r="L789" t="s">
        <v>58</v>
      </c>
      <c r="M789" t="s">
        <v>58</v>
      </c>
      <c r="N789" t="s">
        <v>61</v>
      </c>
      <c r="Q789" t="s">
        <v>58</v>
      </c>
      <c r="R789" s="11" t="str">
        <f>HYPERLINK("\\imagefiles.bcgov\imagery\scanned_maps\moe_terrain_maps\Scanned_T_maps_all\C07\C07-1963","\\imagefiles.bcgov\imagery\scanned_maps\moe_terrain_maps\Scanned_T_maps_all\C07\C07-1963")</f>
        <v>\\imagefiles.bcgov\imagery\scanned_maps\moe_terrain_maps\Scanned_T_maps_all\C07\C07-1963</v>
      </c>
      <c r="S789" t="s">
        <v>62</v>
      </c>
      <c r="T789" s="11" t="str">
        <f>HYPERLINK("http://www.env.gov.bc.ca/esd/distdata/ecosystems/TEI_Scanned_Maps/C07/C07-1963","http://www.env.gov.bc.ca/esd/distdata/ecosystems/TEI_Scanned_Maps/C07/C07-1963")</f>
        <v>http://www.env.gov.bc.ca/esd/distdata/ecosystems/TEI_Scanned_Maps/C07/C07-1963</v>
      </c>
      <c r="U789" t="s">
        <v>58</v>
      </c>
      <c r="V789" t="s">
        <v>58</v>
      </c>
      <c r="W789" t="s">
        <v>58</v>
      </c>
      <c r="X789" t="s">
        <v>58</v>
      </c>
      <c r="Y789" t="s">
        <v>58</v>
      </c>
      <c r="Z789" t="s">
        <v>58</v>
      </c>
      <c r="AA789" t="s">
        <v>58</v>
      </c>
      <c r="AC789" t="s">
        <v>58</v>
      </c>
      <c r="AE789" t="s">
        <v>58</v>
      </c>
      <c r="AG789" t="s">
        <v>63</v>
      </c>
      <c r="AH789" s="11" t="str">
        <f t="shared" si="15"/>
        <v>mailto: soilterrain@victoria1.gov.bc.ca</v>
      </c>
    </row>
    <row r="790" spans="1:34">
      <c r="A790" t="s">
        <v>1915</v>
      </c>
      <c r="B790" t="s">
        <v>56</v>
      </c>
      <c r="C790" s="10" t="s">
        <v>1916</v>
      </c>
      <c r="D790" t="s">
        <v>58</v>
      </c>
      <c r="E790" t="s">
        <v>497</v>
      </c>
      <c r="F790" t="s">
        <v>1917</v>
      </c>
      <c r="G790">
        <v>125000</v>
      </c>
      <c r="H790">
        <v>1980</v>
      </c>
      <c r="I790" t="s">
        <v>58</v>
      </c>
      <c r="J790" t="s">
        <v>58</v>
      </c>
      <c r="K790" t="s">
        <v>58</v>
      </c>
      <c r="L790" t="s">
        <v>58</v>
      </c>
      <c r="M790" t="s">
        <v>58</v>
      </c>
      <c r="N790" t="s">
        <v>61</v>
      </c>
      <c r="Q790" t="s">
        <v>58</v>
      </c>
      <c r="R790" s="11" t="str">
        <f>HYPERLINK("\\imagefiles.bcgov\imagery\scanned_maps\moe_terrain_maps\Scanned_T_maps_all\C07\C07-1967","\\imagefiles.bcgov\imagery\scanned_maps\moe_terrain_maps\Scanned_T_maps_all\C07\C07-1967")</f>
        <v>\\imagefiles.bcgov\imagery\scanned_maps\moe_terrain_maps\Scanned_T_maps_all\C07\C07-1967</v>
      </c>
      <c r="S790" t="s">
        <v>62</v>
      </c>
      <c r="T790" s="11" t="str">
        <f>HYPERLINK("http://www.env.gov.bc.ca/esd/distdata/ecosystems/TEI_Scanned_Maps/C07/C07-1967","http://www.env.gov.bc.ca/esd/distdata/ecosystems/TEI_Scanned_Maps/C07/C07-1967")</f>
        <v>http://www.env.gov.bc.ca/esd/distdata/ecosystems/TEI_Scanned_Maps/C07/C07-1967</v>
      </c>
      <c r="U790" t="s">
        <v>58</v>
      </c>
      <c r="V790" t="s">
        <v>58</v>
      </c>
      <c r="W790" t="s">
        <v>58</v>
      </c>
      <c r="X790" t="s">
        <v>58</v>
      </c>
      <c r="Y790" t="s">
        <v>58</v>
      </c>
      <c r="Z790" t="s">
        <v>58</v>
      </c>
      <c r="AA790" t="s">
        <v>58</v>
      </c>
      <c r="AC790" t="s">
        <v>58</v>
      </c>
      <c r="AE790" t="s">
        <v>58</v>
      </c>
      <c r="AG790" t="s">
        <v>63</v>
      </c>
      <c r="AH790" s="11" t="str">
        <f t="shared" si="15"/>
        <v>mailto: soilterrain@victoria1.gov.bc.ca</v>
      </c>
    </row>
    <row r="791" spans="1:34">
      <c r="A791" t="s">
        <v>1918</v>
      </c>
      <c r="B791" t="s">
        <v>56</v>
      </c>
      <c r="C791" s="10" t="s">
        <v>1919</v>
      </c>
      <c r="D791" t="s">
        <v>58</v>
      </c>
      <c r="E791" t="s">
        <v>497</v>
      </c>
      <c r="F791" t="s">
        <v>1920</v>
      </c>
      <c r="G791">
        <v>125000</v>
      </c>
      <c r="H791">
        <v>1980</v>
      </c>
      <c r="I791" t="s">
        <v>58</v>
      </c>
      <c r="J791" t="s">
        <v>58</v>
      </c>
      <c r="K791" t="s">
        <v>58</v>
      </c>
      <c r="L791" t="s">
        <v>58</v>
      </c>
      <c r="M791" t="s">
        <v>58</v>
      </c>
      <c r="N791" t="s">
        <v>61</v>
      </c>
      <c r="Q791" t="s">
        <v>58</v>
      </c>
      <c r="R791" s="11" t="str">
        <f>HYPERLINK("\\imagefiles.bcgov\imagery\scanned_maps\moe_terrain_maps\Scanned_T_maps_all\C07\C07-1968","\\imagefiles.bcgov\imagery\scanned_maps\moe_terrain_maps\Scanned_T_maps_all\C07\C07-1968")</f>
        <v>\\imagefiles.bcgov\imagery\scanned_maps\moe_terrain_maps\Scanned_T_maps_all\C07\C07-1968</v>
      </c>
      <c r="S791" t="s">
        <v>62</v>
      </c>
      <c r="T791" s="11" t="str">
        <f>HYPERLINK("http://www.env.gov.bc.ca/esd/distdata/ecosystems/TEI_Scanned_Maps/C07/C07-1968","http://www.env.gov.bc.ca/esd/distdata/ecosystems/TEI_Scanned_Maps/C07/C07-1968")</f>
        <v>http://www.env.gov.bc.ca/esd/distdata/ecosystems/TEI_Scanned_Maps/C07/C07-1968</v>
      </c>
      <c r="U791" t="s">
        <v>58</v>
      </c>
      <c r="V791" t="s">
        <v>58</v>
      </c>
      <c r="W791" t="s">
        <v>58</v>
      </c>
      <c r="X791" t="s">
        <v>58</v>
      </c>
      <c r="Y791" t="s">
        <v>58</v>
      </c>
      <c r="Z791" t="s">
        <v>58</v>
      </c>
      <c r="AA791" t="s">
        <v>58</v>
      </c>
      <c r="AC791" t="s">
        <v>58</v>
      </c>
      <c r="AE791" t="s">
        <v>58</v>
      </c>
      <c r="AG791" t="s">
        <v>63</v>
      </c>
      <c r="AH791" s="11" t="str">
        <f t="shared" si="15"/>
        <v>mailto: soilterrain@victoria1.gov.bc.ca</v>
      </c>
    </row>
    <row r="792" spans="1:34">
      <c r="A792" t="s">
        <v>1921</v>
      </c>
      <c r="B792" t="s">
        <v>56</v>
      </c>
      <c r="C792" s="10" t="s">
        <v>1922</v>
      </c>
      <c r="D792" t="s">
        <v>58</v>
      </c>
      <c r="E792" t="s">
        <v>497</v>
      </c>
      <c r="F792" t="s">
        <v>1923</v>
      </c>
      <c r="G792">
        <v>125000</v>
      </c>
      <c r="H792">
        <v>1980</v>
      </c>
      <c r="I792" t="s">
        <v>58</v>
      </c>
      <c r="J792" t="s">
        <v>58</v>
      </c>
      <c r="K792" t="s">
        <v>58</v>
      </c>
      <c r="L792" t="s">
        <v>58</v>
      </c>
      <c r="M792" t="s">
        <v>58</v>
      </c>
      <c r="N792" t="s">
        <v>61</v>
      </c>
      <c r="Q792" t="s">
        <v>58</v>
      </c>
      <c r="R792" s="11" t="str">
        <f>HYPERLINK("\\imagefiles.bcgov\imagery\scanned_maps\moe_terrain_maps\Scanned_T_maps_all\C07\C07-2039","\\imagefiles.bcgov\imagery\scanned_maps\moe_terrain_maps\Scanned_T_maps_all\C07\C07-2039")</f>
        <v>\\imagefiles.bcgov\imagery\scanned_maps\moe_terrain_maps\Scanned_T_maps_all\C07\C07-2039</v>
      </c>
      <c r="S792" t="s">
        <v>62</v>
      </c>
      <c r="T792" s="11" t="str">
        <f>HYPERLINK("http://www.env.gov.bc.ca/esd/distdata/ecosystems/TEI_Scanned_Maps/C07/C07-2039","http://www.env.gov.bc.ca/esd/distdata/ecosystems/TEI_Scanned_Maps/C07/C07-2039")</f>
        <v>http://www.env.gov.bc.ca/esd/distdata/ecosystems/TEI_Scanned_Maps/C07/C07-2039</v>
      </c>
      <c r="U792" t="s">
        <v>58</v>
      </c>
      <c r="V792" t="s">
        <v>58</v>
      </c>
      <c r="W792" t="s">
        <v>58</v>
      </c>
      <c r="X792" t="s">
        <v>58</v>
      </c>
      <c r="Y792" t="s">
        <v>58</v>
      </c>
      <c r="Z792" t="s">
        <v>58</v>
      </c>
      <c r="AA792" t="s">
        <v>58</v>
      </c>
      <c r="AC792" t="s">
        <v>58</v>
      </c>
      <c r="AE792" t="s">
        <v>58</v>
      </c>
      <c r="AG792" t="s">
        <v>63</v>
      </c>
      <c r="AH792" s="11" t="str">
        <f t="shared" si="15"/>
        <v>mailto: soilterrain@victoria1.gov.bc.ca</v>
      </c>
    </row>
    <row r="793" spans="1:34">
      <c r="A793" t="s">
        <v>1924</v>
      </c>
      <c r="B793" t="s">
        <v>56</v>
      </c>
      <c r="C793" s="10" t="s">
        <v>1925</v>
      </c>
      <c r="D793" t="s">
        <v>58</v>
      </c>
      <c r="E793" t="s">
        <v>497</v>
      </c>
      <c r="F793" t="s">
        <v>1926</v>
      </c>
      <c r="G793">
        <v>125000</v>
      </c>
      <c r="H793">
        <v>1983</v>
      </c>
      <c r="I793" t="s">
        <v>58</v>
      </c>
      <c r="J793" t="s">
        <v>58</v>
      </c>
      <c r="K793" t="s">
        <v>58</v>
      </c>
      <c r="L793" t="s">
        <v>58</v>
      </c>
      <c r="M793" t="s">
        <v>58</v>
      </c>
      <c r="N793" t="s">
        <v>61</v>
      </c>
      <c r="Q793" t="s">
        <v>58</v>
      </c>
      <c r="R793" s="11" t="str">
        <f>HYPERLINK("\\imagefiles.bcgov\imagery\scanned_maps\moe_terrain_maps\Scanned_T_maps_all\C07\C07-2047","\\imagefiles.bcgov\imagery\scanned_maps\moe_terrain_maps\Scanned_T_maps_all\C07\C07-2047")</f>
        <v>\\imagefiles.bcgov\imagery\scanned_maps\moe_terrain_maps\Scanned_T_maps_all\C07\C07-2047</v>
      </c>
      <c r="S793" t="s">
        <v>62</v>
      </c>
      <c r="T793" s="11" t="str">
        <f>HYPERLINK("http://www.env.gov.bc.ca/esd/distdata/ecosystems/TEI_Scanned_Maps/C07/C07-2047","http://www.env.gov.bc.ca/esd/distdata/ecosystems/TEI_Scanned_Maps/C07/C07-2047")</f>
        <v>http://www.env.gov.bc.ca/esd/distdata/ecosystems/TEI_Scanned_Maps/C07/C07-2047</v>
      </c>
      <c r="U793" t="s">
        <v>58</v>
      </c>
      <c r="V793" t="s">
        <v>58</v>
      </c>
      <c r="W793" t="s">
        <v>58</v>
      </c>
      <c r="X793" t="s">
        <v>58</v>
      </c>
      <c r="Y793" t="s">
        <v>58</v>
      </c>
      <c r="Z793" t="s">
        <v>58</v>
      </c>
      <c r="AA793" t="s">
        <v>58</v>
      </c>
      <c r="AC793" t="s">
        <v>58</v>
      </c>
      <c r="AE793" t="s">
        <v>58</v>
      </c>
      <c r="AG793" t="s">
        <v>63</v>
      </c>
      <c r="AH793" s="11" t="str">
        <f t="shared" si="15"/>
        <v>mailto: soilterrain@victoria1.gov.bc.ca</v>
      </c>
    </row>
    <row r="794" spans="1:34">
      <c r="A794" t="s">
        <v>1927</v>
      </c>
      <c r="B794" t="s">
        <v>56</v>
      </c>
      <c r="C794" s="10" t="s">
        <v>1928</v>
      </c>
      <c r="D794" t="s">
        <v>58</v>
      </c>
      <c r="E794" t="s">
        <v>497</v>
      </c>
      <c r="F794" t="s">
        <v>1929</v>
      </c>
      <c r="G794">
        <v>125000</v>
      </c>
      <c r="H794">
        <v>1969</v>
      </c>
      <c r="I794" t="s">
        <v>58</v>
      </c>
      <c r="J794" t="s">
        <v>58</v>
      </c>
      <c r="K794" t="s">
        <v>58</v>
      </c>
      <c r="L794" t="s">
        <v>58</v>
      </c>
      <c r="M794" t="s">
        <v>58</v>
      </c>
      <c r="N794" t="s">
        <v>61</v>
      </c>
      <c r="Q794" t="s">
        <v>58</v>
      </c>
      <c r="R794" s="11" t="str">
        <f>HYPERLINK("\\imagefiles.bcgov\imagery\scanned_maps\moe_terrain_maps\Scanned_T_maps_all\C07\C07-2053","\\imagefiles.bcgov\imagery\scanned_maps\moe_terrain_maps\Scanned_T_maps_all\C07\C07-2053")</f>
        <v>\\imagefiles.bcgov\imagery\scanned_maps\moe_terrain_maps\Scanned_T_maps_all\C07\C07-2053</v>
      </c>
      <c r="S794" t="s">
        <v>62</v>
      </c>
      <c r="T794" s="11" t="str">
        <f>HYPERLINK("http://www.env.gov.bc.ca/esd/distdata/ecosystems/TEI_Scanned_Maps/C07/C07-2053","http://www.env.gov.bc.ca/esd/distdata/ecosystems/TEI_Scanned_Maps/C07/C07-2053")</f>
        <v>http://www.env.gov.bc.ca/esd/distdata/ecosystems/TEI_Scanned_Maps/C07/C07-2053</v>
      </c>
      <c r="U794" t="s">
        <v>58</v>
      </c>
      <c r="V794" t="s">
        <v>58</v>
      </c>
      <c r="W794" t="s">
        <v>58</v>
      </c>
      <c r="X794" t="s">
        <v>58</v>
      </c>
      <c r="Y794" t="s">
        <v>58</v>
      </c>
      <c r="Z794" t="s">
        <v>58</v>
      </c>
      <c r="AA794" t="s">
        <v>58</v>
      </c>
      <c r="AC794" t="s">
        <v>58</v>
      </c>
      <c r="AE794" t="s">
        <v>58</v>
      </c>
      <c r="AG794" t="s">
        <v>63</v>
      </c>
      <c r="AH794" s="11" t="str">
        <f t="shared" si="15"/>
        <v>mailto: soilterrain@victoria1.gov.bc.ca</v>
      </c>
    </row>
    <row r="795" spans="1:34">
      <c r="A795" t="s">
        <v>1930</v>
      </c>
      <c r="B795" t="s">
        <v>56</v>
      </c>
      <c r="C795" s="10" t="s">
        <v>1931</v>
      </c>
      <c r="D795" t="s">
        <v>58</v>
      </c>
      <c r="E795" t="s">
        <v>497</v>
      </c>
      <c r="F795" t="s">
        <v>1932</v>
      </c>
      <c r="G795">
        <v>125000</v>
      </c>
      <c r="H795">
        <v>1980</v>
      </c>
      <c r="I795" t="s">
        <v>58</v>
      </c>
      <c r="J795" t="s">
        <v>58</v>
      </c>
      <c r="K795" t="s">
        <v>58</v>
      </c>
      <c r="L795" t="s">
        <v>58</v>
      </c>
      <c r="M795" t="s">
        <v>58</v>
      </c>
      <c r="N795" t="s">
        <v>61</v>
      </c>
      <c r="Q795" t="s">
        <v>58</v>
      </c>
      <c r="R795" s="11" t="str">
        <f>HYPERLINK("\\imagefiles.bcgov\imagery\scanned_maps\moe_terrain_maps\Scanned_T_maps_all\C07\C07-2061","\\imagefiles.bcgov\imagery\scanned_maps\moe_terrain_maps\Scanned_T_maps_all\C07\C07-2061")</f>
        <v>\\imagefiles.bcgov\imagery\scanned_maps\moe_terrain_maps\Scanned_T_maps_all\C07\C07-2061</v>
      </c>
      <c r="S795" t="s">
        <v>62</v>
      </c>
      <c r="T795" s="11" t="str">
        <f>HYPERLINK("http://www.env.gov.bc.ca/esd/distdata/ecosystems/TEI_Scanned_Maps/C07/C07-2061","http://www.env.gov.bc.ca/esd/distdata/ecosystems/TEI_Scanned_Maps/C07/C07-2061")</f>
        <v>http://www.env.gov.bc.ca/esd/distdata/ecosystems/TEI_Scanned_Maps/C07/C07-2061</v>
      </c>
      <c r="U795" t="s">
        <v>58</v>
      </c>
      <c r="V795" t="s">
        <v>58</v>
      </c>
      <c r="W795" t="s">
        <v>58</v>
      </c>
      <c r="X795" t="s">
        <v>58</v>
      </c>
      <c r="Y795" t="s">
        <v>58</v>
      </c>
      <c r="Z795" t="s">
        <v>58</v>
      </c>
      <c r="AA795" t="s">
        <v>58</v>
      </c>
      <c r="AC795" t="s">
        <v>58</v>
      </c>
      <c r="AE795" t="s">
        <v>58</v>
      </c>
      <c r="AG795" t="s">
        <v>63</v>
      </c>
      <c r="AH795" s="11" t="str">
        <f t="shared" si="15"/>
        <v>mailto: soilterrain@victoria1.gov.bc.ca</v>
      </c>
    </row>
    <row r="796" spans="1:34">
      <c r="A796" t="s">
        <v>1933</v>
      </c>
      <c r="B796" t="s">
        <v>56</v>
      </c>
      <c r="C796" s="10" t="s">
        <v>1934</v>
      </c>
      <c r="D796" t="s">
        <v>58</v>
      </c>
      <c r="E796" t="s">
        <v>497</v>
      </c>
      <c r="F796" t="s">
        <v>1935</v>
      </c>
      <c r="G796">
        <v>125000</v>
      </c>
      <c r="H796">
        <v>1980</v>
      </c>
      <c r="I796" t="s">
        <v>58</v>
      </c>
      <c r="J796" t="s">
        <v>58</v>
      </c>
      <c r="K796" t="s">
        <v>58</v>
      </c>
      <c r="L796" t="s">
        <v>58</v>
      </c>
      <c r="M796" t="s">
        <v>58</v>
      </c>
      <c r="N796" t="s">
        <v>61</v>
      </c>
      <c r="Q796" t="s">
        <v>58</v>
      </c>
      <c r="R796" s="11" t="str">
        <f>HYPERLINK("\\imagefiles.bcgov\imagery\scanned_maps\moe_terrain_maps\Scanned_T_maps_all\C07\C07-2121","\\imagefiles.bcgov\imagery\scanned_maps\moe_terrain_maps\Scanned_T_maps_all\C07\C07-2121")</f>
        <v>\\imagefiles.bcgov\imagery\scanned_maps\moe_terrain_maps\Scanned_T_maps_all\C07\C07-2121</v>
      </c>
      <c r="S796" t="s">
        <v>62</v>
      </c>
      <c r="T796" s="11" t="str">
        <f>HYPERLINK("http://www.env.gov.bc.ca/esd/distdata/ecosystems/TEI_Scanned_Maps/C07/C07-2121","http://www.env.gov.bc.ca/esd/distdata/ecosystems/TEI_Scanned_Maps/C07/C07-2121")</f>
        <v>http://www.env.gov.bc.ca/esd/distdata/ecosystems/TEI_Scanned_Maps/C07/C07-2121</v>
      </c>
      <c r="U796" t="s">
        <v>58</v>
      </c>
      <c r="V796" t="s">
        <v>58</v>
      </c>
      <c r="W796" t="s">
        <v>58</v>
      </c>
      <c r="X796" t="s">
        <v>58</v>
      </c>
      <c r="Y796" t="s">
        <v>58</v>
      </c>
      <c r="Z796" t="s">
        <v>58</v>
      </c>
      <c r="AA796" t="s">
        <v>58</v>
      </c>
      <c r="AC796" t="s">
        <v>58</v>
      </c>
      <c r="AE796" t="s">
        <v>58</v>
      </c>
      <c r="AG796" t="s">
        <v>63</v>
      </c>
      <c r="AH796" s="11" t="str">
        <f t="shared" si="15"/>
        <v>mailto: soilterrain@victoria1.gov.bc.ca</v>
      </c>
    </row>
    <row r="797" spans="1:34">
      <c r="A797" t="s">
        <v>1936</v>
      </c>
      <c r="B797" t="s">
        <v>56</v>
      </c>
      <c r="C797" s="10" t="s">
        <v>1937</v>
      </c>
      <c r="D797" t="s">
        <v>58</v>
      </c>
      <c r="E797" t="s">
        <v>497</v>
      </c>
      <c r="F797" t="s">
        <v>1938</v>
      </c>
      <c r="G797">
        <v>125000</v>
      </c>
      <c r="H797">
        <v>1983</v>
      </c>
      <c r="I797" t="s">
        <v>58</v>
      </c>
      <c r="J797" t="s">
        <v>58</v>
      </c>
      <c r="K797" t="s">
        <v>58</v>
      </c>
      <c r="L797" t="s">
        <v>58</v>
      </c>
      <c r="M797" t="s">
        <v>58</v>
      </c>
      <c r="N797" t="s">
        <v>61</v>
      </c>
      <c r="Q797" t="s">
        <v>58</v>
      </c>
      <c r="R797" s="11" t="str">
        <f>HYPERLINK("\\imagefiles.bcgov\imagery\scanned_maps\moe_terrain_maps\Scanned_T_maps_all\C07\C07-2125","\\imagefiles.bcgov\imagery\scanned_maps\moe_terrain_maps\Scanned_T_maps_all\C07\C07-2125")</f>
        <v>\\imagefiles.bcgov\imagery\scanned_maps\moe_terrain_maps\Scanned_T_maps_all\C07\C07-2125</v>
      </c>
      <c r="S797" t="s">
        <v>62</v>
      </c>
      <c r="T797" s="11" t="str">
        <f>HYPERLINK("http://www.env.gov.bc.ca/esd/distdata/ecosystems/TEI_Scanned_Maps/C07/C07-2125","http://www.env.gov.bc.ca/esd/distdata/ecosystems/TEI_Scanned_Maps/C07/C07-2125")</f>
        <v>http://www.env.gov.bc.ca/esd/distdata/ecosystems/TEI_Scanned_Maps/C07/C07-2125</v>
      </c>
      <c r="U797" t="s">
        <v>58</v>
      </c>
      <c r="V797" t="s">
        <v>58</v>
      </c>
      <c r="W797" t="s">
        <v>58</v>
      </c>
      <c r="X797" t="s">
        <v>58</v>
      </c>
      <c r="Y797" t="s">
        <v>58</v>
      </c>
      <c r="Z797" t="s">
        <v>58</v>
      </c>
      <c r="AA797" t="s">
        <v>58</v>
      </c>
      <c r="AC797" t="s">
        <v>58</v>
      </c>
      <c r="AE797" t="s">
        <v>58</v>
      </c>
      <c r="AG797" t="s">
        <v>63</v>
      </c>
      <c r="AH797" s="11" t="str">
        <f t="shared" si="15"/>
        <v>mailto: soilterrain@victoria1.gov.bc.ca</v>
      </c>
    </row>
    <row r="798" spans="1:34">
      <c r="A798" t="s">
        <v>1939</v>
      </c>
      <c r="B798" t="s">
        <v>56</v>
      </c>
      <c r="C798" s="10" t="s">
        <v>1940</v>
      </c>
      <c r="D798" t="s">
        <v>58</v>
      </c>
      <c r="E798" t="s">
        <v>497</v>
      </c>
      <c r="F798" t="s">
        <v>1941</v>
      </c>
      <c r="G798">
        <v>125000</v>
      </c>
      <c r="H798">
        <v>1980</v>
      </c>
      <c r="I798" t="s">
        <v>58</v>
      </c>
      <c r="J798" t="s">
        <v>58</v>
      </c>
      <c r="K798" t="s">
        <v>58</v>
      </c>
      <c r="L798" t="s">
        <v>58</v>
      </c>
      <c r="M798" t="s">
        <v>58</v>
      </c>
      <c r="N798" t="s">
        <v>61</v>
      </c>
      <c r="Q798" t="s">
        <v>58</v>
      </c>
      <c r="R798" s="11" t="str">
        <f>HYPERLINK("\\imagefiles.bcgov\imagery\scanned_maps\moe_terrain_maps\Scanned_T_maps_all\C07\C07-2173","\\imagefiles.bcgov\imagery\scanned_maps\moe_terrain_maps\Scanned_T_maps_all\C07\C07-2173")</f>
        <v>\\imagefiles.bcgov\imagery\scanned_maps\moe_terrain_maps\Scanned_T_maps_all\C07\C07-2173</v>
      </c>
      <c r="S798" t="s">
        <v>62</v>
      </c>
      <c r="T798" s="11" t="str">
        <f>HYPERLINK("http://www.env.gov.bc.ca/esd/distdata/ecosystems/TEI_Scanned_Maps/C07/C07-2173","http://www.env.gov.bc.ca/esd/distdata/ecosystems/TEI_Scanned_Maps/C07/C07-2173")</f>
        <v>http://www.env.gov.bc.ca/esd/distdata/ecosystems/TEI_Scanned_Maps/C07/C07-2173</v>
      </c>
      <c r="U798" t="s">
        <v>58</v>
      </c>
      <c r="V798" t="s">
        <v>58</v>
      </c>
      <c r="W798" t="s">
        <v>58</v>
      </c>
      <c r="X798" t="s">
        <v>58</v>
      </c>
      <c r="Y798" t="s">
        <v>58</v>
      </c>
      <c r="Z798" t="s">
        <v>58</v>
      </c>
      <c r="AA798" t="s">
        <v>58</v>
      </c>
      <c r="AC798" t="s">
        <v>58</v>
      </c>
      <c r="AE798" t="s">
        <v>58</v>
      </c>
      <c r="AG798" t="s">
        <v>63</v>
      </c>
      <c r="AH798" s="11" t="str">
        <f t="shared" si="15"/>
        <v>mailto: soilterrain@victoria1.gov.bc.ca</v>
      </c>
    </row>
    <row r="799" spans="1:34">
      <c r="A799" t="s">
        <v>1942</v>
      </c>
      <c r="B799" t="s">
        <v>56</v>
      </c>
      <c r="C799" s="10" t="s">
        <v>1943</v>
      </c>
      <c r="D799" t="s">
        <v>58</v>
      </c>
      <c r="E799" t="s">
        <v>497</v>
      </c>
      <c r="F799" t="s">
        <v>1944</v>
      </c>
      <c r="G799">
        <v>125000</v>
      </c>
      <c r="H799">
        <v>1974</v>
      </c>
      <c r="I799" t="s">
        <v>58</v>
      </c>
      <c r="J799" t="s">
        <v>58</v>
      </c>
      <c r="K799" t="s">
        <v>58</v>
      </c>
      <c r="L799" t="s">
        <v>58</v>
      </c>
      <c r="M799" t="s">
        <v>58</v>
      </c>
      <c r="N799" t="s">
        <v>61</v>
      </c>
      <c r="Q799" t="s">
        <v>58</v>
      </c>
      <c r="R799" s="11" t="str">
        <f>HYPERLINK("\\imagefiles.bcgov\imagery\scanned_maps\moe_terrain_maps\Scanned_T_maps_all\C07\C07-2176","\\imagefiles.bcgov\imagery\scanned_maps\moe_terrain_maps\Scanned_T_maps_all\C07\C07-2176")</f>
        <v>\\imagefiles.bcgov\imagery\scanned_maps\moe_terrain_maps\Scanned_T_maps_all\C07\C07-2176</v>
      </c>
      <c r="S799" t="s">
        <v>62</v>
      </c>
      <c r="T799" s="11" t="str">
        <f>HYPERLINK("http://www.env.gov.bc.ca/esd/distdata/ecosystems/TEI_Scanned_Maps/C07/C07-2176","http://www.env.gov.bc.ca/esd/distdata/ecosystems/TEI_Scanned_Maps/C07/C07-2176")</f>
        <v>http://www.env.gov.bc.ca/esd/distdata/ecosystems/TEI_Scanned_Maps/C07/C07-2176</v>
      </c>
      <c r="U799" t="s">
        <v>58</v>
      </c>
      <c r="V799" t="s">
        <v>58</v>
      </c>
      <c r="W799" t="s">
        <v>58</v>
      </c>
      <c r="X799" t="s">
        <v>58</v>
      </c>
      <c r="Y799" t="s">
        <v>58</v>
      </c>
      <c r="Z799" t="s">
        <v>58</v>
      </c>
      <c r="AA799" t="s">
        <v>58</v>
      </c>
      <c r="AC799" t="s">
        <v>58</v>
      </c>
      <c r="AE799" t="s">
        <v>58</v>
      </c>
      <c r="AG799" t="s">
        <v>63</v>
      </c>
      <c r="AH799" s="11" t="str">
        <f t="shared" si="15"/>
        <v>mailto: soilterrain@victoria1.gov.bc.ca</v>
      </c>
    </row>
    <row r="800" spans="1:34">
      <c r="A800" t="s">
        <v>1945</v>
      </c>
      <c r="B800" t="s">
        <v>56</v>
      </c>
      <c r="C800" s="10" t="s">
        <v>1946</v>
      </c>
      <c r="D800" t="s">
        <v>58</v>
      </c>
      <c r="E800" t="s">
        <v>497</v>
      </c>
      <c r="F800" t="s">
        <v>1947</v>
      </c>
      <c r="G800">
        <v>125000</v>
      </c>
      <c r="H800">
        <v>1980</v>
      </c>
      <c r="I800" t="s">
        <v>58</v>
      </c>
      <c r="J800" t="s">
        <v>58</v>
      </c>
      <c r="K800" t="s">
        <v>58</v>
      </c>
      <c r="L800" t="s">
        <v>58</v>
      </c>
      <c r="M800" t="s">
        <v>58</v>
      </c>
      <c r="N800" t="s">
        <v>61</v>
      </c>
      <c r="Q800" t="s">
        <v>58</v>
      </c>
      <c r="R800" s="11" t="str">
        <f>HYPERLINK("\\imagefiles.bcgov\imagery\scanned_maps\moe_terrain_maps\Scanned_T_maps_all\C07\C07-2180","\\imagefiles.bcgov\imagery\scanned_maps\moe_terrain_maps\Scanned_T_maps_all\C07\C07-2180")</f>
        <v>\\imagefiles.bcgov\imagery\scanned_maps\moe_terrain_maps\Scanned_T_maps_all\C07\C07-2180</v>
      </c>
      <c r="S800" t="s">
        <v>62</v>
      </c>
      <c r="T800" s="11" t="str">
        <f>HYPERLINK("http://www.env.gov.bc.ca/esd/distdata/ecosystems/TEI_Scanned_Maps/C07/C07-2180","http://www.env.gov.bc.ca/esd/distdata/ecosystems/TEI_Scanned_Maps/C07/C07-2180")</f>
        <v>http://www.env.gov.bc.ca/esd/distdata/ecosystems/TEI_Scanned_Maps/C07/C07-2180</v>
      </c>
      <c r="U800" t="s">
        <v>58</v>
      </c>
      <c r="V800" t="s">
        <v>58</v>
      </c>
      <c r="W800" t="s">
        <v>58</v>
      </c>
      <c r="X800" t="s">
        <v>58</v>
      </c>
      <c r="Y800" t="s">
        <v>58</v>
      </c>
      <c r="Z800" t="s">
        <v>58</v>
      </c>
      <c r="AA800" t="s">
        <v>58</v>
      </c>
      <c r="AC800" t="s">
        <v>58</v>
      </c>
      <c r="AE800" t="s">
        <v>58</v>
      </c>
      <c r="AG800" t="s">
        <v>63</v>
      </c>
      <c r="AH800" s="11" t="str">
        <f t="shared" si="15"/>
        <v>mailto: soilterrain@victoria1.gov.bc.ca</v>
      </c>
    </row>
    <row r="801" spans="1:34">
      <c r="A801" t="s">
        <v>1948</v>
      </c>
      <c r="B801" t="s">
        <v>56</v>
      </c>
      <c r="C801" s="10" t="s">
        <v>1949</v>
      </c>
      <c r="D801" t="s">
        <v>58</v>
      </c>
      <c r="E801" t="s">
        <v>497</v>
      </c>
      <c r="F801" t="s">
        <v>1950</v>
      </c>
      <c r="G801">
        <v>125000</v>
      </c>
      <c r="H801">
        <v>1974</v>
      </c>
      <c r="I801" t="s">
        <v>58</v>
      </c>
      <c r="J801" t="s">
        <v>58</v>
      </c>
      <c r="K801" t="s">
        <v>58</v>
      </c>
      <c r="L801" t="s">
        <v>58</v>
      </c>
      <c r="M801" t="s">
        <v>58</v>
      </c>
      <c r="N801" t="s">
        <v>61</v>
      </c>
      <c r="Q801" t="s">
        <v>58</v>
      </c>
      <c r="R801" s="11" t="str">
        <f>HYPERLINK("\\imagefiles.bcgov\imagery\scanned_maps\moe_terrain_maps\Scanned_T_maps_all\C07\C07-2184","\\imagefiles.bcgov\imagery\scanned_maps\moe_terrain_maps\Scanned_T_maps_all\C07\C07-2184")</f>
        <v>\\imagefiles.bcgov\imagery\scanned_maps\moe_terrain_maps\Scanned_T_maps_all\C07\C07-2184</v>
      </c>
      <c r="S801" t="s">
        <v>62</v>
      </c>
      <c r="T801" s="11" t="str">
        <f>HYPERLINK("http://www.env.gov.bc.ca/esd/distdata/ecosystems/TEI_Scanned_Maps/C07/C07-2184","http://www.env.gov.bc.ca/esd/distdata/ecosystems/TEI_Scanned_Maps/C07/C07-2184")</f>
        <v>http://www.env.gov.bc.ca/esd/distdata/ecosystems/TEI_Scanned_Maps/C07/C07-2184</v>
      </c>
      <c r="U801" t="s">
        <v>58</v>
      </c>
      <c r="V801" t="s">
        <v>58</v>
      </c>
      <c r="W801" t="s">
        <v>58</v>
      </c>
      <c r="X801" t="s">
        <v>58</v>
      </c>
      <c r="Y801" t="s">
        <v>58</v>
      </c>
      <c r="Z801" t="s">
        <v>58</v>
      </c>
      <c r="AA801" t="s">
        <v>58</v>
      </c>
      <c r="AC801" t="s">
        <v>58</v>
      </c>
      <c r="AE801" t="s">
        <v>58</v>
      </c>
      <c r="AG801" t="s">
        <v>63</v>
      </c>
      <c r="AH801" s="11" t="str">
        <f t="shared" si="15"/>
        <v>mailto: soilterrain@victoria1.gov.bc.ca</v>
      </c>
    </row>
    <row r="802" spans="1:34">
      <c r="A802" t="s">
        <v>1951</v>
      </c>
      <c r="B802" t="s">
        <v>56</v>
      </c>
      <c r="C802" s="10" t="s">
        <v>1952</v>
      </c>
      <c r="D802" t="s">
        <v>58</v>
      </c>
      <c r="E802" t="s">
        <v>497</v>
      </c>
      <c r="F802" t="s">
        <v>1953</v>
      </c>
      <c r="G802">
        <v>125000</v>
      </c>
      <c r="H802">
        <v>1980</v>
      </c>
      <c r="I802" t="s">
        <v>58</v>
      </c>
      <c r="J802" t="s">
        <v>58</v>
      </c>
      <c r="K802" t="s">
        <v>58</v>
      </c>
      <c r="L802" t="s">
        <v>58</v>
      </c>
      <c r="M802" t="s">
        <v>58</v>
      </c>
      <c r="N802" t="s">
        <v>61</v>
      </c>
      <c r="Q802" t="s">
        <v>58</v>
      </c>
      <c r="R802" s="11" t="str">
        <f>HYPERLINK("\\imagefiles.bcgov\imagery\scanned_maps\moe_terrain_maps\Scanned_T_maps_all\C07\C07-2215","\\imagefiles.bcgov\imagery\scanned_maps\moe_terrain_maps\Scanned_T_maps_all\C07\C07-2215")</f>
        <v>\\imagefiles.bcgov\imagery\scanned_maps\moe_terrain_maps\Scanned_T_maps_all\C07\C07-2215</v>
      </c>
      <c r="S802" t="s">
        <v>62</v>
      </c>
      <c r="T802" s="11" t="str">
        <f>HYPERLINK("http://www.env.gov.bc.ca/esd/distdata/ecosystems/TEI_Scanned_Maps/C07/C07-2215","http://www.env.gov.bc.ca/esd/distdata/ecosystems/TEI_Scanned_Maps/C07/C07-2215")</f>
        <v>http://www.env.gov.bc.ca/esd/distdata/ecosystems/TEI_Scanned_Maps/C07/C07-2215</v>
      </c>
      <c r="U802" t="s">
        <v>58</v>
      </c>
      <c r="V802" t="s">
        <v>58</v>
      </c>
      <c r="W802" t="s">
        <v>58</v>
      </c>
      <c r="X802" t="s">
        <v>58</v>
      </c>
      <c r="Y802" t="s">
        <v>58</v>
      </c>
      <c r="Z802" t="s">
        <v>58</v>
      </c>
      <c r="AA802" t="s">
        <v>58</v>
      </c>
      <c r="AC802" t="s">
        <v>58</v>
      </c>
      <c r="AE802" t="s">
        <v>58</v>
      </c>
      <c r="AG802" t="s">
        <v>63</v>
      </c>
      <c r="AH802" s="11" t="str">
        <f t="shared" si="15"/>
        <v>mailto: soilterrain@victoria1.gov.bc.ca</v>
      </c>
    </row>
    <row r="803" spans="1:34">
      <c r="A803" t="s">
        <v>1954</v>
      </c>
      <c r="B803" t="s">
        <v>56</v>
      </c>
      <c r="C803" s="10" t="s">
        <v>1955</v>
      </c>
      <c r="D803" t="s">
        <v>58</v>
      </c>
      <c r="E803" t="s">
        <v>497</v>
      </c>
      <c r="F803" t="s">
        <v>1956</v>
      </c>
      <c r="G803">
        <v>125000</v>
      </c>
      <c r="H803">
        <v>1969</v>
      </c>
      <c r="I803" t="s">
        <v>58</v>
      </c>
      <c r="J803" t="s">
        <v>58</v>
      </c>
      <c r="K803" t="s">
        <v>58</v>
      </c>
      <c r="L803" t="s">
        <v>58</v>
      </c>
      <c r="M803" t="s">
        <v>58</v>
      </c>
      <c r="N803" t="s">
        <v>61</v>
      </c>
      <c r="Q803" t="s">
        <v>58</v>
      </c>
      <c r="R803" s="11" t="str">
        <f>HYPERLINK("\\imagefiles.bcgov\imagery\scanned_maps\moe_terrain_maps\Scanned_T_maps_all\C07\C07-2243","\\imagefiles.bcgov\imagery\scanned_maps\moe_terrain_maps\Scanned_T_maps_all\C07\C07-2243")</f>
        <v>\\imagefiles.bcgov\imagery\scanned_maps\moe_terrain_maps\Scanned_T_maps_all\C07\C07-2243</v>
      </c>
      <c r="S803" t="s">
        <v>62</v>
      </c>
      <c r="T803" s="11" t="str">
        <f>HYPERLINK("http://www.env.gov.bc.ca/esd/distdata/ecosystems/TEI_Scanned_Maps/C07/C07-2243","http://www.env.gov.bc.ca/esd/distdata/ecosystems/TEI_Scanned_Maps/C07/C07-2243")</f>
        <v>http://www.env.gov.bc.ca/esd/distdata/ecosystems/TEI_Scanned_Maps/C07/C07-2243</v>
      </c>
      <c r="U803" t="s">
        <v>58</v>
      </c>
      <c r="V803" t="s">
        <v>58</v>
      </c>
      <c r="W803" t="s">
        <v>58</v>
      </c>
      <c r="X803" t="s">
        <v>58</v>
      </c>
      <c r="Y803" t="s">
        <v>58</v>
      </c>
      <c r="Z803" t="s">
        <v>58</v>
      </c>
      <c r="AA803" t="s">
        <v>58</v>
      </c>
      <c r="AC803" t="s">
        <v>58</v>
      </c>
      <c r="AE803" t="s">
        <v>58</v>
      </c>
      <c r="AG803" t="s">
        <v>63</v>
      </c>
      <c r="AH803" s="11" t="str">
        <f t="shared" si="15"/>
        <v>mailto: soilterrain@victoria1.gov.bc.ca</v>
      </c>
    </row>
    <row r="804" spans="1:34">
      <c r="A804" t="s">
        <v>1957</v>
      </c>
      <c r="B804" t="s">
        <v>56</v>
      </c>
      <c r="C804" s="10" t="s">
        <v>1958</v>
      </c>
      <c r="D804" t="s">
        <v>58</v>
      </c>
      <c r="E804" t="s">
        <v>497</v>
      </c>
      <c r="F804" t="s">
        <v>1959</v>
      </c>
      <c r="G804">
        <v>125000</v>
      </c>
      <c r="H804">
        <v>1980</v>
      </c>
      <c r="I804" t="s">
        <v>58</v>
      </c>
      <c r="J804" t="s">
        <v>58</v>
      </c>
      <c r="K804" t="s">
        <v>58</v>
      </c>
      <c r="L804" t="s">
        <v>58</v>
      </c>
      <c r="M804" t="s">
        <v>58</v>
      </c>
      <c r="N804" t="s">
        <v>61</v>
      </c>
      <c r="Q804" t="s">
        <v>58</v>
      </c>
      <c r="R804" s="11" t="str">
        <f>HYPERLINK("\\imagefiles.bcgov\imagery\scanned_maps\moe_terrain_maps\Scanned_T_maps_all\C07\C07-2252","\\imagefiles.bcgov\imagery\scanned_maps\moe_terrain_maps\Scanned_T_maps_all\C07\C07-2252")</f>
        <v>\\imagefiles.bcgov\imagery\scanned_maps\moe_terrain_maps\Scanned_T_maps_all\C07\C07-2252</v>
      </c>
      <c r="S804" t="s">
        <v>62</v>
      </c>
      <c r="T804" s="11" t="str">
        <f>HYPERLINK("http://www.env.gov.bc.ca/esd/distdata/ecosystems/TEI_Scanned_Maps/C07/C07-2252","http://www.env.gov.bc.ca/esd/distdata/ecosystems/TEI_Scanned_Maps/C07/C07-2252")</f>
        <v>http://www.env.gov.bc.ca/esd/distdata/ecosystems/TEI_Scanned_Maps/C07/C07-2252</v>
      </c>
      <c r="U804" t="s">
        <v>58</v>
      </c>
      <c r="V804" t="s">
        <v>58</v>
      </c>
      <c r="W804" t="s">
        <v>58</v>
      </c>
      <c r="X804" t="s">
        <v>58</v>
      </c>
      <c r="Y804" t="s">
        <v>58</v>
      </c>
      <c r="Z804" t="s">
        <v>58</v>
      </c>
      <c r="AA804" t="s">
        <v>58</v>
      </c>
      <c r="AC804" t="s">
        <v>58</v>
      </c>
      <c r="AE804" t="s">
        <v>58</v>
      </c>
      <c r="AG804" t="s">
        <v>63</v>
      </c>
      <c r="AH804" s="11" t="str">
        <f t="shared" si="15"/>
        <v>mailto: soilterrain@victoria1.gov.bc.ca</v>
      </c>
    </row>
    <row r="805" spans="1:34">
      <c r="A805" t="s">
        <v>1960</v>
      </c>
      <c r="B805" t="s">
        <v>56</v>
      </c>
      <c r="C805" s="10" t="s">
        <v>1961</v>
      </c>
      <c r="D805" t="s">
        <v>58</v>
      </c>
      <c r="E805" t="s">
        <v>497</v>
      </c>
      <c r="F805" t="s">
        <v>1962</v>
      </c>
      <c r="G805">
        <v>125000</v>
      </c>
      <c r="H805">
        <v>1982</v>
      </c>
      <c r="I805" t="s">
        <v>58</v>
      </c>
      <c r="J805" t="s">
        <v>58</v>
      </c>
      <c r="K805" t="s">
        <v>58</v>
      </c>
      <c r="L805" t="s">
        <v>58</v>
      </c>
      <c r="M805" t="s">
        <v>58</v>
      </c>
      <c r="N805" t="s">
        <v>61</v>
      </c>
      <c r="Q805" t="s">
        <v>58</v>
      </c>
      <c r="R805" s="11" t="str">
        <f>HYPERLINK("\\imagefiles.bcgov\imagery\scanned_maps\moe_terrain_maps\Scanned_T_maps_all\C07\C07-2301","\\imagefiles.bcgov\imagery\scanned_maps\moe_terrain_maps\Scanned_T_maps_all\C07\C07-2301")</f>
        <v>\\imagefiles.bcgov\imagery\scanned_maps\moe_terrain_maps\Scanned_T_maps_all\C07\C07-2301</v>
      </c>
      <c r="S805" t="s">
        <v>62</v>
      </c>
      <c r="T805" s="11" t="str">
        <f>HYPERLINK("http://www.env.gov.bc.ca/esd/distdata/ecosystems/TEI_Scanned_Maps/C07/C07-2301","http://www.env.gov.bc.ca/esd/distdata/ecosystems/TEI_Scanned_Maps/C07/C07-2301")</f>
        <v>http://www.env.gov.bc.ca/esd/distdata/ecosystems/TEI_Scanned_Maps/C07/C07-2301</v>
      </c>
      <c r="U805" t="s">
        <v>58</v>
      </c>
      <c r="V805" t="s">
        <v>58</v>
      </c>
      <c r="W805" t="s">
        <v>58</v>
      </c>
      <c r="X805" t="s">
        <v>58</v>
      </c>
      <c r="Y805" t="s">
        <v>58</v>
      </c>
      <c r="Z805" t="s">
        <v>58</v>
      </c>
      <c r="AA805" t="s">
        <v>58</v>
      </c>
      <c r="AC805" t="s">
        <v>58</v>
      </c>
      <c r="AE805" t="s">
        <v>58</v>
      </c>
      <c r="AG805" t="s">
        <v>63</v>
      </c>
      <c r="AH805" s="11" t="str">
        <f t="shared" si="15"/>
        <v>mailto: soilterrain@victoria1.gov.bc.ca</v>
      </c>
    </row>
    <row r="806" spans="1:34">
      <c r="A806" t="s">
        <v>1963</v>
      </c>
      <c r="B806" t="s">
        <v>56</v>
      </c>
      <c r="C806" s="10" t="s">
        <v>1964</v>
      </c>
      <c r="D806" t="s">
        <v>58</v>
      </c>
      <c r="E806" t="s">
        <v>497</v>
      </c>
      <c r="F806" t="s">
        <v>1965</v>
      </c>
      <c r="G806">
        <v>126720</v>
      </c>
      <c r="H806">
        <v>1980</v>
      </c>
      <c r="I806" t="s">
        <v>58</v>
      </c>
      <c r="J806" t="s">
        <v>58</v>
      </c>
      <c r="K806" t="s">
        <v>58</v>
      </c>
      <c r="L806" t="s">
        <v>58</v>
      </c>
      <c r="M806" t="s">
        <v>58</v>
      </c>
      <c r="N806" t="s">
        <v>61</v>
      </c>
      <c r="Q806" t="s">
        <v>58</v>
      </c>
      <c r="R806" s="11" t="str">
        <f>HYPERLINK("\\imagefiles.bcgov\imagery\scanned_maps\moe_terrain_maps\Scanned_T_maps_all\C07\C07-2305","\\imagefiles.bcgov\imagery\scanned_maps\moe_terrain_maps\Scanned_T_maps_all\C07\C07-2305")</f>
        <v>\\imagefiles.bcgov\imagery\scanned_maps\moe_terrain_maps\Scanned_T_maps_all\C07\C07-2305</v>
      </c>
      <c r="S806" t="s">
        <v>62</v>
      </c>
      <c r="T806" s="11" t="str">
        <f>HYPERLINK("http://www.env.gov.bc.ca/esd/distdata/ecosystems/TEI_Scanned_Maps/C07/C07-2305","http://www.env.gov.bc.ca/esd/distdata/ecosystems/TEI_Scanned_Maps/C07/C07-2305")</f>
        <v>http://www.env.gov.bc.ca/esd/distdata/ecosystems/TEI_Scanned_Maps/C07/C07-2305</v>
      </c>
      <c r="U806" t="s">
        <v>58</v>
      </c>
      <c r="V806" t="s">
        <v>58</v>
      </c>
      <c r="W806" t="s">
        <v>58</v>
      </c>
      <c r="X806" t="s">
        <v>58</v>
      </c>
      <c r="Y806" t="s">
        <v>58</v>
      </c>
      <c r="Z806" t="s">
        <v>58</v>
      </c>
      <c r="AA806" t="s">
        <v>58</v>
      </c>
      <c r="AC806" t="s">
        <v>58</v>
      </c>
      <c r="AE806" t="s">
        <v>58</v>
      </c>
      <c r="AG806" t="s">
        <v>63</v>
      </c>
      <c r="AH806" s="11" t="str">
        <f t="shared" si="15"/>
        <v>mailto: soilterrain@victoria1.gov.bc.ca</v>
      </c>
    </row>
    <row r="807" spans="1:34">
      <c r="A807" t="s">
        <v>1966</v>
      </c>
      <c r="B807" t="s">
        <v>56</v>
      </c>
      <c r="C807" s="10" t="s">
        <v>1964</v>
      </c>
      <c r="D807" t="s">
        <v>58</v>
      </c>
      <c r="E807" t="s">
        <v>497</v>
      </c>
      <c r="F807" t="s">
        <v>1967</v>
      </c>
      <c r="G807">
        <v>125000</v>
      </c>
      <c r="H807" t="s">
        <v>187</v>
      </c>
      <c r="I807" t="s">
        <v>58</v>
      </c>
      <c r="J807" t="s">
        <v>58</v>
      </c>
      <c r="K807" t="s">
        <v>58</v>
      </c>
      <c r="L807" t="s">
        <v>58</v>
      </c>
      <c r="M807" t="s">
        <v>58</v>
      </c>
      <c r="N807" t="s">
        <v>61</v>
      </c>
      <c r="Q807" t="s">
        <v>58</v>
      </c>
      <c r="R807" s="11" t="str">
        <f>HYPERLINK("\\imagefiles.bcgov\imagery\scanned_maps\moe_terrain_maps\Scanned_T_maps_all\C07\C07-2306","\\imagefiles.bcgov\imagery\scanned_maps\moe_terrain_maps\Scanned_T_maps_all\C07\C07-2306")</f>
        <v>\\imagefiles.bcgov\imagery\scanned_maps\moe_terrain_maps\Scanned_T_maps_all\C07\C07-2306</v>
      </c>
      <c r="S807" t="s">
        <v>62</v>
      </c>
      <c r="T807" s="11" t="str">
        <f>HYPERLINK("http://www.env.gov.bc.ca/esd/distdata/ecosystems/TEI_Scanned_Maps/C07/C07-2306","http://www.env.gov.bc.ca/esd/distdata/ecosystems/TEI_Scanned_Maps/C07/C07-2306")</f>
        <v>http://www.env.gov.bc.ca/esd/distdata/ecosystems/TEI_Scanned_Maps/C07/C07-2306</v>
      </c>
      <c r="U807" t="s">
        <v>58</v>
      </c>
      <c r="V807" t="s">
        <v>58</v>
      </c>
      <c r="W807" t="s">
        <v>58</v>
      </c>
      <c r="X807" t="s">
        <v>58</v>
      </c>
      <c r="Y807" t="s">
        <v>58</v>
      </c>
      <c r="Z807" t="s">
        <v>58</v>
      </c>
      <c r="AA807" t="s">
        <v>58</v>
      </c>
      <c r="AC807" t="s">
        <v>58</v>
      </c>
      <c r="AE807" t="s">
        <v>58</v>
      </c>
      <c r="AG807" t="s">
        <v>63</v>
      </c>
      <c r="AH807" s="11" t="str">
        <f t="shared" si="15"/>
        <v>mailto: soilterrain@victoria1.gov.bc.ca</v>
      </c>
    </row>
    <row r="808" spans="1:34">
      <c r="A808" t="s">
        <v>1968</v>
      </c>
      <c r="B808" t="s">
        <v>56</v>
      </c>
      <c r="C808" s="10" t="s">
        <v>1969</v>
      </c>
      <c r="D808" t="s">
        <v>58</v>
      </c>
      <c r="E808" t="s">
        <v>497</v>
      </c>
      <c r="F808" t="s">
        <v>1074</v>
      </c>
      <c r="G808">
        <v>125000</v>
      </c>
      <c r="H808" t="s">
        <v>187</v>
      </c>
      <c r="I808" t="s">
        <v>58</v>
      </c>
      <c r="J808" t="s">
        <v>58</v>
      </c>
      <c r="K808" t="s">
        <v>58</v>
      </c>
      <c r="L808" t="s">
        <v>58</v>
      </c>
      <c r="M808" t="s">
        <v>58</v>
      </c>
      <c r="N808" t="s">
        <v>61</v>
      </c>
      <c r="Q808" t="s">
        <v>58</v>
      </c>
      <c r="R808" s="11" t="str">
        <f>HYPERLINK("\\imagefiles.bcgov\imagery\scanned_maps\moe_terrain_maps\Scanned_T_maps_all\C07\C07-2314","\\imagefiles.bcgov\imagery\scanned_maps\moe_terrain_maps\Scanned_T_maps_all\C07\C07-2314")</f>
        <v>\\imagefiles.bcgov\imagery\scanned_maps\moe_terrain_maps\Scanned_T_maps_all\C07\C07-2314</v>
      </c>
      <c r="S808" t="s">
        <v>62</v>
      </c>
      <c r="T808" s="11" t="str">
        <f>HYPERLINK("http://www.env.gov.bc.ca/esd/distdata/ecosystems/TEI_Scanned_Maps/C07/C07-2314","http://www.env.gov.bc.ca/esd/distdata/ecosystems/TEI_Scanned_Maps/C07/C07-2314")</f>
        <v>http://www.env.gov.bc.ca/esd/distdata/ecosystems/TEI_Scanned_Maps/C07/C07-2314</v>
      </c>
      <c r="U808" t="s">
        <v>58</v>
      </c>
      <c r="V808" t="s">
        <v>58</v>
      </c>
      <c r="W808" t="s">
        <v>58</v>
      </c>
      <c r="X808" t="s">
        <v>58</v>
      </c>
      <c r="Y808" t="s">
        <v>58</v>
      </c>
      <c r="Z808" t="s">
        <v>58</v>
      </c>
      <c r="AA808" t="s">
        <v>58</v>
      </c>
      <c r="AC808" t="s">
        <v>58</v>
      </c>
      <c r="AE808" t="s">
        <v>58</v>
      </c>
      <c r="AG808" t="s">
        <v>63</v>
      </c>
      <c r="AH808" s="11" t="str">
        <f t="shared" si="15"/>
        <v>mailto: soilterrain@victoria1.gov.bc.ca</v>
      </c>
    </row>
    <row r="809" spans="1:34">
      <c r="A809" t="s">
        <v>1970</v>
      </c>
      <c r="B809" t="s">
        <v>56</v>
      </c>
      <c r="C809" s="10" t="s">
        <v>1971</v>
      </c>
      <c r="D809" t="s">
        <v>58</v>
      </c>
      <c r="E809" t="s">
        <v>497</v>
      </c>
      <c r="F809" t="s">
        <v>1965</v>
      </c>
      <c r="G809">
        <v>126720</v>
      </c>
      <c r="H809" t="s">
        <v>187</v>
      </c>
      <c r="I809" t="s">
        <v>58</v>
      </c>
      <c r="J809" t="s">
        <v>58</v>
      </c>
      <c r="K809" t="s">
        <v>58</v>
      </c>
      <c r="L809" t="s">
        <v>58</v>
      </c>
      <c r="M809" t="s">
        <v>58</v>
      </c>
      <c r="N809" t="s">
        <v>61</v>
      </c>
      <c r="Q809" t="s">
        <v>58</v>
      </c>
      <c r="R809" s="11" t="str">
        <f>HYPERLINK("\\imagefiles.bcgov\imagery\scanned_maps\moe_terrain_maps\Scanned_T_maps_all\C07\C07-2402","\\imagefiles.bcgov\imagery\scanned_maps\moe_terrain_maps\Scanned_T_maps_all\C07\C07-2402")</f>
        <v>\\imagefiles.bcgov\imagery\scanned_maps\moe_terrain_maps\Scanned_T_maps_all\C07\C07-2402</v>
      </c>
      <c r="S809" t="s">
        <v>62</v>
      </c>
      <c r="T809" s="11" t="str">
        <f>HYPERLINK("http://www.env.gov.bc.ca/esd/distdata/ecosystems/TEI_Scanned_Maps/C07/C07-2402","http://www.env.gov.bc.ca/esd/distdata/ecosystems/TEI_Scanned_Maps/C07/C07-2402")</f>
        <v>http://www.env.gov.bc.ca/esd/distdata/ecosystems/TEI_Scanned_Maps/C07/C07-2402</v>
      </c>
      <c r="U809" t="s">
        <v>58</v>
      </c>
      <c r="V809" t="s">
        <v>58</v>
      </c>
      <c r="W809" t="s">
        <v>58</v>
      </c>
      <c r="X809" t="s">
        <v>58</v>
      </c>
      <c r="Y809" t="s">
        <v>58</v>
      </c>
      <c r="Z809" t="s">
        <v>58</v>
      </c>
      <c r="AA809" t="s">
        <v>58</v>
      </c>
      <c r="AC809" t="s">
        <v>58</v>
      </c>
      <c r="AE809" t="s">
        <v>58</v>
      </c>
      <c r="AG809" t="s">
        <v>63</v>
      </c>
      <c r="AH809" s="11" t="str">
        <f t="shared" si="15"/>
        <v>mailto: soilterrain@victoria1.gov.bc.ca</v>
      </c>
    </row>
    <row r="810" spans="1:34">
      <c r="A810" t="s">
        <v>1972</v>
      </c>
      <c r="B810" t="s">
        <v>56</v>
      </c>
      <c r="C810" s="10" t="s">
        <v>1971</v>
      </c>
      <c r="D810" t="s">
        <v>58</v>
      </c>
      <c r="E810" t="s">
        <v>497</v>
      </c>
      <c r="F810" t="s">
        <v>1973</v>
      </c>
      <c r="G810">
        <v>125000</v>
      </c>
      <c r="H810">
        <v>1974</v>
      </c>
      <c r="I810" t="s">
        <v>58</v>
      </c>
      <c r="J810" t="s">
        <v>58</v>
      </c>
      <c r="K810" t="s">
        <v>58</v>
      </c>
      <c r="L810" t="s">
        <v>58</v>
      </c>
      <c r="M810" t="s">
        <v>58</v>
      </c>
      <c r="N810" t="s">
        <v>61</v>
      </c>
      <c r="Q810" t="s">
        <v>58</v>
      </c>
      <c r="R810" s="11" t="str">
        <f>HYPERLINK("\\imagefiles.bcgov\imagery\scanned_maps\moe_terrain_maps\Scanned_T_maps_all\C07\C07-2403","\\imagefiles.bcgov\imagery\scanned_maps\moe_terrain_maps\Scanned_T_maps_all\C07\C07-2403")</f>
        <v>\\imagefiles.bcgov\imagery\scanned_maps\moe_terrain_maps\Scanned_T_maps_all\C07\C07-2403</v>
      </c>
      <c r="S810" t="s">
        <v>62</v>
      </c>
      <c r="T810" s="11" t="str">
        <f>HYPERLINK("http://www.env.gov.bc.ca/esd/distdata/ecosystems/TEI_Scanned_Maps/C07/C07-2403","http://www.env.gov.bc.ca/esd/distdata/ecosystems/TEI_Scanned_Maps/C07/C07-2403")</f>
        <v>http://www.env.gov.bc.ca/esd/distdata/ecosystems/TEI_Scanned_Maps/C07/C07-2403</v>
      </c>
      <c r="U810" t="s">
        <v>58</v>
      </c>
      <c r="V810" t="s">
        <v>58</v>
      </c>
      <c r="W810" t="s">
        <v>58</v>
      </c>
      <c r="X810" t="s">
        <v>58</v>
      </c>
      <c r="Y810" t="s">
        <v>58</v>
      </c>
      <c r="Z810" t="s">
        <v>58</v>
      </c>
      <c r="AA810" t="s">
        <v>58</v>
      </c>
      <c r="AC810" t="s">
        <v>58</v>
      </c>
      <c r="AE810" t="s">
        <v>58</v>
      </c>
      <c r="AG810" t="s">
        <v>63</v>
      </c>
      <c r="AH810" s="11" t="str">
        <f t="shared" si="15"/>
        <v>mailto: soilterrain@victoria1.gov.bc.ca</v>
      </c>
    </row>
    <row r="811" spans="1:34">
      <c r="A811" t="s">
        <v>1974</v>
      </c>
      <c r="B811" t="s">
        <v>56</v>
      </c>
      <c r="C811" s="10" t="s">
        <v>1975</v>
      </c>
      <c r="D811" t="s">
        <v>58</v>
      </c>
      <c r="E811" t="s">
        <v>497</v>
      </c>
      <c r="F811" t="s">
        <v>1965</v>
      </c>
      <c r="G811">
        <v>126720</v>
      </c>
      <c r="H811">
        <v>1980</v>
      </c>
      <c r="I811" t="s">
        <v>58</v>
      </c>
      <c r="J811" t="s">
        <v>58</v>
      </c>
      <c r="K811" t="s">
        <v>58</v>
      </c>
      <c r="L811" t="s">
        <v>58</v>
      </c>
      <c r="M811" t="s">
        <v>58</v>
      </c>
      <c r="N811" t="s">
        <v>61</v>
      </c>
      <c r="Q811" t="s">
        <v>58</v>
      </c>
      <c r="R811" s="11" t="str">
        <f>HYPERLINK("\\imagefiles.bcgov\imagery\scanned_maps\moe_terrain_maps\Scanned_T_maps_all\C07\C07-2407","\\imagefiles.bcgov\imagery\scanned_maps\moe_terrain_maps\Scanned_T_maps_all\C07\C07-2407")</f>
        <v>\\imagefiles.bcgov\imagery\scanned_maps\moe_terrain_maps\Scanned_T_maps_all\C07\C07-2407</v>
      </c>
      <c r="S811" t="s">
        <v>62</v>
      </c>
      <c r="T811" s="11" t="str">
        <f>HYPERLINK("http://www.env.gov.bc.ca/esd/distdata/ecosystems/TEI_Scanned_Maps/C07/C07-2407","http://www.env.gov.bc.ca/esd/distdata/ecosystems/TEI_Scanned_Maps/C07/C07-2407")</f>
        <v>http://www.env.gov.bc.ca/esd/distdata/ecosystems/TEI_Scanned_Maps/C07/C07-2407</v>
      </c>
      <c r="U811" t="s">
        <v>58</v>
      </c>
      <c r="V811" t="s">
        <v>58</v>
      </c>
      <c r="W811" t="s">
        <v>58</v>
      </c>
      <c r="X811" t="s">
        <v>58</v>
      </c>
      <c r="Y811" t="s">
        <v>58</v>
      </c>
      <c r="Z811" t="s">
        <v>58</v>
      </c>
      <c r="AA811" t="s">
        <v>58</v>
      </c>
      <c r="AC811" t="s">
        <v>58</v>
      </c>
      <c r="AE811" t="s">
        <v>58</v>
      </c>
      <c r="AG811" t="s">
        <v>63</v>
      </c>
      <c r="AH811" s="11" t="str">
        <f t="shared" si="15"/>
        <v>mailto: soilterrain@victoria1.gov.bc.ca</v>
      </c>
    </row>
    <row r="812" spans="1:34">
      <c r="A812" t="s">
        <v>1976</v>
      </c>
      <c r="B812" t="s">
        <v>56</v>
      </c>
      <c r="C812" s="10" t="s">
        <v>1975</v>
      </c>
      <c r="D812" t="s">
        <v>58</v>
      </c>
      <c r="E812" t="s">
        <v>497</v>
      </c>
      <c r="F812" t="s">
        <v>1977</v>
      </c>
      <c r="G812">
        <v>126720</v>
      </c>
      <c r="H812" t="s">
        <v>187</v>
      </c>
      <c r="I812" t="s">
        <v>58</v>
      </c>
      <c r="J812" t="s">
        <v>58</v>
      </c>
      <c r="K812" t="s">
        <v>58</v>
      </c>
      <c r="L812" t="s">
        <v>58</v>
      </c>
      <c r="M812" t="s">
        <v>58</v>
      </c>
      <c r="N812" t="s">
        <v>61</v>
      </c>
      <c r="Q812" t="s">
        <v>58</v>
      </c>
      <c r="R812" s="11" t="str">
        <f>HYPERLINK("\\imagefiles.bcgov\imagery\scanned_maps\moe_terrain_maps\Scanned_T_maps_all\C07\C07-2408","\\imagefiles.bcgov\imagery\scanned_maps\moe_terrain_maps\Scanned_T_maps_all\C07\C07-2408")</f>
        <v>\\imagefiles.bcgov\imagery\scanned_maps\moe_terrain_maps\Scanned_T_maps_all\C07\C07-2408</v>
      </c>
      <c r="S812" t="s">
        <v>62</v>
      </c>
      <c r="T812" s="11" t="str">
        <f>HYPERLINK("http://www.env.gov.bc.ca/esd/distdata/ecosystems/TEI_Scanned_Maps/C07/C07-2408","http://www.env.gov.bc.ca/esd/distdata/ecosystems/TEI_Scanned_Maps/C07/C07-2408")</f>
        <v>http://www.env.gov.bc.ca/esd/distdata/ecosystems/TEI_Scanned_Maps/C07/C07-2408</v>
      </c>
      <c r="U812" t="s">
        <v>58</v>
      </c>
      <c r="V812" t="s">
        <v>58</v>
      </c>
      <c r="W812" t="s">
        <v>58</v>
      </c>
      <c r="X812" t="s">
        <v>58</v>
      </c>
      <c r="Y812" t="s">
        <v>58</v>
      </c>
      <c r="Z812" t="s">
        <v>58</v>
      </c>
      <c r="AA812" t="s">
        <v>58</v>
      </c>
      <c r="AC812" t="s">
        <v>58</v>
      </c>
      <c r="AE812" t="s">
        <v>58</v>
      </c>
      <c r="AG812" t="s">
        <v>63</v>
      </c>
      <c r="AH812" s="11" t="str">
        <f t="shared" si="15"/>
        <v>mailto: soilterrain@victoria1.gov.bc.ca</v>
      </c>
    </row>
    <row r="813" spans="1:34">
      <c r="A813" t="s">
        <v>1978</v>
      </c>
      <c r="B813" t="s">
        <v>56</v>
      </c>
      <c r="C813" s="10" t="s">
        <v>1979</v>
      </c>
      <c r="D813" t="s">
        <v>58</v>
      </c>
      <c r="E813" t="s">
        <v>497</v>
      </c>
      <c r="F813" t="s">
        <v>1980</v>
      </c>
      <c r="G813">
        <v>0</v>
      </c>
      <c r="H813" t="s">
        <v>187</v>
      </c>
      <c r="I813" t="s">
        <v>58</v>
      </c>
      <c r="J813" t="s">
        <v>58</v>
      </c>
      <c r="K813" t="s">
        <v>58</v>
      </c>
      <c r="L813" t="s">
        <v>58</v>
      </c>
      <c r="M813" t="s">
        <v>58</v>
      </c>
      <c r="N813" t="s">
        <v>61</v>
      </c>
      <c r="Q813" t="s">
        <v>58</v>
      </c>
      <c r="R813" s="11" t="str">
        <f>HYPERLINK("\\imagefiles.bcgov\imagery\scanned_maps\moe_terrain_maps\Scanned_T_maps_all\C07\C07-2442","\\imagefiles.bcgov\imagery\scanned_maps\moe_terrain_maps\Scanned_T_maps_all\C07\C07-2442")</f>
        <v>\\imagefiles.bcgov\imagery\scanned_maps\moe_terrain_maps\Scanned_T_maps_all\C07\C07-2442</v>
      </c>
      <c r="S813" t="s">
        <v>62</v>
      </c>
      <c r="T813" s="11" t="str">
        <f>HYPERLINK("http://www.env.gov.bc.ca/esd/distdata/ecosystems/TEI_Scanned_Maps/C07/C07-2442","http://www.env.gov.bc.ca/esd/distdata/ecosystems/TEI_Scanned_Maps/C07/C07-2442")</f>
        <v>http://www.env.gov.bc.ca/esd/distdata/ecosystems/TEI_Scanned_Maps/C07/C07-2442</v>
      </c>
      <c r="U813" t="s">
        <v>58</v>
      </c>
      <c r="V813" t="s">
        <v>58</v>
      </c>
      <c r="W813" t="s">
        <v>58</v>
      </c>
      <c r="X813" t="s">
        <v>58</v>
      </c>
      <c r="Y813" t="s">
        <v>58</v>
      </c>
      <c r="Z813" t="s">
        <v>58</v>
      </c>
      <c r="AA813" t="s">
        <v>58</v>
      </c>
      <c r="AC813" t="s">
        <v>58</v>
      </c>
      <c r="AE813" t="s">
        <v>58</v>
      </c>
      <c r="AG813" t="s">
        <v>63</v>
      </c>
      <c r="AH813" s="11" t="str">
        <f t="shared" si="15"/>
        <v>mailto: soilterrain@victoria1.gov.bc.ca</v>
      </c>
    </row>
    <row r="814" spans="1:34">
      <c r="A814" t="s">
        <v>1981</v>
      </c>
      <c r="B814" t="s">
        <v>56</v>
      </c>
      <c r="C814" s="10" t="s">
        <v>1982</v>
      </c>
      <c r="D814" t="s">
        <v>58</v>
      </c>
      <c r="E814" t="s">
        <v>497</v>
      </c>
      <c r="F814" t="s">
        <v>1983</v>
      </c>
      <c r="G814">
        <v>125000</v>
      </c>
      <c r="H814">
        <v>1974</v>
      </c>
      <c r="I814" t="s">
        <v>58</v>
      </c>
      <c r="J814" t="s">
        <v>58</v>
      </c>
      <c r="K814" t="s">
        <v>58</v>
      </c>
      <c r="L814" t="s">
        <v>58</v>
      </c>
      <c r="M814" t="s">
        <v>58</v>
      </c>
      <c r="N814" t="s">
        <v>61</v>
      </c>
      <c r="Q814" t="s">
        <v>58</v>
      </c>
      <c r="R814" s="11" t="str">
        <f>HYPERLINK("\\imagefiles.bcgov\imagery\scanned_maps\moe_terrain_maps\Scanned_T_maps_all\C07\C07-2444","\\imagefiles.bcgov\imagery\scanned_maps\moe_terrain_maps\Scanned_T_maps_all\C07\C07-2444")</f>
        <v>\\imagefiles.bcgov\imagery\scanned_maps\moe_terrain_maps\Scanned_T_maps_all\C07\C07-2444</v>
      </c>
      <c r="S814" t="s">
        <v>62</v>
      </c>
      <c r="T814" s="11" t="str">
        <f>HYPERLINK("http://www.env.gov.bc.ca/esd/distdata/ecosystems/TEI_Scanned_Maps/C07/C07-2444","http://www.env.gov.bc.ca/esd/distdata/ecosystems/TEI_Scanned_Maps/C07/C07-2444")</f>
        <v>http://www.env.gov.bc.ca/esd/distdata/ecosystems/TEI_Scanned_Maps/C07/C07-2444</v>
      </c>
      <c r="U814" t="s">
        <v>58</v>
      </c>
      <c r="V814" t="s">
        <v>58</v>
      </c>
      <c r="W814" t="s">
        <v>58</v>
      </c>
      <c r="X814" t="s">
        <v>58</v>
      </c>
      <c r="Y814" t="s">
        <v>58</v>
      </c>
      <c r="Z814" t="s">
        <v>58</v>
      </c>
      <c r="AA814" t="s">
        <v>58</v>
      </c>
      <c r="AC814" t="s">
        <v>58</v>
      </c>
      <c r="AE814" t="s">
        <v>58</v>
      </c>
      <c r="AG814" t="s">
        <v>63</v>
      </c>
      <c r="AH814" s="11" t="str">
        <f t="shared" si="15"/>
        <v>mailto: soilterrain@victoria1.gov.bc.ca</v>
      </c>
    </row>
    <row r="815" spans="1:34">
      <c r="A815" t="s">
        <v>1984</v>
      </c>
      <c r="B815" t="s">
        <v>56</v>
      </c>
      <c r="C815" s="10" t="s">
        <v>1985</v>
      </c>
      <c r="D815" t="s">
        <v>58</v>
      </c>
      <c r="E815" t="s">
        <v>497</v>
      </c>
      <c r="F815" t="s">
        <v>1986</v>
      </c>
      <c r="G815">
        <v>125000</v>
      </c>
      <c r="H815">
        <v>1975</v>
      </c>
      <c r="I815" t="s">
        <v>58</v>
      </c>
      <c r="J815" t="s">
        <v>58</v>
      </c>
      <c r="K815" t="s">
        <v>58</v>
      </c>
      <c r="L815" t="s">
        <v>58</v>
      </c>
      <c r="M815" t="s">
        <v>58</v>
      </c>
      <c r="N815" t="s">
        <v>61</v>
      </c>
      <c r="Q815" t="s">
        <v>58</v>
      </c>
      <c r="R815" s="11" t="str">
        <f>HYPERLINK("\\imagefiles.bcgov\imagery\scanned_maps\moe_terrain_maps\Scanned_T_maps_all\C07\C07-2446","\\imagefiles.bcgov\imagery\scanned_maps\moe_terrain_maps\Scanned_T_maps_all\C07\C07-2446")</f>
        <v>\\imagefiles.bcgov\imagery\scanned_maps\moe_terrain_maps\Scanned_T_maps_all\C07\C07-2446</v>
      </c>
      <c r="S815" t="s">
        <v>62</v>
      </c>
      <c r="T815" s="11" t="str">
        <f>HYPERLINK("http://www.env.gov.bc.ca/esd/distdata/ecosystems/TEI_Scanned_Maps/C07/C07-2446","http://www.env.gov.bc.ca/esd/distdata/ecosystems/TEI_Scanned_Maps/C07/C07-2446")</f>
        <v>http://www.env.gov.bc.ca/esd/distdata/ecosystems/TEI_Scanned_Maps/C07/C07-2446</v>
      </c>
      <c r="U815" t="s">
        <v>58</v>
      </c>
      <c r="V815" t="s">
        <v>58</v>
      </c>
      <c r="W815" t="s">
        <v>58</v>
      </c>
      <c r="X815" t="s">
        <v>58</v>
      </c>
      <c r="Y815" t="s">
        <v>58</v>
      </c>
      <c r="Z815" t="s">
        <v>58</v>
      </c>
      <c r="AA815" t="s">
        <v>58</v>
      </c>
      <c r="AC815" t="s">
        <v>58</v>
      </c>
      <c r="AE815" t="s">
        <v>58</v>
      </c>
      <c r="AG815" t="s">
        <v>63</v>
      </c>
      <c r="AH815" s="11" t="str">
        <f t="shared" si="15"/>
        <v>mailto: soilterrain@victoria1.gov.bc.ca</v>
      </c>
    </row>
    <row r="816" spans="1:34">
      <c r="A816" t="s">
        <v>1987</v>
      </c>
      <c r="B816" t="s">
        <v>56</v>
      </c>
      <c r="C816" s="10" t="s">
        <v>1988</v>
      </c>
      <c r="D816" t="s">
        <v>58</v>
      </c>
      <c r="E816" t="s">
        <v>497</v>
      </c>
      <c r="F816" t="s">
        <v>1989</v>
      </c>
      <c r="G816">
        <v>125000</v>
      </c>
      <c r="H816" t="s">
        <v>187</v>
      </c>
      <c r="I816" t="s">
        <v>58</v>
      </c>
      <c r="J816" t="s">
        <v>58</v>
      </c>
      <c r="K816" t="s">
        <v>58</v>
      </c>
      <c r="L816" t="s">
        <v>58</v>
      </c>
      <c r="M816" t="s">
        <v>58</v>
      </c>
      <c r="N816" t="s">
        <v>61</v>
      </c>
      <c r="Q816" t="s">
        <v>58</v>
      </c>
      <c r="R816" s="11" t="str">
        <f>HYPERLINK("\\imagefiles.bcgov\imagery\scanned_maps\moe_terrain_maps\Scanned_T_maps_all\C07\C07-2455","\\imagefiles.bcgov\imagery\scanned_maps\moe_terrain_maps\Scanned_T_maps_all\C07\C07-2455")</f>
        <v>\\imagefiles.bcgov\imagery\scanned_maps\moe_terrain_maps\Scanned_T_maps_all\C07\C07-2455</v>
      </c>
      <c r="S816" t="s">
        <v>62</v>
      </c>
      <c r="T816" s="11" t="str">
        <f>HYPERLINK("http://www.env.gov.bc.ca/esd/distdata/ecosystems/TEI_Scanned_Maps/C07/C07-2455","http://www.env.gov.bc.ca/esd/distdata/ecosystems/TEI_Scanned_Maps/C07/C07-2455")</f>
        <v>http://www.env.gov.bc.ca/esd/distdata/ecosystems/TEI_Scanned_Maps/C07/C07-2455</v>
      </c>
      <c r="U816" t="s">
        <v>58</v>
      </c>
      <c r="V816" t="s">
        <v>58</v>
      </c>
      <c r="W816" t="s">
        <v>58</v>
      </c>
      <c r="X816" t="s">
        <v>58</v>
      </c>
      <c r="Y816" t="s">
        <v>58</v>
      </c>
      <c r="Z816" t="s">
        <v>58</v>
      </c>
      <c r="AA816" t="s">
        <v>58</v>
      </c>
      <c r="AC816" t="s">
        <v>58</v>
      </c>
      <c r="AE816" t="s">
        <v>58</v>
      </c>
      <c r="AG816" t="s">
        <v>63</v>
      </c>
      <c r="AH816" s="11" t="str">
        <f t="shared" si="15"/>
        <v>mailto: soilterrain@victoria1.gov.bc.ca</v>
      </c>
    </row>
    <row r="817" spans="1:34">
      <c r="A817" t="s">
        <v>1990</v>
      </c>
      <c r="B817" t="s">
        <v>56</v>
      </c>
      <c r="C817" s="10" t="s">
        <v>1991</v>
      </c>
      <c r="D817" t="s">
        <v>58</v>
      </c>
      <c r="E817" t="s">
        <v>497</v>
      </c>
      <c r="F817" t="s">
        <v>1992</v>
      </c>
      <c r="G817">
        <v>125000</v>
      </c>
      <c r="H817">
        <v>1974</v>
      </c>
      <c r="I817" t="s">
        <v>58</v>
      </c>
      <c r="J817" t="s">
        <v>58</v>
      </c>
      <c r="K817" t="s">
        <v>58</v>
      </c>
      <c r="L817" t="s">
        <v>58</v>
      </c>
      <c r="M817" t="s">
        <v>58</v>
      </c>
      <c r="N817" t="s">
        <v>61</v>
      </c>
      <c r="Q817" t="s">
        <v>58</v>
      </c>
      <c r="R817" s="11" t="str">
        <f>HYPERLINK("\\imagefiles.bcgov\imagery\scanned_maps\moe_terrain_maps\Scanned_T_maps_all\C07\C07-2510","\\imagefiles.bcgov\imagery\scanned_maps\moe_terrain_maps\Scanned_T_maps_all\C07\C07-2510")</f>
        <v>\\imagefiles.bcgov\imagery\scanned_maps\moe_terrain_maps\Scanned_T_maps_all\C07\C07-2510</v>
      </c>
      <c r="S817" t="s">
        <v>62</v>
      </c>
      <c r="T817" s="11" t="str">
        <f>HYPERLINK("http://www.env.gov.bc.ca/esd/distdata/ecosystems/TEI_Scanned_Maps/C07/C07-2510","http://www.env.gov.bc.ca/esd/distdata/ecosystems/TEI_Scanned_Maps/C07/C07-2510")</f>
        <v>http://www.env.gov.bc.ca/esd/distdata/ecosystems/TEI_Scanned_Maps/C07/C07-2510</v>
      </c>
      <c r="U817" t="s">
        <v>58</v>
      </c>
      <c r="V817" t="s">
        <v>58</v>
      </c>
      <c r="W817" t="s">
        <v>58</v>
      </c>
      <c r="X817" t="s">
        <v>58</v>
      </c>
      <c r="Y817" t="s">
        <v>58</v>
      </c>
      <c r="Z817" t="s">
        <v>58</v>
      </c>
      <c r="AA817" t="s">
        <v>58</v>
      </c>
      <c r="AC817" t="s">
        <v>58</v>
      </c>
      <c r="AE817" t="s">
        <v>58</v>
      </c>
      <c r="AG817" t="s">
        <v>63</v>
      </c>
      <c r="AH817" s="11" t="str">
        <f t="shared" si="15"/>
        <v>mailto: soilterrain@victoria1.gov.bc.ca</v>
      </c>
    </row>
    <row r="818" spans="1:34">
      <c r="A818" t="s">
        <v>1993</v>
      </c>
      <c r="B818" t="s">
        <v>56</v>
      </c>
      <c r="C818" s="10" t="s">
        <v>1994</v>
      </c>
      <c r="D818" t="s">
        <v>58</v>
      </c>
      <c r="E818" t="s">
        <v>497</v>
      </c>
      <c r="F818" t="s">
        <v>1995</v>
      </c>
      <c r="G818">
        <v>125000</v>
      </c>
      <c r="H818">
        <v>1980</v>
      </c>
      <c r="I818" t="s">
        <v>58</v>
      </c>
      <c r="J818" t="s">
        <v>58</v>
      </c>
      <c r="K818" t="s">
        <v>58</v>
      </c>
      <c r="L818" t="s">
        <v>58</v>
      </c>
      <c r="M818" t="s">
        <v>58</v>
      </c>
      <c r="N818" t="s">
        <v>61</v>
      </c>
      <c r="Q818" t="s">
        <v>58</v>
      </c>
      <c r="R818" s="11" t="str">
        <f>HYPERLINK("\\imagefiles.bcgov\imagery\scanned_maps\moe_terrain_maps\Scanned_T_maps_all\C07\C07-2520","\\imagefiles.bcgov\imagery\scanned_maps\moe_terrain_maps\Scanned_T_maps_all\C07\C07-2520")</f>
        <v>\\imagefiles.bcgov\imagery\scanned_maps\moe_terrain_maps\Scanned_T_maps_all\C07\C07-2520</v>
      </c>
      <c r="S818" t="s">
        <v>62</v>
      </c>
      <c r="T818" s="11" t="str">
        <f>HYPERLINK("http://www.env.gov.bc.ca/esd/distdata/ecosystems/TEI_Scanned_Maps/C07/C07-2520","http://www.env.gov.bc.ca/esd/distdata/ecosystems/TEI_Scanned_Maps/C07/C07-2520")</f>
        <v>http://www.env.gov.bc.ca/esd/distdata/ecosystems/TEI_Scanned_Maps/C07/C07-2520</v>
      </c>
      <c r="U818" t="s">
        <v>58</v>
      </c>
      <c r="V818" t="s">
        <v>58</v>
      </c>
      <c r="W818" t="s">
        <v>58</v>
      </c>
      <c r="X818" t="s">
        <v>58</v>
      </c>
      <c r="Y818" t="s">
        <v>58</v>
      </c>
      <c r="Z818" t="s">
        <v>58</v>
      </c>
      <c r="AA818" t="s">
        <v>58</v>
      </c>
      <c r="AC818" t="s">
        <v>58</v>
      </c>
      <c r="AE818" t="s">
        <v>58</v>
      </c>
      <c r="AG818" t="s">
        <v>63</v>
      </c>
      <c r="AH818" s="11" t="str">
        <f t="shared" si="15"/>
        <v>mailto: soilterrain@victoria1.gov.bc.ca</v>
      </c>
    </row>
    <row r="819" spans="1:34">
      <c r="A819" t="s">
        <v>1996</v>
      </c>
      <c r="B819" t="s">
        <v>56</v>
      </c>
      <c r="C819" s="10" t="s">
        <v>1997</v>
      </c>
      <c r="D819" t="s">
        <v>58</v>
      </c>
      <c r="E819" t="s">
        <v>497</v>
      </c>
      <c r="F819" t="s">
        <v>1998</v>
      </c>
      <c r="G819">
        <v>125000</v>
      </c>
      <c r="H819">
        <v>1981</v>
      </c>
      <c r="I819" t="s">
        <v>58</v>
      </c>
      <c r="J819" t="s">
        <v>58</v>
      </c>
      <c r="K819" t="s">
        <v>58</v>
      </c>
      <c r="L819" t="s">
        <v>58</v>
      </c>
      <c r="M819" t="s">
        <v>58</v>
      </c>
      <c r="N819" t="s">
        <v>61</v>
      </c>
      <c r="Q819" t="s">
        <v>58</v>
      </c>
      <c r="R819" s="11" t="str">
        <f>HYPERLINK("\\imagefiles.bcgov\imagery\scanned_maps\moe_terrain_maps\Scanned_T_maps_all\C07\C07-31","\\imagefiles.bcgov\imagery\scanned_maps\moe_terrain_maps\Scanned_T_maps_all\C07\C07-31")</f>
        <v>\\imagefiles.bcgov\imagery\scanned_maps\moe_terrain_maps\Scanned_T_maps_all\C07\C07-31</v>
      </c>
      <c r="S819" t="s">
        <v>62</v>
      </c>
      <c r="T819" s="11" t="str">
        <f>HYPERLINK("http://www.env.gov.bc.ca/esd/distdata/ecosystems/TEI_Scanned_Maps/C07/C07-31","http://www.env.gov.bc.ca/esd/distdata/ecosystems/TEI_Scanned_Maps/C07/C07-31")</f>
        <v>http://www.env.gov.bc.ca/esd/distdata/ecosystems/TEI_Scanned_Maps/C07/C07-31</v>
      </c>
      <c r="U819" t="s">
        <v>58</v>
      </c>
      <c r="V819" t="s">
        <v>58</v>
      </c>
      <c r="W819" t="s">
        <v>58</v>
      </c>
      <c r="X819" t="s">
        <v>58</v>
      </c>
      <c r="Y819" t="s">
        <v>58</v>
      </c>
      <c r="Z819" t="s">
        <v>58</v>
      </c>
      <c r="AA819" t="s">
        <v>58</v>
      </c>
      <c r="AC819" t="s">
        <v>58</v>
      </c>
      <c r="AE819" t="s">
        <v>58</v>
      </c>
      <c r="AG819" t="s">
        <v>63</v>
      </c>
      <c r="AH819" s="11" t="str">
        <f t="shared" si="15"/>
        <v>mailto: soilterrain@victoria1.gov.bc.ca</v>
      </c>
    </row>
    <row r="820" spans="1:34">
      <c r="A820" t="s">
        <v>1999</v>
      </c>
      <c r="B820" t="s">
        <v>56</v>
      </c>
      <c r="C820" s="10" t="s">
        <v>2000</v>
      </c>
      <c r="D820" t="s">
        <v>58</v>
      </c>
      <c r="E820" t="s">
        <v>497</v>
      </c>
      <c r="F820" t="s">
        <v>2001</v>
      </c>
      <c r="G820">
        <v>125000</v>
      </c>
      <c r="H820">
        <v>1981</v>
      </c>
      <c r="I820" t="s">
        <v>58</v>
      </c>
      <c r="J820" t="s">
        <v>58</v>
      </c>
      <c r="K820" t="s">
        <v>58</v>
      </c>
      <c r="L820" t="s">
        <v>58</v>
      </c>
      <c r="M820" t="s">
        <v>58</v>
      </c>
      <c r="N820" t="s">
        <v>61</v>
      </c>
      <c r="Q820" t="s">
        <v>58</v>
      </c>
      <c r="R820" s="11" t="str">
        <f>HYPERLINK("\\imagefiles.bcgov\imagery\scanned_maps\moe_terrain_maps\Scanned_T_maps_all\C07\C07-32","\\imagefiles.bcgov\imagery\scanned_maps\moe_terrain_maps\Scanned_T_maps_all\C07\C07-32")</f>
        <v>\\imagefiles.bcgov\imagery\scanned_maps\moe_terrain_maps\Scanned_T_maps_all\C07\C07-32</v>
      </c>
      <c r="S820" t="s">
        <v>62</v>
      </c>
      <c r="T820" s="11" t="str">
        <f>HYPERLINK("http://www.env.gov.bc.ca/esd/distdata/ecosystems/TEI_Scanned_Maps/C07/C07-32","http://www.env.gov.bc.ca/esd/distdata/ecosystems/TEI_Scanned_Maps/C07/C07-32")</f>
        <v>http://www.env.gov.bc.ca/esd/distdata/ecosystems/TEI_Scanned_Maps/C07/C07-32</v>
      </c>
      <c r="U820" t="s">
        <v>979</v>
      </c>
      <c r="V820" s="11" t="str">
        <f>HYPERLINK("http://www.prsss.ca/","http://www.prsss.ca/")</f>
        <v>http://www.prsss.ca/</v>
      </c>
      <c r="W820" t="s">
        <v>58</v>
      </c>
      <c r="X820" t="s">
        <v>58</v>
      </c>
      <c r="Y820" t="s">
        <v>58</v>
      </c>
      <c r="Z820" t="s">
        <v>58</v>
      </c>
      <c r="AA820" t="s">
        <v>58</v>
      </c>
      <c r="AC820" t="s">
        <v>58</v>
      </c>
      <c r="AE820" t="s">
        <v>58</v>
      </c>
      <c r="AG820" t="s">
        <v>63</v>
      </c>
      <c r="AH820" s="11" t="str">
        <f t="shared" si="15"/>
        <v>mailto: soilterrain@victoria1.gov.bc.ca</v>
      </c>
    </row>
    <row r="821" spans="1:34">
      <c r="A821" t="s">
        <v>2002</v>
      </c>
      <c r="B821" t="s">
        <v>56</v>
      </c>
      <c r="C821" s="10" t="s">
        <v>2003</v>
      </c>
      <c r="D821" t="s">
        <v>58</v>
      </c>
      <c r="E821" t="s">
        <v>497</v>
      </c>
      <c r="F821" t="s">
        <v>2004</v>
      </c>
      <c r="G821">
        <v>125000</v>
      </c>
      <c r="H821">
        <v>1981</v>
      </c>
      <c r="I821" t="s">
        <v>58</v>
      </c>
      <c r="J821" t="s">
        <v>58</v>
      </c>
      <c r="K821" t="s">
        <v>58</v>
      </c>
      <c r="L821" t="s">
        <v>58</v>
      </c>
      <c r="M821" t="s">
        <v>58</v>
      </c>
      <c r="N821" t="s">
        <v>61</v>
      </c>
      <c r="Q821" t="s">
        <v>58</v>
      </c>
      <c r="R821" s="11" t="str">
        <f>HYPERLINK("\\imagefiles.bcgov\imagery\scanned_maps\moe_terrain_maps\Scanned_T_maps_all\C07\C07-34","\\imagefiles.bcgov\imagery\scanned_maps\moe_terrain_maps\Scanned_T_maps_all\C07\C07-34")</f>
        <v>\\imagefiles.bcgov\imagery\scanned_maps\moe_terrain_maps\Scanned_T_maps_all\C07\C07-34</v>
      </c>
      <c r="S821" t="s">
        <v>62</v>
      </c>
      <c r="T821" s="11" t="str">
        <f>HYPERLINK("http://www.env.gov.bc.ca/esd/distdata/ecosystems/TEI_Scanned_Maps/C07/C07-34","http://www.env.gov.bc.ca/esd/distdata/ecosystems/TEI_Scanned_Maps/C07/C07-34")</f>
        <v>http://www.env.gov.bc.ca/esd/distdata/ecosystems/TEI_Scanned_Maps/C07/C07-34</v>
      </c>
      <c r="U821" t="s">
        <v>979</v>
      </c>
      <c r="V821" s="11" t="str">
        <f>HYPERLINK("http://www.prsss.ca/","http://www.prsss.ca/")</f>
        <v>http://www.prsss.ca/</v>
      </c>
      <c r="W821" t="s">
        <v>58</v>
      </c>
      <c r="X821" t="s">
        <v>58</v>
      </c>
      <c r="Y821" t="s">
        <v>58</v>
      </c>
      <c r="Z821" t="s">
        <v>58</v>
      </c>
      <c r="AA821" t="s">
        <v>58</v>
      </c>
      <c r="AC821" t="s">
        <v>58</v>
      </c>
      <c r="AE821" t="s">
        <v>58</v>
      </c>
      <c r="AG821" t="s">
        <v>63</v>
      </c>
      <c r="AH821" s="11" t="str">
        <f t="shared" si="15"/>
        <v>mailto: soilterrain@victoria1.gov.bc.ca</v>
      </c>
    </row>
    <row r="822" spans="1:34">
      <c r="A822" t="s">
        <v>2005</v>
      </c>
      <c r="B822" t="s">
        <v>56</v>
      </c>
      <c r="C822" s="10" t="s">
        <v>2006</v>
      </c>
      <c r="D822" t="s">
        <v>58</v>
      </c>
      <c r="E822" t="s">
        <v>497</v>
      </c>
      <c r="F822" t="s">
        <v>2007</v>
      </c>
      <c r="G822">
        <v>50000</v>
      </c>
      <c r="H822">
        <v>1981</v>
      </c>
      <c r="I822" t="s">
        <v>58</v>
      </c>
      <c r="J822" t="s">
        <v>58</v>
      </c>
      <c r="K822" t="s">
        <v>58</v>
      </c>
      <c r="L822" t="s">
        <v>58</v>
      </c>
      <c r="M822" t="s">
        <v>58</v>
      </c>
      <c r="N822" t="s">
        <v>61</v>
      </c>
      <c r="Q822" t="s">
        <v>58</v>
      </c>
      <c r="R822" s="11" t="str">
        <f>HYPERLINK("\\imagefiles.bcgov\imagery\scanned_maps\moe_terrain_maps\Scanned_T_maps_all\C07\C07-36","\\imagefiles.bcgov\imagery\scanned_maps\moe_terrain_maps\Scanned_T_maps_all\C07\C07-36")</f>
        <v>\\imagefiles.bcgov\imagery\scanned_maps\moe_terrain_maps\Scanned_T_maps_all\C07\C07-36</v>
      </c>
      <c r="S822" t="s">
        <v>62</v>
      </c>
      <c r="T822" s="11" t="str">
        <f>HYPERLINK("http://www.env.gov.bc.ca/esd/distdata/ecosystems/TEI_Scanned_Maps/C07/C07-36","http://www.env.gov.bc.ca/esd/distdata/ecosystems/TEI_Scanned_Maps/C07/C07-36")</f>
        <v>http://www.env.gov.bc.ca/esd/distdata/ecosystems/TEI_Scanned_Maps/C07/C07-36</v>
      </c>
      <c r="U822" t="s">
        <v>58</v>
      </c>
      <c r="V822" t="s">
        <v>58</v>
      </c>
      <c r="W822" t="s">
        <v>58</v>
      </c>
      <c r="X822" t="s">
        <v>58</v>
      </c>
      <c r="Y822" t="s">
        <v>58</v>
      </c>
      <c r="Z822" t="s">
        <v>58</v>
      </c>
      <c r="AA822" t="s">
        <v>58</v>
      </c>
      <c r="AC822" t="s">
        <v>58</v>
      </c>
      <c r="AE822" t="s">
        <v>58</v>
      </c>
      <c r="AG822" t="s">
        <v>63</v>
      </c>
      <c r="AH822" s="11" t="str">
        <f t="shared" si="15"/>
        <v>mailto: soilterrain@victoria1.gov.bc.ca</v>
      </c>
    </row>
    <row r="823" spans="1:34">
      <c r="A823" t="s">
        <v>2008</v>
      </c>
      <c r="B823" t="s">
        <v>56</v>
      </c>
      <c r="C823" s="10" t="s">
        <v>2009</v>
      </c>
      <c r="D823" t="s">
        <v>58</v>
      </c>
      <c r="E823" t="s">
        <v>497</v>
      </c>
      <c r="F823" t="s">
        <v>2010</v>
      </c>
      <c r="G823">
        <v>125000</v>
      </c>
      <c r="H823">
        <v>1981</v>
      </c>
      <c r="I823" t="s">
        <v>58</v>
      </c>
      <c r="J823" t="s">
        <v>58</v>
      </c>
      <c r="K823" t="s">
        <v>58</v>
      </c>
      <c r="L823" t="s">
        <v>58</v>
      </c>
      <c r="M823" t="s">
        <v>58</v>
      </c>
      <c r="N823" t="s">
        <v>61</v>
      </c>
      <c r="Q823" t="s">
        <v>58</v>
      </c>
      <c r="R823" s="11" t="str">
        <f>HYPERLINK("\\imagefiles.bcgov\imagery\scanned_maps\moe_terrain_maps\Scanned_T_maps_all\C07\C07-362","\\imagefiles.bcgov\imagery\scanned_maps\moe_terrain_maps\Scanned_T_maps_all\C07\C07-362")</f>
        <v>\\imagefiles.bcgov\imagery\scanned_maps\moe_terrain_maps\Scanned_T_maps_all\C07\C07-362</v>
      </c>
      <c r="S823" t="s">
        <v>62</v>
      </c>
      <c r="T823" s="11" t="str">
        <f>HYPERLINK("http://www.env.gov.bc.ca/esd/distdata/ecosystems/TEI_Scanned_Maps/C07/C07-362","http://www.env.gov.bc.ca/esd/distdata/ecosystems/TEI_Scanned_Maps/C07/C07-362")</f>
        <v>http://www.env.gov.bc.ca/esd/distdata/ecosystems/TEI_Scanned_Maps/C07/C07-362</v>
      </c>
      <c r="U823" t="s">
        <v>979</v>
      </c>
      <c r="V823" s="11" t="str">
        <f>HYPERLINK("http://www.prsss.ca/","http://www.prsss.ca/")</f>
        <v>http://www.prsss.ca/</v>
      </c>
      <c r="W823" t="s">
        <v>58</v>
      </c>
      <c r="X823" t="s">
        <v>58</v>
      </c>
      <c r="Y823" t="s">
        <v>58</v>
      </c>
      <c r="Z823" t="s">
        <v>58</v>
      </c>
      <c r="AA823" t="s">
        <v>58</v>
      </c>
      <c r="AC823" t="s">
        <v>58</v>
      </c>
      <c r="AE823" t="s">
        <v>58</v>
      </c>
      <c r="AG823" t="s">
        <v>63</v>
      </c>
      <c r="AH823" s="11" t="str">
        <f t="shared" si="15"/>
        <v>mailto: soilterrain@victoria1.gov.bc.ca</v>
      </c>
    </row>
    <row r="824" spans="1:34">
      <c r="A824" t="s">
        <v>2011</v>
      </c>
      <c r="B824" t="s">
        <v>56</v>
      </c>
      <c r="C824" s="10" t="s">
        <v>2012</v>
      </c>
      <c r="D824" t="s">
        <v>58</v>
      </c>
      <c r="E824" t="s">
        <v>497</v>
      </c>
      <c r="F824" t="s">
        <v>2013</v>
      </c>
      <c r="G824">
        <v>125000</v>
      </c>
      <c r="H824">
        <v>1981</v>
      </c>
      <c r="I824" t="s">
        <v>58</v>
      </c>
      <c r="J824" t="s">
        <v>58</v>
      </c>
      <c r="K824" t="s">
        <v>58</v>
      </c>
      <c r="L824" t="s">
        <v>58</v>
      </c>
      <c r="M824" t="s">
        <v>58</v>
      </c>
      <c r="N824" t="s">
        <v>61</v>
      </c>
      <c r="Q824" t="s">
        <v>58</v>
      </c>
      <c r="R824" s="11" t="str">
        <f>HYPERLINK("\\imagefiles.bcgov\imagery\scanned_maps\moe_terrain_maps\Scanned_T_maps_all\C07\C07-366","\\imagefiles.bcgov\imagery\scanned_maps\moe_terrain_maps\Scanned_T_maps_all\C07\C07-366")</f>
        <v>\\imagefiles.bcgov\imagery\scanned_maps\moe_terrain_maps\Scanned_T_maps_all\C07\C07-366</v>
      </c>
      <c r="S824" t="s">
        <v>62</v>
      </c>
      <c r="T824" s="11" t="str">
        <f>HYPERLINK("http://www.env.gov.bc.ca/esd/distdata/ecosystems/TEI_Scanned_Maps/C07/C07-366","http://www.env.gov.bc.ca/esd/distdata/ecosystems/TEI_Scanned_Maps/C07/C07-366")</f>
        <v>http://www.env.gov.bc.ca/esd/distdata/ecosystems/TEI_Scanned_Maps/C07/C07-366</v>
      </c>
      <c r="U824" t="s">
        <v>979</v>
      </c>
      <c r="V824" s="11" t="str">
        <f>HYPERLINK("http://www.prsss.ca/","http://www.prsss.ca/")</f>
        <v>http://www.prsss.ca/</v>
      </c>
      <c r="W824" t="s">
        <v>58</v>
      </c>
      <c r="X824" t="s">
        <v>58</v>
      </c>
      <c r="Y824" t="s">
        <v>58</v>
      </c>
      <c r="Z824" t="s">
        <v>58</v>
      </c>
      <c r="AA824" t="s">
        <v>58</v>
      </c>
      <c r="AC824" t="s">
        <v>58</v>
      </c>
      <c r="AE824" t="s">
        <v>58</v>
      </c>
      <c r="AG824" t="s">
        <v>63</v>
      </c>
      <c r="AH824" s="11" t="str">
        <f t="shared" si="15"/>
        <v>mailto: soilterrain@victoria1.gov.bc.ca</v>
      </c>
    </row>
    <row r="825" spans="1:34">
      <c r="A825" t="s">
        <v>2014</v>
      </c>
      <c r="B825" t="s">
        <v>56</v>
      </c>
      <c r="C825" s="10" t="s">
        <v>2015</v>
      </c>
      <c r="D825" t="s">
        <v>58</v>
      </c>
      <c r="E825" t="s">
        <v>497</v>
      </c>
      <c r="F825" t="s">
        <v>2016</v>
      </c>
      <c r="G825">
        <v>125000</v>
      </c>
      <c r="H825">
        <v>1981</v>
      </c>
      <c r="I825" t="s">
        <v>58</v>
      </c>
      <c r="J825" t="s">
        <v>58</v>
      </c>
      <c r="K825" t="s">
        <v>58</v>
      </c>
      <c r="L825" t="s">
        <v>58</v>
      </c>
      <c r="M825" t="s">
        <v>58</v>
      </c>
      <c r="N825" t="s">
        <v>61</v>
      </c>
      <c r="Q825" t="s">
        <v>58</v>
      </c>
      <c r="R825" s="11" t="str">
        <f>HYPERLINK("\\imagefiles.bcgov\imagery\scanned_maps\moe_terrain_maps\Scanned_T_maps_all\C07\C07-369","\\imagefiles.bcgov\imagery\scanned_maps\moe_terrain_maps\Scanned_T_maps_all\C07\C07-369")</f>
        <v>\\imagefiles.bcgov\imagery\scanned_maps\moe_terrain_maps\Scanned_T_maps_all\C07\C07-369</v>
      </c>
      <c r="S825" t="s">
        <v>62</v>
      </c>
      <c r="T825" s="11" t="str">
        <f>HYPERLINK("http://www.env.gov.bc.ca/esd/distdata/ecosystems/TEI_Scanned_Maps/C07/C07-369","http://www.env.gov.bc.ca/esd/distdata/ecosystems/TEI_Scanned_Maps/C07/C07-369")</f>
        <v>http://www.env.gov.bc.ca/esd/distdata/ecosystems/TEI_Scanned_Maps/C07/C07-369</v>
      </c>
      <c r="U825" t="s">
        <v>979</v>
      </c>
      <c r="V825" s="11" t="str">
        <f>HYPERLINK("http://www.prsss.ca/","http://www.prsss.ca/")</f>
        <v>http://www.prsss.ca/</v>
      </c>
      <c r="W825" t="s">
        <v>58</v>
      </c>
      <c r="X825" t="s">
        <v>58</v>
      </c>
      <c r="Y825" t="s">
        <v>58</v>
      </c>
      <c r="Z825" t="s">
        <v>58</v>
      </c>
      <c r="AA825" t="s">
        <v>58</v>
      </c>
      <c r="AC825" t="s">
        <v>58</v>
      </c>
      <c r="AE825" t="s">
        <v>58</v>
      </c>
      <c r="AG825" t="s">
        <v>63</v>
      </c>
      <c r="AH825" s="11" t="str">
        <f t="shared" si="15"/>
        <v>mailto: soilterrain@victoria1.gov.bc.ca</v>
      </c>
    </row>
    <row r="826" spans="1:34">
      <c r="A826" t="s">
        <v>2017</v>
      </c>
      <c r="B826" t="s">
        <v>56</v>
      </c>
      <c r="C826" s="10" t="s">
        <v>2018</v>
      </c>
      <c r="D826" t="s">
        <v>58</v>
      </c>
      <c r="E826" t="s">
        <v>497</v>
      </c>
      <c r="F826" t="s">
        <v>2019</v>
      </c>
      <c r="G826">
        <v>50000</v>
      </c>
      <c r="H826">
        <v>1981</v>
      </c>
      <c r="I826" t="s">
        <v>58</v>
      </c>
      <c r="J826" t="s">
        <v>58</v>
      </c>
      <c r="K826" t="s">
        <v>58</v>
      </c>
      <c r="L826" t="s">
        <v>58</v>
      </c>
      <c r="M826" t="s">
        <v>58</v>
      </c>
      <c r="N826" t="s">
        <v>61</v>
      </c>
      <c r="Q826" t="s">
        <v>58</v>
      </c>
      <c r="R826" s="11" t="str">
        <f>HYPERLINK("\\imagefiles.bcgov\imagery\scanned_maps\moe_terrain_maps\Scanned_T_maps_all\C07\C07-37","\\imagefiles.bcgov\imagery\scanned_maps\moe_terrain_maps\Scanned_T_maps_all\C07\C07-37")</f>
        <v>\\imagefiles.bcgov\imagery\scanned_maps\moe_terrain_maps\Scanned_T_maps_all\C07\C07-37</v>
      </c>
      <c r="S826" t="s">
        <v>62</v>
      </c>
      <c r="T826" s="11" t="str">
        <f>HYPERLINK("http://www.env.gov.bc.ca/esd/distdata/ecosystems/TEI_Scanned_Maps/C07/C07-37","http://www.env.gov.bc.ca/esd/distdata/ecosystems/TEI_Scanned_Maps/C07/C07-37")</f>
        <v>http://www.env.gov.bc.ca/esd/distdata/ecosystems/TEI_Scanned_Maps/C07/C07-37</v>
      </c>
      <c r="U826" t="s">
        <v>58</v>
      </c>
      <c r="V826" t="s">
        <v>58</v>
      </c>
      <c r="W826" t="s">
        <v>58</v>
      </c>
      <c r="X826" t="s">
        <v>58</v>
      </c>
      <c r="Y826" t="s">
        <v>58</v>
      </c>
      <c r="Z826" t="s">
        <v>58</v>
      </c>
      <c r="AA826" t="s">
        <v>58</v>
      </c>
      <c r="AC826" t="s">
        <v>58</v>
      </c>
      <c r="AE826" t="s">
        <v>58</v>
      </c>
      <c r="AG826" t="s">
        <v>63</v>
      </c>
      <c r="AH826" s="11" t="str">
        <f t="shared" si="15"/>
        <v>mailto: soilterrain@victoria1.gov.bc.ca</v>
      </c>
    </row>
    <row r="827" spans="1:34">
      <c r="A827" t="s">
        <v>2020</v>
      </c>
      <c r="B827" t="s">
        <v>56</v>
      </c>
      <c r="C827" s="10" t="s">
        <v>1043</v>
      </c>
      <c r="D827" t="s">
        <v>61</v>
      </c>
      <c r="E827" t="s">
        <v>497</v>
      </c>
      <c r="F827" t="s">
        <v>2021</v>
      </c>
      <c r="G827">
        <v>50000</v>
      </c>
      <c r="H827">
        <v>1981</v>
      </c>
      <c r="I827" t="s">
        <v>58</v>
      </c>
      <c r="J827" t="s">
        <v>58</v>
      </c>
      <c r="K827" t="s">
        <v>58</v>
      </c>
      <c r="L827" t="s">
        <v>58</v>
      </c>
      <c r="M827" t="s">
        <v>58</v>
      </c>
      <c r="N827" t="s">
        <v>61</v>
      </c>
      <c r="Q827" t="s">
        <v>58</v>
      </c>
      <c r="R827" s="11" t="str">
        <f>HYPERLINK("\\imagefiles.bcgov\imagery\scanned_maps\moe_terrain_maps\Scanned_T_maps_all\C07\C07-399","\\imagefiles.bcgov\imagery\scanned_maps\moe_terrain_maps\Scanned_T_maps_all\C07\C07-399")</f>
        <v>\\imagefiles.bcgov\imagery\scanned_maps\moe_terrain_maps\Scanned_T_maps_all\C07\C07-399</v>
      </c>
      <c r="S827" t="s">
        <v>62</v>
      </c>
      <c r="T827" s="11" t="str">
        <f>HYPERLINK("http://www.env.gov.bc.ca/esd/distdata/ecosystems/TEI_Scanned_Maps/C07/C07-399","http://www.env.gov.bc.ca/esd/distdata/ecosystems/TEI_Scanned_Maps/C07/C07-399")</f>
        <v>http://www.env.gov.bc.ca/esd/distdata/ecosystems/TEI_Scanned_Maps/C07/C07-399</v>
      </c>
      <c r="U827" t="s">
        <v>58</v>
      </c>
      <c r="V827" t="s">
        <v>58</v>
      </c>
      <c r="W827" t="s">
        <v>58</v>
      </c>
      <c r="X827" t="s">
        <v>58</v>
      </c>
      <c r="Y827" t="s">
        <v>58</v>
      </c>
      <c r="Z827" t="s">
        <v>58</v>
      </c>
      <c r="AA827" t="s">
        <v>58</v>
      </c>
      <c r="AC827" t="s">
        <v>58</v>
      </c>
      <c r="AE827" t="s">
        <v>58</v>
      </c>
      <c r="AG827" t="s">
        <v>63</v>
      </c>
      <c r="AH827" s="11" t="str">
        <f t="shared" si="15"/>
        <v>mailto: soilterrain@victoria1.gov.bc.ca</v>
      </c>
    </row>
    <row r="828" spans="1:34">
      <c r="A828" t="s">
        <v>2022</v>
      </c>
      <c r="B828" t="s">
        <v>56</v>
      </c>
      <c r="C828" s="10" t="s">
        <v>2023</v>
      </c>
      <c r="D828" t="s">
        <v>58</v>
      </c>
      <c r="E828" t="s">
        <v>497</v>
      </c>
      <c r="F828" t="s">
        <v>2024</v>
      </c>
      <c r="G828">
        <v>50000</v>
      </c>
      <c r="H828">
        <v>1980</v>
      </c>
      <c r="I828" t="s">
        <v>58</v>
      </c>
      <c r="J828" t="s">
        <v>58</v>
      </c>
      <c r="K828" t="s">
        <v>58</v>
      </c>
      <c r="L828" t="s">
        <v>58</v>
      </c>
      <c r="M828" t="s">
        <v>58</v>
      </c>
      <c r="N828" t="s">
        <v>61</v>
      </c>
      <c r="Q828" t="s">
        <v>58</v>
      </c>
      <c r="R828" s="11" t="str">
        <f>HYPERLINK("\\imagefiles.bcgov\imagery\scanned_maps\moe_terrain_maps\Scanned_T_maps_all\C07\C07-40","\\imagefiles.bcgov\imagery\scanned_maps\moe_terrain_maps\Scanned_T_maps_all\C07\C07-40")</f>
        <v>\\imagefiles.bcgov\imagery\scanned_maps\moe_terrain_maps\Scanned_T_maps_all\C07\C07-40</v>
      </c>
      <c r="S828" t="s">
        <v>62</v>
      </c>
      <c r="T828" s="11" t="str">
        <f>HYPERLINK("http://www.env.gov.bc.ca/esd/distdata/ecosystems/TEI_Scanned_Maps/C07/C07-40","http://www.env.gov.bc.ca/esd/distdata/ecosystems/TEI_Scanned_Maps/C07/C07-40")</f>
        <v>http://www.env.gov.bc.ca/esd/distdata/ecosystems/TEI_Scanned_Maps/C07/C07-40</v>
      </c>
      <c r="U828" t="s">
        <v>58</v>
      </c>
      <c r="V828" t="s">
        <v>58</v>
      </c>
      <c r="W828" t="s">
        <v>58</v>
      </c>
      <c r="X828" t="s">
        <v>58</v>
      </c>
      <c r="Y828" t="s">
        <v>58</v>
      </c>
      <c r="Z828" t="s">
        <v>58</v>
      </c>
      <c r="AA828" t="s">
        <v>58</v>
      </c>
      <c r="AC828" t="s">
        <v>58</v>
      </c>
      <c r="AE828" t="s">
        <v>58</v>
      </c>
      <c r="AG828" t="s">
        <v>63</v>
      </c>
      <c r="AH828" s="11" t="str">
        <f t="shared" si="15"/>
        <v>mailto: soilterrain@victoria1.gov.bc.ca</v>
      </c>
    </row>
    <row r="829" spans="1:34">
      <c r="A829" t="s">
        <v>2025</v>
      </c>
      <c r="B829" t="s">
        <v>56</v>
      </c>
      <c r="C829" s="10" t="s">
        <v>1046</v>
      </c>
      <c r="D829" t="s">
        <v>58</v>
      </c>
      <c r="E829" t="s">
        <v>497</v>
      </c>
      <c r="F829" t="s">
        <v>2026</v>
      </c>
      <c r="G829">
        <v>50000</v>
      </c>
      <c r="H829">
        <v>1971</v>
      </c>
      <c r="I829" t="s">
        <v>58</v>
      </c>
      <c r="J829" t="s">
        <v>58</v>
      </c>
      <c r="K829" t="s">
        <v>58</v>
      </c>
      <c r="L829" t="s">
        <v>58</v>
      </c>
      <c r="M829" t="s">
        <v>58</v>
      </c>
      <c r="N829" t="s">
        <v>61</v>
      </c>
      <c r="Q829" t="s">
        <v>58</v>
      </c>
      <c r="R829" s="11" t="str">
        <f>HYPERLINK("\\imagefiles.bcgov\imagery\scanned_maps\moe_terrain_maps\Scanned_T_maps_all\C07\C07-401","\\imagefiles.bcgov\imagery\scanned_maps\moe_terrain_maps\Scanned_T_maps_all\C07\C07-401")</f>
        <v>\\imagefiles.bcgov\imagery\scanned_maps\moe_terrain_maps\Scanned_T_maps_all\C07\C07-401</v>
      </c>
      <c r="S829" t="s">
        <v>62</v>
      </c>
      <c r="T829" s="11" t="str">
        <f>HYPERLINK("http://www.env.gov.bc.ca/esd/distdata/ecosystems/TEI_Scanned_Maps/C07/C07-401","http://www.env.gov.bc.ca/esd/distdata/ecosystems/TEI_Scanned_Maps/C07/C07-401")</f>
        <v>http://www.env.gov.bc.ca/esd/distdata/ecosystems/TEI_Scanned_Maps/C07/C07-401</v>
      </c>
      <c r="U829" t="s">
        <v>58</v>
      </c>
      <c r="V829" t="s">
        <v>58</v>
      </c>
      <c r="W829" t="s">
        <v>58</v>
      </c>
      <c r="X829" t="s">
        <v>58</v>
      </c>
      <c r="Y829" t="s">
        <v>58</v>
      </c>
      <c r="Z829" t="s">
        <v>58</v>
      </c>
      <c r="AA829" t="s">
        <v>58</v>
      </c>
      <c r="AC829" t="s">
        <v>58</v>
      </c>
      <c r="AE829" t="s">
        <v>58</v>
      </c>
      <c r="AG829" t="s">
        <v>63</v>
      </c>
      <c r="AH829" s="11" t="str">
        <f t="shared" si="15"/>
        <v>mailto: soilterrain@victoria1.gov.bc.ca</v>
      </c>
    </row>
    <row r="830" spans="1:34">
      <c r="A830" t="s">
        <v>2027</v>
      </c>
      <c r="B830" t="s">
        <v>56</v>
      </c>
      <c r="C830" s="10" t="s">
        <v>1048</v>
      </c>
      <c r="D830" t="s">
        <v>58</v>
      </c>
      <c r="E830" t="s">
        <v>497</v>
      </c>
      <c r="F830" t="s">
        <v>2028</v>
      </c>
      <c r="G830">
        <v>50000</v>
      </c>
      <c r="H830">
        <v>1979</v>
      </c>
      <c r="I830" t="s">
        <v>58</v>
      </c>
      <c r="J830" t="s">
        <v>58</v>
      </c>
      <c r="K830" t="s">
        <v>58</v>
      </c>
      <c r="L830" t="s">
        <v>58</v>
      </c>
      <c r="M830" t="s">
        <v>58</v>
      </c>
      <c r="N830" t="s">
        <v>61</v>
      </c>
      <c r="Q830" t="s">
        <v>58</v>
      </c>
      <c r="R830" s="11" t="str">
        <f>HYPERLINK("\\imagefiles.bcgov\imagery\scanned_maps\moe_terrain_maps\Scanned_T_maps_all\C07\C07-404","\\imagefiles.bcgov\imagery\scanned_maps\moe_terrain_maps\Scanned_T_maps_all\C07\C07-404")</f>
        <v>\\imagefiles.bcgov\imagery\scanned_maps\moe_terrain_maps\Scanned_T_maps_all\C07\C07-404</v>
      </c>
      <c r="S830" t="s">
        <v>62</v>
      </c>
      <c r="T830" s="11" t="str">
        <f>HYPERLINK("http://www.env.gov.bc.ca/esd/distdata/ecosystems/TEI_Scanned_Maps/C07/C07-404","http://www.env.gov.bc.ca/esd/distdata/ecosystems/TEI_Scanned_Maps/C07/C07-404")</f>
        <v>http://www.env.gov.bc.ca/esd/distdata/ecosystems/TEI_Scanned_Maps/C07/C07-404</v>
      </c>
      <c r="U830" t="s">
        <v>58</v>
      </c>
      <c r="V830" t="s">
        <v>58</v>
      </c>
      <c r="W830" t="s">
        <v>58</v>
      </c>
      <c r="X830" t="s">
        <v>58</v>
      </c>
      <c r="Y830" t="s">
        <v>58</v>
      </c>
      <c r="Z830" t="s">
        <v>58</v>
      </c>
      <c r="AA830" t="s">
        <v>58</v>
      </c>
      <c r="AC830" t="s">
        <v>58</v>
      </c>
      <c r="AE830" t="s">
        <v>58</v>
      </c>
      <c r="AG830" t="s">
        <v>63</v>
      </c>
      <c r="AH830" s="11" t="str">
        <f t="shared" si="15"/>
        <v>mailto: soilterrain@victoria1.gov.bc.ca</v>
      </c>
    </row>
    <row r="831" spans="1:34">
      <c r="A831" t="s">
        <v>2029</v>
      </c>
      <c r="B831" t="s">
        <v>56</v>
      </c>
      <c r="C831" s="10" t="s">
        <v>1050</v>
      </c>
      <c r="D831" t="s">
        <v>58</v>
      </c>
      <c r="E831" t="s">
        <v>497</v>
      </c>
      <c r="F831" t="s">
        <v>2030</v>
      </c>
      <c r="G831">
        <v>50000</v>
      </c>
      <c r="H831">
        <v>1979</v>
      </c>
      <c r="I831" t="s">
        <v>58</v>
      </c>
      <c r="J831" t="s">
        <v>58</v>
      </c>
      <c r="K831" t="s">
        <v>58</v>
      </c>
      <c r="L831" t="s">
        <v>58</v>
      </c>
      <c r="M831" t="s">
        <v>58</v>
      </c>
      <c r="N831" t="s">
        <v>61</v>
      </c>
      <c r="Q831" t="s">
        <v>58</v>
      </c>
      <c r="R831" s="11" t="str">
        <f>HYPERLINK("\\imagefiles.bcgov\imagery\scanned_maps\moe_terrain_maps\Scanned_T_maps_all\C07\C07-407","\\imagefiles.bcgov\imagery\scanned_maps\moe_terrain_maps\Scanned_T_maps_all\C07\C07-407")</f>
        <v>\\imagefiles.bcgov\imagery\scanned_maps\moe_terrain_maps\Scanned_T_maps_all\C07\C07-407</v>
      </c>
      <c r="S831" t="s">
        <v>62</v>
      </c>
      <c r="T831" s="11" t="str">
        <f>HYPERLINK("http://www.env.gov.bc.ca/esd/distdata/ecosystems/TEI_Scanned_Maps/C07/C07-407","http://www.env.gov.bc.ca/esd/distdata/ecosystems/TEI_Scanned_Maps/C07/C07-407")</f>
        <v>http://www.env.gov.bc.ca/esd/distdata/ecosystems/TEI_Scanned_Maps/C07/C07-407</v>
      </c>
      <c r="U831" t="s">
        <v>58</v>
      </c>
      <c r="V831" t="s">
        <v>58</v>
      </c>
      <c r="W831" t="s">
        <v>58</v>
      </c>
      <c r="X831" t="s">
        <v>58</v>
      </c>
      <c r="Y831" t="s">
        <v>58</v>
      </c>
      <c r="Z831" t="s">
        <v>58</v>
      </c>
      <c r="AA831" t="s">
        <v>58</v>
      </c>
      <c r="AC831" t="s">
        <v>58</v>
      </c>
      <c r="AE831" t="s">
        <v>58</v>
      </c>
      <c r="AG831" t="s">
        <v>63</v>
      </c>
      <c r="AH831" s="11" t="str">
        <f t="shared" si="15"/>
        <v>mailto: soilterrain@victoria1.gov.bc.ca</v>
      </c>
    </row>
    <row r="832" spans="1:34">
      <c r="A832" t="s">
        <v>2031</v>
      </c>
      <c r="B832" t="s">
        <v>56</v>
      </c>
      <c r="C832" s="10" t="s">
        <v>2032</v>
      </c>
      <c r="D832" t="s">
        <v>58</v>
      </c>
      <c r="E832" t="s">
        <v>497</v>
      </c>
      <c r="F832" t="s">
        <v>502</v>
      </c>
      <c r="G832">
        <v>50000</v>
      </c>
      <c r="H832">
        <v>1979</v>
      </c>
      <c r="I832" t="s">
        <v>58</v>
      </c>
      <c r="J832" t="s">
        <v>58</v>
      </c>
      <c r="K832" t="s">
        <v>58</v>
      </c>
      <c r="L832" t="s">
        <v>58</v>
      </c>
      <c r="M832" t="s">
        <v>58</v>
      </c>
      <c r="N832" t="s">
        <v>61</v>
      </c>
      <c r="Q832" t="s">
        <v>58</v>
      </c>
      <c r="R832" s="11" t="str">
        <f>HYPERLINK("\\imagefiles.bcgov\imagery\scanned_maps\moe_terrain_maps\Scanned_T_maps_all\C07\C07-41","\\imagefiles.bcgov\imagery\scanned_maps\moe_terrain_maps\Scanned_T_maps_all\C07\C07-41")</f>
        <v>\\imagefiles.bcgov\imagery\scanned_maps\moe_terrain_maps\Scanned_T_maps_all\C07\C07-41</v>
      </c>
      <c r="S832" t="s">
        <v>62</v>
      </c>
      <c r="T832" s="11" t="str">
        <f>HYPERLINK("http://www.env.gov.bc.ca/esd/distdata/ecosystems/TEI_Scanned_Maps/C07/C07-41","http://www.env.gov.bc.ca/esd/distdata/ecosystems/TEI_Scanned_Maps/C07/C07-41")</f>
        <v>http://www.env.gov.bc.ca/esd/distdata/ecosystems/TEI_Scanned_Maps/C07/C07-41</v>
      </c>
      <c r="U832" t="s">
        <v>58</v>
      </c>
      <c r="V832" t="s">
        <v>58</v>
      </c>
      <c r="W832" t="s">
        <v>58</v>
      </c>
      <c r="X832" t="s">
        <v>58</v>
      </c>
      <c r="Y832" t="s">
        <v>58</v>
      </c>
      <c r="Z832" t="s">
        <v>58</v>
      </c>
      <c r="AA832" t="s">
        <v>58</v>
      </c>
      <c r="AC832" t="s">
        <v>58</v>
      </c>
      <c r="AE832" t="s">
        <v>58</v>
      </c>
      <c r="AG832" t="s">
        <v>63</v>
      </c>
      <c r="AH832" s="11" t="str">
        <f t="shared" si="15"/>
        <v>mailto: soilterrain@victoria1.gov.bc.ca</v>
      </c>
    </row>
    <row r="833" spans="1:34">
      <c r="A833" t="s">
        <v>2033</v>
      </c>
      <c r="B833" t="s">
        <v>56</v>
      </c>
      <c r="C833" s="10" t="s">
        <v>1052</v>
      </c>
      <c r="D833" t="s">
        <v>58</v>
      </c>
      <c r="E833" t="s">
        <v>497</v>
      </c>
      <c r="F833" t="s">
        <v>2034</v>
      </c>
      <c r="G833">
        <v>50000</v>
      </c>
      <c r="H833">
        <v>1979</v>
      </c>
      <c r="I833" t="s">
        <v>58</v>
      </c>
      <c r="J833" t="s">
        <v>58</v>
      </c>
      <c r="K833" t="s">
        <v>58</v>
      </c>
      <c r="L833" t="s">
        <v>58</v>
      </c>
      <c r="M833" t="s">
        <v>58</v>
      </c>
      <c r="N833" t="s">
        <v>61</v>
      </c>
      <c r="Q833" t="s">
        <v>58</v>
      </c>
      <c r="R833" s="11" t="str">
        <f>HYPERLINK("\\imagefiles.bcgov\imagery\scanned_maps\moe_terrain_maps\Scanned_T_maps_all\C07\C07-410","\\imagefiles.bcgov\imagery\scanned_maps\moe_terrain_maps\Scanned_T_maps_all\C07\C07-410")</f>
        <v>\\imagefiles.bcgov\imagery\scanned_maps\moe_terrain_maps\Scanned_T_maps_all\C07\C07-410</v>
      </c>
      <c r="S833" t="s">
        <v>62</v>
      </c>
      <c r="T833" s="11" t="str">
        <f>HYPERLINK("http://www.env.gov.bc.ca/esd/distdata/ecosystems/TEI_Scanned_Maps/C07/C07-410","http://www.env.gov.bc.ca/esd/distdata/ecosystems/TEI_Scanned_Maps/C07/C07-410")</f>
        <v>http://www.env.gov.bc.ca/esd/distdata/ecosystems/TEI_Scanned_Maps/C07/C07-410</v>
      </c>
      <c r="U833" t="s">
        <v>58</v>
      </c>
      <c r="V833" t="s">
        <v>58</v>
      </c>
      <c r="W833" t="s">
        <v>58</v>
      </c>
      <c r="X833" t="s">
        <v>58</v>
      </c>
      <c r="Y833" t="s">
        <v>58</v>
      </c>
      <c r="Z833" t="s">
        <v>58</v>
      </c>
      <c r="AA833" t="s">
        <v>58</v>
      </c>
      <c r="AC833" t="s">
        <v>58</v>
      </c>
      <c r="AE833" t="s">
        <v>58</v>
      </c>
      <c r="AG833" t="s">
        <v>63</v>
      </c>
      <c r="AH833" s="11" t="str">
        <f t="shared" si="15"/>
        <v>mailto: soilterrain@victoria1.gov.bc.ca</v>
      </c>
    </row>
    <row r="834" spans="1:34">
      <c r="A834" t="s">
        <v>2035</v>
      </c>
      <c r="B834" t="s">
        <v>56</v>
      </c>
      <c r="C834" s="10" t="s">
        <v>1054</v>
      </c>
      <c r="D834" t="s">
        <v>58</v>
      </c>
      <c r="E834" t="s">
        <v>497</v>
      </c>
      <c r="F834" t="s">
        <v>2036</v>
      </c>
      <c r="G834">
        <v>50000</v>
      </c>
      <c r="H834">
        <v>1979</v>
      </c>
      <c r="I834" t="s">
        <v>58</v>
      </c>
      <c r="J834" t="s">
        <v>58</v>
      </c>
      <c r="K834" t="s">
        <v>58</v>
      </c>
      <c r="L834" t="s">
        <v>58</v>
      </c>
      <c r="M834" t="s">
        <v>58</v>
      </c>
      <c r="N834" t="s">
        <v>61</v>
      </c>
      <c r="Q834" t="s">
        <v>58</v>
      </c>
      <c r="R834" s="11" t="str">
        <f>HYPERLINK("\\imagefiles.bcgov\imagery\scanned_maps\moe_terrain_maps\Scanned_T_maps_all\C07\C07-413","\\imagefiles.bcgov\imagery\scanned_maps\moe_terrain_maps\Scanned_T_maps_all\C07\C07-413")</f>
        <v>\\imagefiles.bcgov\imagery\scanned_maps\moe_terrain_maps\Scanned_T_maps_all\C07\C07-413</v>
      </c>
      <c r="S834" t="s">
        <v>62</v>
      </c>
      <c r="T834" s="11" t="str">
        <f>HYPERLINK("http://www.env.gov.bc.ca/esd/distdata/ecosystems/TEI_Scanned_Maps/C07/C07-413","http://www.env.gov.bc.ca/esd/distdata/ecosystems/TEI_Scanned_Maps/C07/C07-413")</f>
        <v>http://www.env.gov.bc.ca/esd/distdata/ecosystems/TEI_Scanned_Maps/C07/C07-413</v>
      </c>
      <c r="U834" t="s">
        <v>58</v>
      </c>
      <c r="V834" t="s">
        <v>58</v>
      </c>
      <c r="W834" t="s">
        <v>58</v>
      </c>
      <c r="X834" t="s">
        <v>58</v>
      </c>
      <c r="Y834" t="s">
        <v>58</v>
      </c>
      <c r="Z834" t="s">
        <v>58</v>
      </c>
      <c r="AA834" t="s">
        <v>58</v>
      </c>
      <c r="AC834" t="s">
        <v>58</v>
      </c>
      <c r="AE834" t="s">
        <v>58</v>
      </c>
      <c r="AG834" t="s">
        <v>63</v>
      </c>
      <c r="AH834" s="11" t="str">
        <f t="shared" ref="AH834:AH897" si="16">HYPERLINK("mailto: soilterrain@victoria1.gov.bc.ca","mailto: soilterrain@victoria1.gov.bc.ca")</f>
        <v>mailto: soilterrain@victoria1.gov.bc.ca</v>
      </c>
    </row>
    <row r="835" spans="1:34">
      <c r="A835" t="s">
        <v>2037</v>
      </c>
      <c r="B835" t="s">
        <v>56</v>
      </c>
      <c r="C835" s="10" t="s">
        <v>1056</v>
      </c>
      <c r="D835" t="s">
        <v>58</v>
      </c>
      <c r="E835" t="s">
        <v>497</v>
      </c>
      <c r="F835" t="s">
        <v>2038</v>
      </c>
      <c r="G835">
        <v>50000</v>
      </c>
      <c r="H835">
        <v>1979</v>
      </c>
      <c r="I835" t="s">
        <v>58</v>
      </c>
      <c r="J835" t="s">
        <v>58</v>
      </c>
      <c r="K835" t="s">
        <v>58</v>
      </c>
      <c r="L835" t="s">
        <v>58</v>
      </c>
      <c r="M835" t="s">
        <v>58</v>
      </c>
      <c r="N835" t="s">
        <v>61</v>
      </c>
      <c r="Q835" t="s">
        <v>58</v>
      </c>
      <c r="R835" s="11" t="str">
        <f>HYPERLINK("\\imagefiles.bcgov\imagery\scanned_maps\moe_terrain_maps\Scanned_T_maps_all\C07\C07-416","\\imagefiles.bcgov\imagery\scanned_maps\moe_terrain_maps\Scanned_T_maps_all\C07\C07-416")</f>
        <v>\\imagefiles.bcgov\imagery\scanned_maps\moe_terrain_maps\Scanned_T_maps_all\C07\C07-416</v>
      </c>
      <c r="S835" t="s">
        <v>62</v>
      </c>
      <c r="T835" s="11" t="str">
        <f>HYPERLINK("http://www.env.gov.bc.ca/esd/distdata/ecosystems/TEI_Scanned_Maps/C07/C07-416","http://www.env.gov.bc.ca/esd/distdata/ecosystems/TEI_Scanned_Maps/C07/C07-416")</f>
        <v>http://www.env.gov.bc.ca/esd/distdata/ecosystems/TEI_Scanned_Maps/C07/C07-416</v>
      </c>
      <c r="U835" t="s">
        <v>58</v>
      </c>
      <c r="V835" t="s">
        <v>58</v>
      </c>
      <c r="W835" t="s">
        <v>58</v>
      </c>
      <c r="X835" t="s">
        <v>58</v>
      </c>
      <c r="Y835" t="s">
        <v>58</v>
      </c>
      <c r="Z835" t="s">
        <v>58</v>
      </c>
      <c r="AA835" t="s">
        <v>58</v>
      </c>
      <c r="AC835" t="s">
        <v>58</v>
      </c>
      <c r="AE835" t="s">
        <v>58</v>
      </c>
      <c r="AG835" t="s">
        <v>63</v>
      </c>
      <c r="AH835" s="11" t="str">
        <f t="shared" si="16"/>
        <v>mailto: soilterrain@victoria1.gov.bc.ca</v>
      </c>
    </row>
    <row r="836" spans="1:34">
      <c r="A836" t="s">
        <v>2039</v>
      </c>
      <c r="B836" t="s">
        <v>56</v>
      </c>
      <c r="C836" s="10" t="s">
        <v>1058</v>
      </c>
      <c r="D836" t="s">
        <v>58</v>
      </c>
      <c r="E836" t="s">
        <v>497</v>
      </c>
      <c r="F836" t="s">
        <v>2040</v>
      </c>
      <c r="G836">
        <v>50000</v>
      </c>
      <c r="H836">
        <v>1979</v>
      </c>
      <c r="I836" t="s">
        <v>58</v>
      </c>
      <c r="J836" t="s">
        <v>58</v>
      </c>
      <c r="K836" t="s">
        <v>58</v>
      </c>
      <c r="L836" t="s">
        <v>58</v>
      </c>
      <c r="M836" t="s">
        <v>58</v>
      </c>
      <c r="N836" t="s">
        <v>61</v>
      </c>
      <c r="Q836" t="s">
        <v>58</v>
      </c>
      <c r="R836" s="11" t="str">
        <f>HYPERLINK("\\imagefiles.bcgov\imagery\scanned_maps\moe_terrain_maps\Scanned_T_maps_all\C07\C07-419","\\imagefiles.bcgov\imagery\scanned_maps\moe_terrain_maps\Scanned_T_maps_all\C07\C07-419")</f>
        <v>\\imagefiles.bcgov\imagery\scanned_maps\moe_terrain_maps\Scanned_T_maps_all\C07\C07-419</v>
      </c>
      <c r="S836" t="s">
        <v>62</v>
      </c>
      <c r="T836" s="11" t="str">
        <f>HYPERLINK("http://www.env.gov.bc.ca/esd/distdata/ecosystems/TEI_Scanned_Maps/C07/C07-419","http://www.env.gov.bc.ca/esd/distdata/ecosystems/TEI_Scanned_Maps/C07/C07-419")</f>
        <v>http://www.env.gov.bc.ca/esd/distdata/ecosystems/TEI_Scanned_Maps/C07/C07-419</v>
      </c>
      <c r="U836" t="s">
        <v>58</v>
      </c>
      <c r="V836" t="s">
        <v>58</v>
      </c>
      <c r="W836" t="s">
        <v>58</v>
      </c>
      <c r="X836" t="s">
        <v>58</v>
      </c>
      <c r="Y836" t="s">
        <v>58</v>
      </c>
      <c r="Z836" t="s">
        <v>58</v>
      </c>
      <c r="AA836" t="s">
        <v>58</v>
      </c>
      <c r="AC836" t="s">
        <v>58</v>
      </c>
      <c r="AE836" t="s">
        <v>58</v>
      </c>
      <c r="AG836" t="s">
        <v>63</v>
      </c>
      <c r="AH836" s="11" t="str">
        <f t="shared" si="16"/>
        <v>mailto: soilterrain@victoria1.gov.bc.ca</v>
      </c>
    </row>
    <row r="837" spans="1:34">
      <c r="A837" t="s">
        <v>2041</v>
      </c>
      <c r="B837" t="s">
        <v>56</v>
      </c>
      <c r="C837" s="10" t="s">
        <v>2042</v>
      </c>
      <c r="D837" t="s">
        <v>58</v>
      </c>
      <c r="E837" t="s">
        <v>497</v>
      </c>
      <c r="F837" t="s">
        <v>2043</v>
      </c>
      <c r="G837">
        <v>50000</v>
      </c>
      <c r="H837">
        <v>1979</v>
      </c>
      <c r="I837" t="s">
        <v>58</v>
      </c>
      <c r="J837" t="s">
        <v>58</v>
      </c>
      <c r="K837" t="s">
        <v>58</v>
      </c>
      <c r="L837" t="s">
        <v>58</v>
      </c>
      <c r="M837" t="s">
        <v>58</v>
      </c>
      <c r="N837" t="s">
        <v>61</v>
      </c>
      <c r="Q837" t="s">
        <v>58</v>
      </c>
      <c r="R837" s="11" t="str">
        <f>HYPERLINK("\\imagefiles.bcgov\imagery\scanned_maps\moe_terrain_maps\Scanned_T_maps_all\C07\C07-42","\\imagefiles.bcgov\imagery\scanned_maps\moe_terrain_maps\Scanned_T_maps_all\C07\C07-42")</f>
        <v>\\imagefiles.bcgov\imagery\scanned_maps\moe_terrain_maps\Scanned_T_maps_all\C07\C07-42</v>
      </c>
      <c r="S837" t="s">
        <v>62</v>
      </c>
      <c r="T837" s="11" t="str">
        <f>HYPERLINK("http://www.env.gov.bc.ca/esd/distdata/ecosystems/TEI_Scanned_Maps/C07/C07-42","http://www.env.gov.bc.ca/esd/distdata/ecosystems/TEI_Scanned_Maps/C07/C07-42")</f>
        <v>http://www.env.gov.bc.ca/esd/distdata/ecosystems/TEI_Scanned_Maps/C07/C07-42</v>
      </c>
      <c r="U837" t="s">
        <v>58</v>
      </c>
      <c r="V837" t="s">
        <v>58</v>
      </c>
      <c r="W837" t="s">
        <v>58</v>
      </c>
      <c r="X837" t="s">
        <v>58</v>
      </c>
      <c r="Y837" t="s">
        <v>58</v>
      </c>
      <c r="Z837" t="s">
        <v>58</v>
      </c>
      <c r="AA837" t="s">
        <v>58</v>
      </c>
      <c r="AC837" t="s">
        <v>58</v>
      </c>
      <c r="AE837" t="s">
        <v>58</v>
      </c>
      <c r="AG837" t="s">
        <v>63</v>
      </c>
      <c r="AH837" s="11" t="str">
        <f t="shared" si="16"/>
        <v>mailto: soilterrain@victoria1.gov.bc.ca</v>
      </c>
    </row>
    <row r="838" spans="1:34">
      <c r="A838" t="s">
        <v>2044</v>
      </c>
      <c r="B838" t="s">
        <v>56</v>
      </c>
      <c r="C838" s="10" t="s">
        <v>1060</v>
      </c>
      <c r="D838" t="s">
        <v>58</v>
      </c>
      <c r="E838" t="s">
        <v>497</v>
      </c>
      <c r="F838" t="s">
        <v>2045</v>
      </c>
      <c r="G838">
        <v>50000</v>
      </c>
      <c r="H838">
        <v>1979</v>
      </c>
      <c r="I838" t="s">
        <v>58</v>
      </c>
      <c r="J838" t="s">
        <v>58</v>
      </c>
      <c r="K838" t="s">
        <v>58</v>
      </c>
      <c r="L838" t="s">
        <v>58</v>
      </c>
      <c r="M838" t="s">
        <v>58</v>
      </c>
      <c r="N838" t="s">
        <v>61</v>
      </c>
      <c r="Q838" t="s">
        <v>58</v>
      </c>
      <c r="R838" s="11" t="str">
        <f>HYPERLINK("\\imagefiles.bcgov\imagery\scanned_maps\moe_terrain_maps\Scanned_T_maps_all\C07\C07-422","\\imagefiles.bcgov\imagery\scanned_maps\moe_terrain_maps\Scanned_T_maps_all\C07\C07-422")</f>
        <v>\\imagefiles.bcgov\imagery\scanned_maps\moe_terrain_maps\Scanned_T_maps_all\C07\C07-422</v>
      </c>
      <c r="S838" t="s">
        <v>62</v>
      </c>
      <c r="T838" s="11" t="str">
        <f>HYPERLINK("http://www.env.gov.bc.ca/esd/distdata/ecosystems/TEI_Scanned_Maps/C07/C07-422","http://www.env.gov.bc.ca/esd/distdata/ecosystems/TEI_Scanned_Maps/C07/C07-422")</f>
        <v>http://www.env.gov.bc.ca/esd/distdata/ecosystems/TEI_Scanned_Maps/C07/C07-422</v>
      </c>
      <c r="U838" t="s">
        <v>58</v>
      </c>
      <c r="V838" t="s">
        <v>58</v>
      </c>
      <c r="W838" t="s">
        <v>58</v>
      </c>
      <c r="X838" t="s">
        <v>58</v>
      </c>
      <c r="Y838" t="s">
        <v>58</v>
      </c>
      <c r="Z838" t="s">
        <v>58</v>
      </c>
      <c r="AA838" t="s">
        <v>58</v>
      </c>
      <c r="AC838" t="s">
        <v>58</v>
      </c>
      <c r="AE838" t="s">
        <v>58</v>
      </c>
      <c r="AG838" t="s">
        <v>63</v>
      </c>
      <c r="AH838" s="11" t="str">
        <f t="shared" si="16"/>
        <v>mailto: soilterrain@victoria1.gov.bc.ca</v>
      </c>
    </row>
    <row r="839" spans="1:34">
      <c r="A839" t="s">
        <v>2046</v>
      </c>
      <c r="B839" t="s">
        <v>56</v>
      </c>
      <c r="C839" s="10" t="s">
        <v>1062</v>
      </c>
      <c r="D839" t="s">
        <v>58</v>
      </c>
      <c r="E839" t="s">
        <v>497</v>
      </c>
      <c r="F839" t="s">
        <v>2047</v>
      </c>
      <c r="G839">
        <v>50000</v>
      </c>
      <c r="H839">
        <v>1979</v>
      </c>
      <c r="I839" t="s">
        <v>58</v>
      </c>
      <c r="J839" t="s">
        <v>58</v>
      </c>
      <c r="K839" t="s">
        <v>58</v>
      </c>
      <c r="L839" t="s">
        <v>58</v>
      </c>
      <c r="M839" t="s">
        <v>58</v>
      </c>
      <c r="N839" t="s">
        <v>61</v>
      </c>
      <c r="Q839" t="s">
        <v>58</v>
      </c>
      <c r="R839" s="11" t="str">
        <f>HYPERLINK("\\imagefiles.bcgov\imagery\scanned_maps\moe_terrain_maps\Scanned_T_maps_all\C07\C07-425","\\imagefiles.bcgov\imagery\scanned_maps\moe_terrain_maps\Scanned_T_maps_all\C07\C07-425")</f>
        <v>\\imagefiles.bcgov\imagery\scanned_maps\moe_terrain_maps\Scanned_T_maps_all\C07\C07-425</v>
      </c>
      <c r="S839" t="s">
        <v>62</v>
      </c>
      <c r="T839" s="11" t="str">
        <f>HYPERLINK("http://www.env.gov.bc.ca/esd/distdata/ecosystems/TEI_Scanned_Maps/C07/C07-425","http://www.env.gov.bc.ca/esd/distdata/ecosystems/TEI_Scanned_Maps/C07/C07-425")</f>
        <v>http://www.env.gov.bc.ca/esd/distdata/ecosystems/TEI_Scanned_Maps/C07/C07-425</v>
      </c>
      <c r="U839" t="s">
        <v>58</v>
      </c>
      <c r="V839" t="s">
        <v>58</v>
      </c>
      <c r="W839" t="s">
        <v>58</v>
      </c>
      <c r="X839" t="s">
        <v>58</v>
      </c>
      <c r="Y839" t="s">
        <v>58</v>
      </c>
      <c r="Z839" t="s">
        <v>58</v>
      </c>
      <c r="AA839" t="s">
        <v>58</v>
      </c>
      <c r="AC839" t="s">
        <v>58</v>
      </c>
      <c r="AE839" t="s">
        <v>58</v>
      </c>
      <c r="AG839" t="s">
        <v>63</v>
      </c>
      <c r="AH839" s="11" t="str">
        <f t="shared" si="16"/>
        <v>mailto: soilterrain@victoria1.gov.bc.ca</v>
      </c>
    </row>
    <row r="840" spans="1:34">
      <c r="A840" t="s">
        <v>2048</v>
      </c>
      <c r="B840" t="s">
        <v>56</v>
      </c>
      <c r="C840" s="10" t="s">
        <v>1064</v>
      </c>
      <c r="D840" t="s">
        <v>58</v>
      </c>
      <c r="E840" t="s">
        <v>497</v>
      </c>
      <c r="F840" t="s">
        <v>2049</v>
      </c>
      <c r="G840">
        <v>50000</v>
      </c>
      <c r="H840">
        <v>1979</v>
      </c>
      <c r="I840" t="s">
        <v>58</v>
      </c>
      <c r="J840" t="s">
        <v>58</v>
      </c>
      <c r="K840" t="s">
        <v>58</v>
      </c>
      <c r="L840" t="s">
        <v>58</v>
      </c>
      <c r="M840" t="s">
        <v>58</v>
      </c>
      <c r="N840" t="s">
        <v>61</v>
      </c>
      <c r="Q840" t="s">
        <v>58</v>
      </c>
      <c r="R840" s="11" t="str">
        <f>HYPERLINK("\\imagefiles.bcgov\imagery\scanned_maps\moe_terrain_maps\Scanned_T_maps_all\C07\C07-428","\\imagefiles.bcgov\imagery\scanned_maps\moe_terrain_maps\Scanned_T_maps_all\C07\C07-428")</f>
        <v>\\imagefiles.bcgov\imagery\scanned_maps\moe_terrain_maps\Scanned_T_maps_all\C07\C07-428</v>
      </c>
      <c r="S840" t="s">
        <v>62</v>
      </c>
      <c r="T840" s="11" t="str">
        <f>HYPERLINK("http://www.env.gov.bc.ca/esd/distdata/ecosystems/TEI_Scanned_Maps/C07/C07-428","http://www.env.gov.bc.ca/esd/distdata/ecosystems/TEI_Scanned_Maps/C07/C07-428")</f>
        <v>http://www.env.gov.bc.ca/esd/distdata/ecosystems/TEI_Scanned_Maps/C07/C07-428</v>
      </c>
      <c r="U840" t="s">
        <v>58</v>
      </c>
      <c r="V840" t="s">
        <v>58</v>
      </c>
      <c r="W840" t="s">
        <v>58</v>
      </c>
      <c r="X840" t="s">
        <v>58</v>
      </c>
      <c r="Y840" t="s">
        <v>58</v>
      </c>
      <c r="Z840" t="s">
        <v>58</v>
      </c>
      <c r="AA840" t="s">
        <v>58</v>
      </c>
      <c r="AC840" t="s">
        <v>58</v>
      </c>
      <c r="AE840" t="s">
        <v>58</v>
      </c>
      <c r="AG840" t="s">
        <v>63</v>
      </c>
      <c r="AH840" s="11" t="str">
        <f t="shared" si="16"/>
        <v>mailto: soilterrain@victoria1.gov.bc.ca</v>
      </c>
    </row>
    <row r="841" spans="1:34">
      <c r="A841" t="s">
        <v>2050</v>
      </c>
      <c r="B841" t="s">
        <v>56</v>
      </c>
      <c r="C841" s="10" t="s">
        <v>2051</v>
      </c>
      <c r="D841" t="s">
        <v>58</v>
      </c>
      <c r="E841" t="s">
        <v>497</v>
      </c>
      <c r="F841" t="s">
        <v>2052</v>
      </c>
      <c r="G841">
        <v>50000</v>
      </c>
      <c r="H841">
        <v>1979</v>
      </c>
      <c r="I841" t="s">
        <v>58</v>
      </c>
      <c r="J841" t="s">
        <v>58</v>
      </c>
      <c r="K841" t="s">
        <v>58</v>
      </c>
      <c r="L841" t="s">
        <v>58</v>
      </c>
      <c r="M841" t="s">
        <v>58</v>
      </c>
      <c r="N841" t="s">
        <v>61</v>
      </c>
      <c r="Q841" t="s">
        <v>58</v>
      </c>
      <c r="R841" s="11" t="str">
        <f>HYPERLINK("\\imagefiles.bcgov\imagery\scanned_maps\moe_terrain_maps\Scanned_T_maps_all\C07\C07-43","\\imagefiles.bcgov\imagery\scanned_maps\moe_terrain_maps\Scanned_T_maps_all\C07\C07-43")</f>
        <v>\\imagefiles.bcgov\imagery\scanned_maps\moe_terrain_maps\Scanned_T_maps_all\C07\C07-43</v>
      </c>
      <c r="S841" t="s">
        <v>62</v>
      </c>
      <c r="T841" s="11" t="str">
        <f>HYPERLINK("http://www.env.gov.bc.ca/esd/distdata/ecosystems/TEI_Scanned_Maps/C07/C07-43","http://www.env.gov.bc.ca/esd/distdata/ecosystems/TEI_Scanned_Maps/C07/C07-43")</f>
        <v>http://www.env.gov.bc.ca/esd/distdata/ecosystems/TEI_Scanned_Maps/C07/C07-43</v>
      </c>
      <c r="U841" t="s">
        <v>58</v>
      </c>
      <c r="V841" t="s">
        <v>58</v>
      </c>
      <c r="W841" t="s">
        <v>58</v>
      </c>
      <c r="X841" t="s">
        <v>58</v>
      </c>
      <c r="Y841" t="s">
        <v>58</v>
      </c>
      <c r="Z841" t="s">
        <v>58</v>
      </c>
      <c r="AA841" t="s">
        <v>58</v>
      </c>
      <c r="AC841" t="s">
        <v>58</v>
      </c>
      <c r="AE841" t="s">
        <v>58</v>
      </c>
      <c r="AG841" t="s">
        <v>63</v>
      </c>
      <c r="AH841" s="11" t="str">
        <f t="shared" si="16"/>
        <v>mailto: soilterrain@victoria1.gov.bc.ca</v>
      </c>
    </row>
    <row r="842" spans="1:34">
      <c r="A842" t="s">
        <v>2053</v>
      </c>
      <c r="B842" t="s">
        <v>56</v>
      </c>
      <c r="C842" s="10" t="s">
        <v>2054</v>
      </c>
      <c r="D842" t="s">
        <v>58</v>
      </c>
      <c r="E842" t="s">
        <v>497</v>
      </c>
      <c r="F842" t="s">
        <v>2055</v>
      </c>
      <c r="G842">
        <v>50000</v>
      </c>
      <c r="H842">
        <v>1979</v>
      </c>
      <c r="I842" t="s">
        <v>58</v>
      </c>
      <c r="J842" t="s">
        <v>58</v>
      </c>
      <c r="K842" t="s">
        <v>58</v>
      </c>
      <c r="L842" t="s">
        <v>58</v>
      </c>
      <c r="M842" t="s">
        <v>58</v>
      </c>
      <c r="N842" t="s">
        <v>61</v>
      </c>
      <c r="Q842" t="s">
        <v>58</v>
      </c>
      <c r="R842" s="11" t="str">
        <f>HYPERLINK("\\imagefiles.bcgov\imagery\scanned_maps\moe_terrain_maps\Scanned_T_maps_all\C07\C07-44","\\imagefiles.bcgov\imagery\scanned_maps\moe_terrain_maps\Scanned_T_maps_all\C07\C07-44")</f>
        <v>\\imagefiles.bcgov\imagery\scanned_maps\moe_terrain_maps\Scanned_T_maps_all\C07\C07-44</v>
      </c>
      <c r="S842" t="s">
        <v>62</v>
      </c>
      <c r="T842" s="11" t="str">
        <f>HYPERLINK("http://www.env.gov.bc.ca/esd/distdata/ecosystems/TEI_Scanned_Maps/C07/C07-44","http://www.env.gov.bc.ca/esd/distdata/ecosystems/TEI_Scanned_Maps/C07/C07-44")</f>
        <v>http://www.env.gov.bc.ca/esd/distdata/ecosystems/TEI_Scanned_Maps/C07/C07-44</v>
      </c>
      <c r="U842" t="s">
        <v>58</v>
      </c>
      <c r="V842" t="s">
        <v>58</v>
      </c>
      <c r="W842" t="s">
        <v>58</v>
      </c>
      <c r="X842" t="s">
        <v>58</v>
      </c>
      <c r="Y842" t="s">
        <v>58</v>
      </c>
      <c r="Z842" t="s">
        <v>58</v>
      </c>
      <c r="AA842" t="s">
        <v>58</v>
      </c>
      <c r="AC842" t="s">
        <v>58</v>
      </c>
      <c r="AE842" t="s">
        <v>58</v>
      </c>
      <c r="AG842" t="s">
        <v>63</v>
      </c>
      <c r="AH842" s="11" t="str">
        <f t="shared" si="16"/>
        <v>mailto: soilterrain@victoria1.gov.bc.ca</v>
      </c>
    </row>
    <row r="843" spans="1:34">
      <c r="A843" t="s">
        <v>2056</v>
      </c>
      <c r="B843" t="s">
        <v>56</v>
      </c>
      <c r="C843" s="10" t="s">
        <v>2057</v>
      </c>
      <c r="D843" t="s">
        <v>58</v>
      </c>
      <c r="E843" t="s">
        <v>497</v>
      </c>
      <c r="F843" t="s">
        <v>2058</v>
      </c>
      <c r="G843">
        <v>125000</v>
      </c>
      <c r="H843">
        <v>1980</v>
      </c>
      <c r="I843" t="s">
        <v>58</v>
      </c>
      <c r="J843" t="s">
        <v>58</v>
      </c>
      <c r="K843" t="s">
        <v>58</v>
      </c>
      <c r="L843" t="s">
        <v>58</v>
      </c>
      <c r="M843" t="s">
        <v>58</v>
      </c>
      <c r="N843" t="s">
        <v>61</v>
      </c>
      <c r="Q843" t="s">
        <v>58</v>
      </c>
      <c r="R843" s="11" t="str">
        <f>HYPERLINK("\\imagefiles.bcgov\imagery\scanned_maps\moe_terrain_maps\Scanned_T_maps_all\C07\C07-445","\\imagefiles.bcgov\imagery\scanned_maps\moe_terrain_maps\Scanned_T_maps_all\C07\C07-445")</f>
        <v>\\imagefiles.bcgov\imagery\scanned_maps\moe_terrain_maps\Scanned_T_maps_all\C07\C07-445</v>
      </c>
      <c r="S843" t="s">
        <v>62</v>
      </c>
      <c r="T843" s="11" t="str">
        <f>HYPERLINK("http://www.env.gov.bc.ca/esd/distdata/ecosystems/TEI_Scanned_Maps/C07/C07-445","http://www.env.gov.bc.ca/esd/distdata/ecosystems/TEI_Scanned_Maps/C07/C07-445")</f>
        <v>http://www.env.gov.bc.ca/esd/distdata/ecosystems/TEI_Scanned_Maps/C07/C07-445</v>
      </c>
      <c r="U843" t="s">
        <v>58</v>
      </c>
      <c r="V843" t="s">
        <v>58</v>
      </c>
      <c r="W843" t="s">
        <v>58</v>
      </c>
      <c r="X843" t="s">
        <v>58</v>
      </c>
      <c r="Y843" t="s">
        <v>58</v>
      </c>
      <c r="Z843" t="s">
        <v>58</v>
      </c>
      <c r="AA843" t="s">
        <v>58</v>
      </c>
      <c r="AC843" t="s">
        <v>58</v>
      </c>
      <c r="AE843" t="s">
        <v>58</v>
      </c>
      <c r="AG843" t="s">
        <v>63</v>
      </c>
      <c r="AH843" s="11" t="str">
        <f t="shared" si="16"/>
        <v>mailto: soilterrain@victoria1.gov.bc.ca</v>
      </c>
    </row>
    <row r="844" spans="1:34">
      <c r="A844" t="s">
        <v>2059</v>
      </c>
      <c r="B844" t="s">
        <v>56</v>
      </c>
      <c r="C844" s="10" t="s">
        <v>2060</v>
      </c>
      <c r="D844" t="s">
        <v>58</v>
      </c>
      <c r="E844" t="s">
        <v>497</v>
      </c>
      <c r="F844" t="s">
        <v>2061</v>
      </c>
      <c r="G844">
        <v>50000</v>
      </c>
      <c r="H844">
        <v>1980</v>
      </c>
      <c r="I844" t="s">
        <v>58</v>
      </c>
      <c r="J844" t="s">
        <v>58</v>
      </c>
      <c r="K844" t="s">
        <v>58</v>
      </c>
      <c r="L844" t="s">
        <v>58</v>
      </c>
      <c r="M844" t="s">
        <v>58</v>
      </c>
      <c r="N844" t="s">
        <v>61</v>
      </c>
      <c r="Q844" t="s">
        <v>58</v>
      </c>
      <c r="R844" s="11" t="str">
        <f>HYPERLINK("\\imagefiles.bcgov\imagery\scanned_maps\moe_terrain_maps\Scanned_T_maps_all\C07\C07-45","\\imagefiles.bcgov\imagery\scanned_maps\moe_terrain_maps\Scanned_T_maps_all\C07\C07-45")</f>
        <v>\\imagefiles.bcgov\imagery\scanned_maps\moe_terrain_maps\Scanned_T_maps_all\C07\C07-45</v>
      </c>
      <c r="S844" t="s">
        <v>62</v>
      </c>
      <c r="T844" s="11" t="str">
        <f>HYPERLINK("http://www.env.gov.bc.ca/esd/distdata/ecosystems/TEI_Scanned_Maps/C07/C07-45","http://www.env.gov.bc.ca/esd/distdata/ecosystems/TEI_Scanned_Maps/C07/C07-45")</f>
        <v>http://www.env.gov.bc.ca/esd/distdata/ecosystems/TEI_Scanned_Maps/C07/C07-45</v>
      </c>
      <c r="U844" t="s">
        <v>58</v>
      </c>
      <c r="V844" t="s">
        <v>58</v>
      </c>
      <c r="W844" t="s">
        <v>58</v>
      </c>
      <c r="X844" t="s">
        <v>58</v>
      </c>
      <c r="Y844" t="s">
        <v>58</v>
      </c>
      <c r="Z844" t="s">
        <v>58</v>
      </c>
      <c r="AA844" t="s">
        <v>58</v>
      </c>
      <c r="AC844" t="s">
        <v>58</v>
      </c>
      <c r="AE844" t="s">
        <v>58</v>
      </c>
      <c r="AG844" t="s">
        <v>63</v>
      </c>
      <c r="AH844" s="11" t="str">
        <f t="shared" si="16"/>
        <v>mailto: soilterrain@victoria1.gov.bc.ca</v>
      </c>
    </row>
    <row r="845" spans="1:34">
      <c r="A845" t="s">
        <v>2062</v>
      </c>
      <c r="B845" t="s">
        <v>56</v>
      </c>
      <c r="C845" s="10" t="s">
        <v>2063</v>
      </c>
      <c r="D845" t="s">
        <v>61</v>
      </c>
      <c r="E845" t="s">
        <v>497</v>
      </c>
      <c r="F845" t="s">
        <v>2064</v>
      </c>
      <c r="G845">
        <v>50000</v>
      </c>
      <c r="H845" t="s">
        <v>187</v>
      </c>
      <c r="I845" t="s">
        <v>58</v>
      </c>
      <c r="J845" t="s">
        <v>58</v>
      </c>
      <c r="K845" t="s">
        <v>58</v>
      </c>
      <c r="L845" t="s">
        <v>58</v>
      </c>
      <c r="M845" t="s">
        <v>58</v>
      </c>
      <c r="N845" t="s">
        <v>61</v>
      </c>
      <c r="Q845" t="s">
        <v>58</v>
      </c>
      <c r="R845" s="11" t="str">
        <f>HYPERLINK("\\imagefiles.bcgov\imagery\scanned_maps\moe_terrain_maps\Scanned_T_maps_all\C07\C07-46","\\imagefiles.bcgov\imagery\scanned_maps\moe_terrain_maps\Scanned_T_maps_all\C07\C07-46")</f>
        <v>\\imagefiles.bcgov\imagery\scanned_maps\moe_terrain_maps\Scanned_T_maps_all\C07\C07-46</v>
      </c>
      <c r="S845" t="s">
        <v>62</v>
      </c>
      <c r="T845" s="11" t="str">
        <f>HYPERLINK("http://www.env.gov.bc.ca/esd/distdata/ecosystems/TEI_Scanned_Maps/C07/C07-46","http://www.env.gov.bc.ca/esd/distdata/ecosystems/TEI_Scanned_Maps/C07/C07-46")</f>
        <v>http://www.env.gov.bc.ca/esd/distdata/ecosystems/TEI_Scanned_Maps/C07/C07-46</v>
      </c>
      <c r="U845" t="s">
        <v>58</v>
      </c>
      <c r="V845" t="s">
        <v>58</v>
      </c>
      <c r="W845" t="s">
        <v>58</v>
      </c>
      <c r="X845" t="s">
        <v>58</v>
      </c>
      <c r="Y845" t="s">
        <v>58</v>
      </c>
      <c r="Z845" t="s">
        <v>58</v>
      </c>
      <c r="AA845" t="s">
        <v>58</v>
      </c>
      <c r="AC845" t="s">
        <v>58</v>
      </c>
      <c r="AE845" t="s">
        <v>58</v>
      </c>
      <c r="AG845" t="s">
        <v>63</v>
      </c>
      <c r="AH845" s="11" t="str">
        <f t="shared" si="16"/>
        <v>mailto: soilterrain@victoria1.gov.bc.ca</v>
      </c>
    </row>
    <row r="846" spans="1:34">
      <c r="A846" t="s">
        <v>2065</v>
      </c>
      <c r="B846" t="s">
        <v>56</v>
      </c>
      <c r="C846" s="10" t="s">
        <v>2066</v>
      </c>
      <c r="D846" t="s">
        <v>58</v>
      </c>
      <c r="E846" t="s">
        <v>497</v>
      </c>
      <c r="F846" t="s">
        <v>1074</v>
      </c>
      <c r="G846">
        <v>125000</v>
      </c>
      <c r="H846" t="s">
        <v>187</v>
      </c>
      <c r="I846" t="s">
        <v>58</v>
      </c>
      <c r="J846" t="s">
        <v>58</v>
      </c>
      <c r="K846" t="s">
        <v>58</v>
      </c>
      <c r="L846" t="s">
        <v>58</v>
      </c>
      <c r="M846" t="s">
        <v>58</v>
      </c>
      <c r="N846" t="s">
        <v>61</v>
      </c>
      <c r="Q846" t="s">
        <v>58</v>
      </c>
      <c r="R846" s="11" t="str">
        <f>HYPERLINK("\\imagefiles.bcgov\imagery\scanned_maps\moe_terrain_maps\Scanned_T_maps_all\C07\C07-4655","\\imagefiles.bcgov\imagery\scanned_maps\moe_terrain_maps\Scanned_T_maps_all\C07\C07-4655")</f>
        <v>\\imagefiles.bcgov\imagery\scanned_maps\moe_terrain_maps\Scanned_T_maps_all\C07\C07-4655</v>
      </c>
      <c r="S846" t="s">
        <v>62</v>
      </c>
      <c r="T846" s="11" t="str">
        <f>HYPERLINK("http://www.env.gov.bc.ca/esd/distdata/ecosystems/TEI_Scanned_Maps/C07/C07-4655","http://www.env.gov.bc.ca/esd/distdata/ecosystems/TEI_Scanned_Maps/C07/C07-4655")</f>
        <v>http://www.env.gov.bc.ca/esd/distdata/ecosystems/TEI_Scanned_Maps/C07/C07-4655</v>
      </c>
      <c r="U846" t="s">
        <v>58</v>
      </c>
      <c r="V846" t="s">
        <v>58</v>
      </c>
      <c r="W846" t="s">
        <v>58</v>
      </c>
      <c r="X846" t="s">
        <v>58</v>
      </c>
      <c r="Y846" t="s">
        <v>58</v>
      </c>
      <c r="Z846" t="s">
        <v>58</v>
      </c>
      <c r="AA846" t="s">
        <v>58</v>
      </c>
      <c r="AC846" t="s">
        <v>58</v>
      </c>
      <c r="AE846" t="s">
        <v>58</v>
      </c>
      <c r="AG846" t="s">
        <v>63</v>
      </c>
      <c r="AH846" s="11" t="str">
        <f t="shared" si="16"/>
        <v>mailto: soilterrain@victoria1.gov.bc.ca</v>
      </c>
    </row>
    <row r="847" spans="1:34">
      <c r="A847" t="s">
        <v>2067</v>
      </c>
      <c r="B847" t="s">
        <v>56</v>
      </c>
      <c r="C847" s="10" t="s">
        <v>2068</v>
      </c>
      <c r="D847" t="s">
        <v>58</v>
      </c>
      <c r="E847" t="s">
        <v>497</v>
      </c>
      <c r="F847" t="s">
        <v>2069</v>
      </c>
      <c r="G847">
        <v>125000</v>
      </c>
      <c r="H847" t="s">
        <v>187</v>
      </c>
      <c r="I847" t="s">
        <v>58</v>
      </c>
      <c r="J847" t="s">
        <v>58</v>
      </c>
      <c r="K847" t="s">
        <v>58</v>
      </c>
      <c r="L847" t="s">
        <v>58</v>
      </c>
      <c r="M847" t="s">
        <v>58</v>
      </c>
      <c r="N847" t="s">
        <v>61</v>
      </c>
      <c r="Q847" t="s">
        <v>58</v>
      </c>
      <c r="R847" s="11" t="str">
        <f>HYPERLINK("\\imagefiles.bcgov\imagery\scanned_maps\moe_terrain_maps\Scanned_T_maps_all\C07\C07-4656","\\imagefiles.bcgov\imagery\scanned_maps\moe_terrain_maps\Scanned_T_maps_all\C07\C07-4656")</f>
        <v>\\imagefiles.bcgov\imagery\scanned_maps\moe_terrain_maps\Scanned_T_maps_all\C07\C07-4656</v>
      </c>
      <c r="S847" t="s">
        <v>62</v>
      </c>
      <c r="T847" s="11" t="str">
        <f>HYPERLINK("http://www.env.gov.bc.ca/esd/distdata/ecosystems/TEI_Scanned_Maps/C07/C07-4656","http://www.env.gov.bc.ca/esd/distdata/ecosystems/TEI_Scanned_Maps/C07/C07-4656")</f>
        <v>http://www.env.gov.bc.ca/esd/distdata/ecosystems/TEI_Scanned_Maps/C07/C07-4656</v>
      </c>
      <c r="U847" t="s">
        <v>58</v>
      </c>
      <c r="V847" t="s">
        <v>58</v>
      </c>
      <c r="W847" t="s">
        <v>58</v>
      </c>
      <c r="X847" t="s">
        <v>58</v>
      </c>
      <c r="Y847" t="s">
        <v>58</v>
      </c>
      <c r="Z847" t="s">
        <v>58</v>
      </c>
      <c r="AA847" t="s">
        <v>58</v>
      </c>
      <c r="AC847" t="s">
        <v>58</v>
      </c>
      <c r="AE847" t="s">
        <v>58</v>
      </c>
      <c r="AG847" t="s">
        <v>63</v>
      </c>
      <c r="AH847" s="11" t="str">
        <f t="shared" si="16"/>
        <v>mailto: soilterrain@victoria1.gov.bc.ca</v>
      </c>
    </row>
    <row r="848" spans="1:34">
      <c r="A848" t="s">
        <v>2070</v>
      </c>
      <c r="B848" t="s">
        <v>56</v>
      </c>
      <c r="C848" s="10" t="s">
        <v>2071</v>
      </c>
      <c r="D848" t="s">
        <v>58</v>
      </c>
      <c r="E848" t="s">
        <v>497</v>
      </c>
      <c r="F848" t="s">
        <v>2072</v>
      </c>
      <c r="G848">
        <v>125000</v>
      </c>
      <c r="H848" t="s">
        <v>187</v>
      </c>
      <c r="I848" t="s">
        <v>58</v>
      </c>
      <c r="J848" t="s">
        <v>58</v>
      </c>
      <c r="K848" t="s">
        <v>58</v>
      </c>
      <c r="L848" t="s">
        <v>58</v>
      </c>
      <c r="M848" t="s">
        <v>58</v>
      </c>
      <c r="N848" t="s">
        <v>61</v>
      </c>
      <c r="Q848" t="s">
        <v>58</v>
      </c>
      <c r="R848" s="11" t="str">
        <f>HYPERLINK("\\imagefiles.bcgov\imagery\scanned_maps\moe_terrain_maps\Scanned_T_maps_all\C07\C07-4657","\\imagefiles.bcgov\imagery\scanned_maps\moe_terrain_maps\Scanned_T_maps_all\C07\C07-4657")</f>
        <v>\\imagefiles.bcgov\imagery\scanned_maps\moe_terrain_maps\Scanned_T_maps_all\C07\C07-4657</v>
      </c>
      <c r="S848" t="s">
        <v>62</v>
      </c>
      <c r="T848" s="11" t="str">
        <f>HYPERLINK("http://www.env.gov.bc.ca/esd/distdata/ecosystems/TEI_Scanned_Maps/C07/C07-4657","http://www.env.gov.bc.ca/esd/distdata/ecosystems/TEI_Scanned_Maps/C07/C07-4657")</f>
        <v>http://www.env.gov.bc.ca/esd/distdata/ecosystems/TEI_Scanned_Maps/C07/C07-4657</v>
      </c>
      <c r="U848" t="s">
        <v>58</v>
      </c>
      <c r="V848" t="s">
        <v>58</v>
      </c>
      <c r="W848" t="s">
        <v>58</v>
      </c>
      <c r="X848" t="s">
        <v>58</v>
      </c>
      <c r="Y848" t="s">
        <v>58</v>
      </c>
      <c r="Z848" t="s">
        <v>58</v>
      </c>
      <c r="AA848" t="s">
        <v>58</v>
      </c>
      <c r="AC848" t="s">
        <v>58</v>
      </c>
      <c r="AE848" t="s">
        <v>58</v>
      </c>
      <c r="AG848" t="s">
        <v>63</v>
      </c>
      <c r="AH848" s="11" t="str">
        <f t="shared" si="16"/>
        <v>mailto: soilterrain@victoria1.gov.bc.ca</v>
      </c>
    </row>
    <row r="849" spans="1:34">
      <c r="A849" t="s">
        <v>2073</v>
      </c>
      <c r="B849" t="s">
        <v>56</v>
      </c>
      <c r="C849" s="10" t="s">
        <v>2074</v>
      </c>
      <c r="D849" t="s">
        <v>58</v>
      </c>
      <c r="E849" t="s">
        <v>497</v>
      </c>
      <c r="F849" t="s">
        <v>2075</v>
      </c>
      <c r="G849">
        <v>50000</v>
      </c>
      <c r="H849">
        <v>1988</v>
      </c>
      <c r="I849" t="s">
        <v>58</v>
      </c>
      <c r="J849" t="s">
        <v>58</v>
      </c>
      <c r="K849" t="s">
        <v>58</v>
      </c>
      <c r="L849" t="s">
        <v>58</v>
      </c>
      <c r="M849" t="s">
        <v>58</v>
      </c>
      <c r="N849" t="s">
        <v>61</v>
      </c>
      <c r="Q849" t="s">
        <v>58</v>
      </c>
      <c r="R849" s="11" t="str">
        <f>HYPERLINK("\\imagefiles.bcgov\imagery\scanned_maps\moe_terrain_maps\Scanned_T_maps_all\C07\C07-47","\\imagefiles.bcgov\imagery\scanned_maps\moe_terrain_maps\Scanned_T_maps_all\C07\C07-47")</f>
        <v>\\imagefiles.bcgov\imagery\scanned_maps\moe_terrain_maps\Scanned_T_maps_all\C07\C07-47</v>
      </c>
      <c r="S849" t="s">
        <v>62</v>
      </c>
      <c r="T849" s="11" t="str">
        <f>HYPERLINK("http://www.env.gov.bc.ca/esd/distdata/ecosystems/TEI_Scanned_Maps/C07/C07-47","http://www.env.gov.bc.ca/esd/distdata/ecosystems/TEI_Scanned_Maps/C07/C07-47")</f>
        <v>http://www.env.gov.bc.ca/esd/distdata/ecosystems/TEI_Scanned_Maps/C07/C07-47</v>
      </c>
      <c r="U849" t="s">
        <v>58</v>
      </c>
      <c r="V849" t="s">
        <v>58</v>
      </c>
      <c r="W849" t="s">
        <v>58</v>
      </c>
      <c r="X849" t="s">
        <v>58</v>
      </c>
      <c r="Y849" t="s">
        <v>58</v>
      </c>
      <c r="Z849" t="s">
        <v>58</v>
      </c>
      <c r="AA849" t="s">
        <v>58</v>
      </c>
      <c r="AC849" t="s">
        <v>58</v>
      </c>
      <c r="AE849" t="s">
        <v>58</v>
      </c>
      <c r="AG849" t="s">
        <v>63</v>
      </c>
      <c r="AH849" s="11" t="str">
        <f t="shared" si="16"/>
        <v>mailto: soilterrain@victoria1.gov.bc.ca</v>
      </c>
    </row>
    <row r="850" spans="1:34">
      <c r="A850" t="s">
        <v>2076</v>
      </c>
      <c r="B850" t="s">
        <v>56</v>
      </c>
      <c r="C850" s="10" t="s">
        <v>2077</v>
      </c>
      <c r="D850" t="s">
        <v>58</v>
      </c>
      <c r="E850" t="s">
        <v>497</v>
      </c>
      <c r="F850" t="s">
        <v>2078</v>
      </c>
      <c r="G850">
        <v>125000</v>
      </c>
      <c r="H850" t="s">
        <v>187</v>
      </c>
      <c r="I850" t="s">
        <v>58</v>
      </c>
      <c r="J850" t="s">
        <v>58</v>
      </c>
      <c r="K850" t="s">
        <v>58</v>
      </c>
      <c r="L850" t="s">
        <v>58</v>
      </c>
      <c r="M850" t="s">
        <v>58</v>
      </c>
      <c r="N850" t="s">
        <v>61</v>
      </c>
      <c r="Q850" t="s">
        <v>58</v>
      </c>
      <c r="R850" s="11" t="str">
        <f>HYPERLINK("\\imagefiles.bcgov\imagery\scanned_maps\moe_terrain_maps\Scanned_T_maps_all\C07\C07-5050","\\imagefiles.bcgov\imagery\scanned_maps\moe_terrain_maps\Scanned_T_maps_all\C07\C07-5050")</f>
        <v>\\imagefiles.bcgov\imagery\scanned_maps\moe_terrain_maps\Scanned_T_maps_all\C07\C07-5050</v>
      </c>
      <c r="S850" t="s">
        <v>62</v>
      </c>
      <c r="T850" s="11" t="str">
        <f>HYPERLINK("http://www.env.gov.bc.ca/esd/distdata/ecosystems/TEI_Scanned_Maps/C07/C07-5050","http://www.env.gov.bc.ca/esd/distdata/ecosystems/TEI_Scanned_Maps/C07/C07-5050")</f>
        <v>http://www.env.gov.bc.ca/esd/distdata/ecosystems/TEI_Scanned_Maps/C07/C07-5050</v>
      </c>
      <c r="U850" t="s">
        <v>58</v>
      </c>
      <c r="V850" t="s">
        <v>58</v>
      </c>
      <c r="W850" t="s">
        <v>58</v>
      </c>
      <c r="X850" t="s">
        <v>58</v>
      </c>
      <c r="Y850" t="s">
        <v>58</v>
      </c>
      <c r="Z850" t="s">
        <v>58</v>
      </c>
      <c r="AA850" t="s">
        <v>58</v>
      </c>
      <c r="AC850" t="s">
        <v>58</v>
      </c>
      <c r="AE850" t="s">
        <v>58</v>
      </c>
      <c r="AG850" t="s">
        <v>63</v>
      </c>
      <c r="AH850" s="11" t="str">
        <f t="shared" si="16"/>
        <v>mailto: soilterrain@victoria1.gov.bc.ca</v>
      </c>
    </row>
    <row r="851" spans="1:34">
      <c r="A851" t="s">
        <v>2079</v>
      </c>
      <c r="B851" t="s">
        <v>56</v>
      </c>
      <c r="C851" s="10" t="s">
        <v>1505</v>
      </c>
      <c r="D851" t="s">
        <v>58</v>
      </c>
      <c r="E851" t="s">
        <v>497</v>
      </c>
      <c r="F851" t="s">
        <v>2080</v>
      </c>
      <c r="G851">
        <v>20000</v>
      </c>
      <c r="H851" t="s">
        <v>187</v>
      </c>
      <c r="I851" t="s">
        <v>58</v>
      </c>
      <c r="J851" t="s">
        <v>58</v>
      </c>
      <c r="K851" t="s">
        <v>58</v>
      </c>
      <c r="L851" t="s">
        <v>58</v>
      </c>
      <c r="M851" t="s">
        <v>58</v>
      </c>
      <c r="N851" t="s">
        <v>61</v>
      </c>
      <c r="Q851" t="s">
        <v>58</v>
      </c>
      <c r="R851" s="11" t="str">
        <f>HYPERLINK("\\imagefiles.bcgov\imagery\scanned_maps\moe_terrain_maps\Scanned_T_maps_all\C07\C07-5051","\\imagefiles.bcgov\imagery\scanned_maps\moe_terrain_maps\Scanned_T_maps_all\C07\C07-5051")</f>
        <v>\\imagefiles.bcgov\imagery\scanned_maps\moe_terrain_maps\Scanned_T_maps_all\C07\C07-5051</v>
      </c>
      <c r="S851" t="s">
        <v>62</v>
      </c>
      <c r="T851" s="11" t="str">
        <f>HYPERLINK("http://www.env.gov.bc.ca/esd/distdata/ecosystems/TEI_Scanned_Maps/C07/C07-5051","http://www.env.gov.bc.ca/esd/distdata/ecosystems/TEI_Scanned_Maps/C07/C07-5051")</f>
        <v>http://www.env.gov.bc.ca/esd/distdata/ecosystems/TEI_Scanned_Maps/C07/C07-5051</v>
      </c>
      <c r="U851" t="s">
        <v>58</v>
      </c>
      <c r="V851" t="s">
        <v>58</v>
      </c>
      <c r="W851" t="s">
        <v>58</v>
      </c>
      <c r="X851" t="s">
        <v>58</v>
      </c>
      <c r="Y851" t="s">
        <v>58</v>
      </c>
      <c r="Z851" t="s">
        <v>58</v>
      </c>
      <c r="AA851" t="s">
        <v>58</v>
      </c>
      <c r="AC851" t="s">
        <v>58</v>
      </c>
      <c r="AE851" t="s">
        <v>58</v>
      </c>
      <c r="AG851" t="s">
        <v>63</v>
      </c>
      <c r="AH851" s="11" t="str">
        <f t="shared" si="16"/>
        <v>mailto: soilterrain@victoria1.gov.bc.ca</v>
      </c>
    </row>
    <row r="852" spans="1:34">
      <c r="A852" t="s">
        <v>2081</v>
      </c>
      <c r="B852" t="s">
        <v>56</v>
      </c>
      <c r="C852" s="10" t="s">
        <v>2082</v>
      </c>
      <c r="D852" t="s">
        <v>58</v>
      </c>
      <c r="E852" t="s">
        <v>497</v>
      </c>
      <c r="F852" t="s">
        <v>2083</v>
      </c>
      <c r="G852">
        <v>125000</v>
      </c>
      <c r="H852">
        <v>1988</v>
      </c>
      <c r="I852" t="s">
        <v>58</v>
      </c>
      <c r="J852" t="s">
        <v>58</v>
      </c>
      <c r="K852" t="s">
        <v>58</v>
      </c>
      <c r="L852" t="s">
        <v>58</v>
      </c>
      <c r="M852" t="s">
        <v>58</v>
      </c>
      <c r="N852" t="s">
        <v>61</v>
      </c>
      <c r="Q852" t="s">
        <v>58</v>
      </c>
      <c r="R852" s="11" t="str">
        <f>HYPERLINK("\\imagefiles.bcgov\imagery\scanned_maps\moe_terrain_maps\Scanned_T_maps_all\C07\C07-508","\\imagefiles.bcgov\imagery\scanned_maps\moe_terrain_maps\Scanned_T_maps_all\C07\C07-508")</f>
        <v>\\imagefiles.bcgov\imagery\scanned_maps\moe_terrain_maps\Scanned_T_maps_all\C07\C07-508</v>
      </c>
      <c r="S852" t="s">
        <v>62</v>
      </c>
      <c r="T852" s="11" t="str">
        <f>HYPERLINK("http://www.env.gov.bc.ca/esd/distdata/ecosystems/TEI_Scanned_Maps/C07/C07-508","http://www.env.gov.bc.ca/esd/distdata/ecosystems/TEI_Scanned_Maps/C07/C07-508")</f>
        <v>http://www.env.gov.bc.ca/esd/distdata/ecosystems/TEI_Scanned_Maps/C07/C07-508</v>
      </c>
      <c r="U852" t="s">
        <v>58</v>
      </c>
      <c r="V852" t="s">
        <v>58</v>
      </c>
      <c r="W852" t="s">
        <v>58</v>
      </c>
      <c r="X852" t="s">
        <v>58</v>
      </c>
      <c r="Y852" t="s">
        <v>58</v>
      </c>
      <c r="Z852" t="s">
        <v>58</v>
      </c>
      <c r="AA852" t="s">
        <v>58</v>
      </c>
      <c r="AC852" t="s">
        <v>58</v>
      </c>
      <c r="AE852" t="s">
        <v>58</v>
      </c>
      <c r="AG852" t="s">
        <v>63</v>
      </c>
      <c r="AH852" s="11" t="str">
        <f t="shared" si="16"/>
        <v>mailto: soilterrain@victoria1.gov.bc.ca</v>
      </c>
    </row>
    <row r="853" spans="1:34">
      <c r="A853" t="s">
        <v>2084</v>
      </c>
      <c r="B853" t="s">
        <v>56</v>
      </c>
      <c r="C853" s="10" t="s">
        <v>2085</v>
      </c>
      <c r="D853" t="s">
        <v>58</v>
      </c>
      <c r="E853" t="s">
        <v>497</v>
      </c>
      <c r="F853" t="s">
        <v>2086</v>
      </c>
      <c r="G853">
        <v>125000</v>
      </c>
      <c r="H853" t="s">
        <v>187</v>
      </c>
      <c r="I853" t="s">
        <v>58</v>
      </c>
      <c r="J853" t="s">
        <v>58</v>
      </c>
      <c r="K853" t="s">
        <v>58</v>
      </c>
      <c r="L853" t="s">
        <v>58</v>
      </c>
      <c r="M853" t="s">
        <v>58</v>
      </c>
      <c r="N853" t="s">
        <v>61</v>
      </c>
      <c r="Q853" t="s">
        <v>58</v>
      </c>
      <c r="R853" s="11" t="str">
        <f>HYPERLINK("\\imagefiles.bcgov\imagery\scanned_maps\moe_terrain_maps\Scanned_T_maps_all\C07\C07-509","\\imagefiles.bcgov\imagery\scanned_maps\moe_terrain_maps\Scanned_T_maps_all\C07\C07-509")</f>
        <v>\\imagefiles.bcgov\imagery\scanned_maps\moe_terrain_maps\Scanned_T_maps_all\C07\C07-509</v>
      </c>
      <c r="S853" t="s">
        <v>62</v>
      </c>
      <c r="T853" s="11" t="str">
        <f>HYPERLINK("http://www.env.gov.bc.ca/esd/distdata/ecosystems/TEI_Scanned_Maps/C07/C07-509","http://www.env.gov.bc.ca/esd/distdata/ecosystems/TEI_Scanned_Maps/C07/C07-509")</f>
        <v>http://www.env.gov.bc.ca/esd/distdata/ecosystems/TEI_Scanned_Maps/C07/C07-509</v>
      </c>
      <c r="U853" t="s">
        <v>58</v>
      </c>
      <c r="V853" t="s">
        <v>58</v>
      </c>
      <c r="W853" t="s">
        <v>58</v>
      </c>
      <c r="X853" t="s">
        <v>58</v>
      </c>
      <c r="Y853" t="s">
        <v>58</v>
      </c>
      <c r="Z853" t="s">
        <v>58</v>
      </c>
      <c r="AA853" t="s">
        <v>58</v>
      </c>
      <c r="AC853" t="s">
        <v>58</v>
      </c>
      <c r="AE853" t="s">
        <v>58</v>
      </c>
      <c r="AG853" t="s">
        <v>63</v>
      </c>
      <c r="AH853" s="11" t="str">
        <f t="shared" si="16"/>
        <v>mailto: soilterrain@victoria1.gov.bc.ca</v>
      </c>
    </row>
    <row r="854" spans="1:34">
      <c r="A854" t="s">
        <v>2087</v>
      </c>
      <c r="B854" t="s">
        <v>56</v>
      </c>
      <c r="C854" s="10" t="s">
        <v>2088</v>
      </c>
      <c r="D854" t="s">
        <v>58</v>
      </c>
      <c r="E854" t="s">
        <v>497</v>
      </c>
      <c r="F854" t="s">
        <v>2089</v>
      </c>
      <c r="G854">
        <v>125000</v>
      </c>
      <c r="H854">
        <v>1988</v>
      </c>
      <c r="I854" t="s">
        <v>58</v>
      </c>
      <c r="J854" t="s">
        <v>58</v>
      </c>
      <c r="K854" t="s">
        <v>58</v>
      </c>
      <c r="L854" t="s">
        <v>58</v>
      </c>
      <c r="M854" t="s">
        <v>58</v>
      </c>
      <c r="N854" t="s">
        <v>61</v>
      </c>
      <c r="Q854" t="s">
        <v>58</v>
      </c>
      <c r="R854" s="11" t="str">
        <f>HYPERLINK("\\imagefiles.bcgov\imagery\scanned_maps\moe_terrain_maps\Scanned_T_maps_all\C07\C07-512","\\imagefiles.bcgov\imagery\scanned_maps\moe_terrain_maps\Scanned_T_maps_all\C07\C07-512")</f>
        <v>\\imagefiles.bcgov\imagery\scanned_maps\moe_terrain_maps\Scanned_T_maps_all\C07\C07-512</v>
      </c>
      <c r="S854" t="s">
        <v>62</v>
      </c>
      <c r="T854" s="11" t="str">
        <f>HYPERLINK("http://www.env.gov.bc.ca/esd/distdata/ecosystems/TEI_Scanned_Maps/C07/C07-512","http://www.env.gov.bc.ca/esd/distdata/ecosystems/TEI_Scanned_Maps/C07/C07-512")</f>
        <v>http://www.env.gov.bc.ca/esd/distdata/ecosystems/TEI_Scanned_Maps/C07/C07-512</v>
      </c>
      <c r="U854" t="s">
        <v>58</v>
      </c>
      <c r="V854" t="s">
        <v>58</v>
      </c>
      <c r="W854" t="s">
        <v>58</v>
      </c>
      <c r="X854" t="s">
        <v>58</v>
      </c>
      <c r="Y854" t="s">
        <v>58</v>
      </c>
      <c r="Z854" t="s">
        <v>58</v>
      </c>
      <c r="AA854" t="s">
        <v>58</v>
      </c>
      <c r="AC854" t="s">
        <v>58</v>
      </c>
      <c r="AE854" t="s">
        <v>58</v>
      </c>
      <c r="AG854" t="s">
        <v>63</v>
      </c>
      <c r="AH854" s="11" t="str">
        <f t="shared" si="16"/>
        <v>mailto: soilterrain@victoria1.gov.bc.ca</v>
      </c>
    </row>
    <row r="855" spans="1:34">
      <c r="A855" t="s">
        <v>2090</v>
      </c>
      <c r="B855" t="s">
        <v>56</v>
      </c>
      <c r="C855" s="10" t="s">
        <v>2091</v>
      </c>
      <c r="D855" t="s">
        <v>58</v>
      </c>
      <c r="E855" t="s">
        <v>497</v>
      </c>
      <c r="F855" t="s">
        <v>2092</v>
      </c>
      <c r="G855">
        <v>125000</v>
      </c>
      <c r="H855">
        <v>1989</v>
      </c>
      <c r="I855" t="s">
        <v>58</v>
      </c>
      <c r="J855" t="s">
        <v>58</v>
      </c>
      <c r="K855" t="s">
        <v>58</v>
      </c>
      <c r="L855" t="s">
        <v>58</v>
      </c>
      <c r="M855" t="s">
        <v>58</v>
      </c>
      <c r="N855" t="s">
        <v>61</v>
      </c>
      <c r="Q855" t="s">
        <v>58</v>
      </c>
      <c r="R855" s="11" t="str">
        <f>HYPERLINK("\\imagefiles.bcgov\imagery\scanned_maps\moe_terrain_maps\Scanned_T_maps_all\C07\C07-549","\\imagefiles.bcgov\imagery\scanned_maps\moe_terrain_maps\Scanned_T_maps_all\C07\C07-549")</f>
        <v>\\imagefiles.bcgov\imagery\scanned_maps\moe_terrain_maps\Scanned_T_maps_all\C07\C07-549</v>
      </c>
      <c r="S855" t="s">
        <v>62</v>
      </c>
      <c r="T855" s="11" t="str">
        <f>HYPERLINK("http://www.env.gov.bc.ca/esd/distdata/ecosystems/TEI_Scanned_Maps/C07/C07-549","http://www.env.gov.bc.ca/esd/distdata/ecosystems/TEI_Scanned_Maps/C07/C07-549")</f>
        <v>http://www.env.gov.bc.ca/esd/distdata/ecosystems/TEI_Scanned_Maps/C07/C07-549</v>
      </c>
      <c r="U855" t="s">
        <v>58</v>
      </c>
      <c r="V855" t="s">
        <v>58</v>
      </c>
      <c r="W855" t="s">
        <v>58</v>
      </c>
      <c r="X855" t="s">
        <v>58</v>
      </c>
      <c r="Y855" t="s">
        <v>58</v>
      </c>
      <c r="Z855" t="s">
        <v>58</v>
      </c>
      <c r="AA855" t="s">
        <v>58</v>
      </c>
      <c r="AC855" t="s">
        <v>58</v>
      </c>
      <c r="AE855" t="s">
        <v>58</v>
      </c>
      <c r="AG855" t="s">
        <v>63</v>
      </c>
      <c r="AH855" s="11" t="str">
        <f t="shared" si="16"/>
        <v>mailto: soilterrain@victoria1.gov.bc.ca</v>
      </c>
    </row>
    <row r="856" spans="1:34">
      <c r="A856" t="s">
        <v>2093</v>
      </c>
      <c r="B856" t="s">
        <v>56</v>
      </c>
      <c r="C856" s="10" t="s">
        <v>2094</v>
      </c>
      <c r="D856" t="s">
        <v>58</v>
      </c>
      <c r="E856" t="s">
        <v>497</v>
      </c>
      <c r="F856" t="s">
        <v>2095</v>
      </c>
      <c r="G856">
        <v>50000</v>
      </c>
      <c r="H856">
        <v>1988</v>
      </c>
      <c r="I856" t="s">
        <v>58</v>
      </c>
      <c r="J856" t="s">
        <v>58</v>
      </c>
      <c r="K856" t="s">
        <v>58</v>
      </c>
      <c r="L856" t="s">
        <v>58</v>
      </c>
      <c r="M856" t="s">
        <v>58</v>
      </c>
      <c r="N856" t="s">
        <v>61</v>
      </c>
      <c r="Q856" t="s">
        <v>58</v>
      </c>
      <c r="R856" s="11" t="str">
        <f>HYPERLINK("\\imagefiles.bcgov\imagery\scanned_maps\moe_terrain_maps\Scanned_T_maps_all\C07\C07-55","\\imagefiles.bcgov\imagery\scanned_maps\moe_terrain_maps\Scanned_T_maps_all\C07\C07-55")</f>
        <v>\\imagefiles.bcgov\imagery\scanned_maps\moe_terrain_maps\Scanned_T_maps_all\C07\C07-55</v>
      </c>
      <c r="S856" t="s">
        <v>62</v>
      </c>
      <c r="T856" s="11" t="str">
        <f>HYPERLINK("http://www.env.gov.bc.ca/esd/distdata/ecosystems/TEI_Scanned_Maps/C07/C07-55","http://www.env.gov.bc.ca/esd/distdata/ecosystems/TEI_Scanned_Maps/C07/C07-55")</f>
        <v>http://www.env.gov.bc.ca/esd/distdata/ecosystems/TEI_Scanned_Maps/C07/C07-55</v>
      </c>
      <c r="U856" t="s">
        <v>58</v>
      </c>
      <c r="V856" t="s">
        <v>58</v>
      </c>
      <c r="W856" t="s">
        <v>58</v>
      </c>
      <c r="X856" t="s">
        <v>58</v>
      </c>
      <c r="Y856" t="s">
        <v>58</v>
      </c>
      <c r="Z856" t="s">
        <v>58</v>
      </c>
      <c r="AA856" t="s">
        <v>58</v>
      </c>
      <c r="AC856" t="s">
        <v>58</v>
      </c>
      <c r="AE856" t="s">
        <v>58</v>
      </c>
      <c r="AG856" t="s">
        <v>63</v>
      </c>
      <c r="AH856" s="11" t="str">
        <f t="shared" si="16"/>
        <v>mailto: soilterrain@victoria1.gov.bc.ca</v>
      </c>
    </row>
    <row r="857" spans="1:34">
      <c r="A857" t="s">
        <v>2096</v>
      </c>
      <c r="B857" t="s">
        <v>56</v>
      </c>
      <c r="C857" s="10" t="s">
        <v>2097</v>
      </c>
      <c r="D857" t="s">
        <v>58</v>
      </c>
      <c r="E857" t="s">
        <v>497</v>
      </c>
      <c r="F857" t="s">
        <v>2098</v>
      </c>
      <c r="G857">
        <v>125000</v>
      </c>
      <c r="H857" t="s">
        <v>187</v>
      </c>
      <c r="I857" t="s">
        <v>58</v>
      </c>
      <c r="J857" t="s">
        <v>58</v>
      </c>
      <c r="K857" t="s">
        <v>58</v>
      </c>
      <c r="L857" t="s">
        <v>58</v>
      </c>
      <c r="M857" t="s">
        <v>58</v>
      </c>
      <c r="N857" t="s">
        <v>61</v>
      </c>
      <c r="Q857" t="s">
        <v>58</v>
      </c>
      <c r="R857" s="11" t="str">
        <f>HYPERLINK("\\imagefiles.bcgov\imagery\scanned_maps\moe_terrain_maps\Scanned_T_maps_all\C07\C07-554","\\imagefiles.bcgov\imagery\scanned_maps\moe_terrain_maps\Scanned_T_maps_all\C07\C07-554")</f>
        <v>\\imagefiles.bcgov\imagery\scanned_maps\moe_terrain_maps\Scanned_T_maps_all\C07\C07-554</v>
      </c>
      <c r="S857" t="s">
        <v>62</v>
      </c>
      <c r="T857" s="11" t="str">
        <f>HYPERLINK("http://www.env.gov.bc.ca/esd/distdata/ecosystems/TEI_Scanned_Maps/C07/C07-554","http://www.env.gov.bc.ca/esd/distdata/ecosystems/TEI_Scanned_Maps/C07/C07-554")</f>
        <v>http://www.env.gov.bc.ca/esd/distdata/ecosystems/TEI_Scanned_Maps/C07/C07-554</v>
      </c>
      <c r="U857" t="s">
        <v>58</v>
      </c>
      <c r="V857" t="s">
        <v>58</v>
      </c>
      <c r="W857" t="s">
        <v>58</v>
      </c>
      <c r="X857" t="s">
        <v>58</v>
      </c>
      <c r="Y857" t="s">
        <v>58</v>
      </c>
      <c r="Z857" t="s">
        <v>58</v>
      </c>
      <c r="AA857" t="s">
        <v>58</v>
      </c>
      <c r="AC857" t="s">
        <v>58</v>
      </c>
      <c r="AE857" t="s">
        <v>58</v>
      </c>
      <c r="AG857" t="s">
        <v>63</v>
      </c>
      <c r="AH857" s="11" t="str">
        <f t="shared" si="16"/>
        <v>mailto: soilterrain@victoria1.gov.bc.ca</v>
      </c>
    </row>
    <row r="858" spans="1:34">
      <c r="A858" t="s">
        <v>2099</v>
      </c>
      <c r="B858" t="s">
        <v>56</v>
      </c>
      <c r="C858" s="10" t="s">
        <v>2100</v>
      </c>
      <c r="D858" t="s">
        <v>58</v>
      </c>
      <c r="E858" t="s">
        <v>497</v>
      </c>
      <c r="F858" t="s">
        <v>2101</v>
      </c>
      <c r="G858">
        <v>50000</v>
      </c>
      <c r="H858">
        <v>1988</v>
      </c>
      <c r="I858" t="s">
        <v>58</v>
      </c>
      <c r="J858" t="s">
        <v>58</v>
      </c>
      <c r="K858" t="s">
        <v>58</v>
      </c>
      <c r="L858" t="s">
        <v>58</v>
      </c>
      <c r="M858" t="s">
        <v>58</v>
      </c>
      <c r="N858" t="s">
        <v>61</v>
      </c>
      <c r="Q858" t="s">
        <v>58</v>
      </c>
      <c r="R858" s="11" t="str">
        <f>HYPERLINK("\\imagefiles.bcgov\imagery\scanned_maps\moe_terrain_maps\Scanned_T_maps_all\C07\C07-56","\\imagefiles.bcgov\imagery\scanned_maps\moe_terrain_maps\Scanned_T_maps_all\C07\C07-56")</f>
        <v>\\imagefiles.bcgov\imagery\scanned_maps\moe_terrain_maps\Scanned_T_maps_all\C07\C07-56</v>
      </c>
      <c r="S858" t="s">
        <v>62</v>
      </c>
      <c r="T858" s="11" t="str">
        <f>HYPERLINK("http://www.env.gov.bc.ca/esd/distdata/ecosystems/TEI_Scanned_Maps/C07/C07-56","http://www.env.gov.bc.ca/esd/distdata/ecosystems/TEI_Scanned_Maps/C07/C07-56")</f>
        <v>http://www.env.gov.bc.ca/esd/distdata/ecosystems/TEI_Scanned_Maps/C07/C07-56</v>
      </c>
      <c r="U858" t="s">
        <v>58</v>
      </c>
      <c r="V858" t="s">
        <v>58</v>
      </c>
      <c r="W858" t="s">
        <v>58</v>
      </c>
      <c r="X858" t="s">
        <v>58</v>
      </c>
      <c r="Y858" t="s">
        <v>58</v>
      </c>
      <c r="Z858" t="s">
        <v>58</v>
      </c>
      <c r="AA858" t="s">
        <v>58</v>
      </c>
      <c r="AC858" t="s">
        <v>58</v>
      </c>
      <c r="AE858" t="s">
        <v>58</v>
      </c>
      <c r="AG858" t="s">
        <v>63</v>
      </c>
      <c r="AH858" s="11" t="str">
        <f t="shared" si="16"/>
        <v>mailto: soilterrain@victoria1.gov.bc.ca</v>
      </c>
    </row>
    <row r="859" spans="1:34">
      <c r="A859" t="s">
        <v>2102</v>
      </c>
      <c r="B859" t="s">
        <v>56</v>
      </c>
      <c r="C859" s="10" t="s">
        <v>2103</v>
      </c>
      <c r="D859" t="s">
        <v>58</v>
      </c>
      <c r="E859" t="s">
        <v>497</v>
      </c>
      <c r="F859" t="s">
        <v>2104</v>
      </c>
      <c r="G859">
        <v>50000</v>
      </c>
      <c r="H859">
        <v>1988</v>
      </c>
      <c r="I859" t="s">
        <v>58</v>
      </c>
      <c r="J859" t="s">
        <v>58</v>
      </c>
      <c r="K859" t="s">
        <v>58</v>
      </c>
      <c r="L859" t="s">
        <v>58</v>
      </c>
      <c r="M859" t="s">
        <v>58</v>
      </c>
      <c r="N859" t="s">
        <v>61</v>
      </c>
      <c r="Q859" t="s">
        <v>58</v>
      </c>
      <c r="R859" s="11" t="str">
        <f>HYPERLINK("\\imagefiles.bcgov\imagery\scanned_maps\moe_terrain_maps\Scanned_T_maps_all\C07\C07-57","\\imagefiles.bcgov\imagery\scanned_maps\moe_terrain_maps\Scanned_T_maps_all\C07\C07-57")</f>
        <v>\\imagefiles.bcgov\imagery\scanned_maps\moe_terrain_maps\Scanned_T_maps_all\C07\C07-57</v>
      </c>
      <c r="S859" t="s">
        <v>62</v>
      </c>
      <c r="T859" s="11" t="str">
        <f>HYPERLINK("http://www.env.gov.bc.ca/esd/distdata/ecosystems/TEI_Scanned_Maps/C07/C07-57","http://www.env.gov.bc.ca/esd/distdata/ecosystems/TEI_Scanned_Maps/C07/C07-57")</f>
        <v>http://www.env.gov.bc.ca/esd/distdata/ecosystems/TEI_Scanned_Maps/C07/C07-57</v>
      </c>
      <c r="U859" t="s">
        <v>58</v>
      </c>
      <c r="V859" t="s">
        <v>58</v>
      </c>
      <c r="W859" t="s">
        <v>58</v>
      </c>
      <c r="X859" t="s">
        <v>58</v>
      </c>
      <c r="Y859" t="s">
        <v>58</v>
      </c>
      <c r="Z859" t="s">
        <v>58</v>
      </c>
      <c r="AA859" t="s">
        <v>58</v>
      </c>
      <c r="AC859" t="s">
        <v>58</v>
      </c>
      <c r="AE859" t="s">
        <v>58</v>
      </c>
      <c r="AG859" t="s">
        <v>63</v>
      </c>
      <c r="AH859" s="11" t="str">
        <f t="shared" si="16"/>
        <v>mailto: soilterrain@victoria1.gov.bc.ca</v>
      </c>
    </row>
    <row r="860" spans="1:34">
      <c r="A860" t="s">
        <v>2105</v>
      </c>
      <c r="B860" t="s">
        <v>56</v>
      </c>
      <c r="C860" s="10" t="s">
        <v>2106</v>
      </c>
      <c r="D860" t="s">
        <v>58</v>
      </c>
      <c r="E860" t="s">
        <v>497</v>
      </c>
      <c r="F860" t="s">
        <v>2107</v>
      </c>
      <c r="G860">
        <v>50000</v>
      </c>
      <c r="H860" t="s">
        <v>187</v>
      </c>
      <c r="I860" t="s">
        <v>58</v>
      </c>
      <c r="J860" t="s">
        <v>58</v>
      </c>
      <c r="K860" t="s">
        <v>58</v>
      </c>
      <c r="L860" t="s">
        <v>58</v>
      </c>
      <c r="M860" t="s">
        <v>58</v>
      </c>
      <c r="N860" t="s">
        <v>61</v>
      </c>
      <c r="Q860" t="s">
        <v>58</v>
      </c>
      <c r="R860" s="11" t="str">
        <f>HYPERLINK("\\imagefiles.bcgov\imagery\scanned_maps\moe_terrain_maps\Scanned_T_maps_all\C07\C07-58","\\imagefiles.bcgov\imagery\scanned_maps\moe_terrain_maps\Scanned_T_maps_all\C07\C07-58")</f>
        <v>\\imagefiles.bcgov\imagery\scanned_maps\moe_terrain_maps\Scanned_T_maps_all\C07\C07-58</v>
      </c>
      <c r="S860" t="s">
        <v>62</v>
      </c>
      <c r="T860" s="11" t="str">
        <f>HYPERLINK("http://www.env.gov.bc.ca/esd/distdata/ecosystems/TEI_Scanned_Maps/C07/C07-58","http://www.env.gov.bc.ca/esd/distdata/ecosystems/TEI_Scanned_Maps/C07/C07-58")</f>
        <v>http://www.env.gov.bc.ca/esd/distdata/ecosystems/TEI_Scanned_Maps/C07/C07-58</v>
      </c>
      <c r="U860" t="s">
        <v>58</v>
      </c>
      <c r="V860" t="s">
        <v>58</v>
      </c>
      <c r="W860" t="s">
        <v>58</v>
      </c>
      <c r="X860" t="s">
        <v>58</v>
      </c>
      <c r="Y860" t="s">
        <v>58</v>
      </c>
      <c r="Z860" t="s">
        <v>58</v>
      </c>
      <c r="AA860" t="s">
        <v>58</v>
      </c>
      <c r="AC860" t="s">
        <v>58</v>
      </c>
      <c r="AE860" t="s">
        <v>58</v>
      </c>
      <c r="AG860" t="s">
        <v>63</v>
      </c>
      <c r="AH860" s="11" t="str">
        <f t="shared" si="16"/>
        <v>mailto: soilterrain@victoria1.gov.bc.ca</v>
      </c>
    </row>
    <row r="861" spans="1:34">
      <c r="A861" t="s">
        <v>2108</v>
      </c>
      <c r="B861" t="s">
        <v>56</v>
      </c>
      <c r="C861" s="10" t="s">
        <v>2109</v>
      </c>
      <c r="D861" t="s">
        <v>58</v>
      </c>
      <c r="E861" t="s">
        <v>497</v>
      </c>
      <c r="F861" t="s">
        <v>2110</v>
      </c>
      <c r="G861">
        <v>125000</v>
      </c>
      <c r="H861">
        <v>1988</v>
      </c>
      <c r="I861" t="s">
        <v>58</v>
      </c>
      <c r="J861" t="s">
        <v>58</v>
      </c>
      <c r="K861" t="s">
        <v>58</v>
      </c>
      <c r="L861" t="s">
        <v>58</v>
      </c>
      <c r="M861" t="s">
        <v>58</v>
      </c>
      <c r="N861" t="s">
        <v>61</v>
      </c>
      <c r="Q861" t="s">
        <v>58</v>
      </c>
      <c r="R861" s="11" t="str">
        <f>HYPERLINK("\\imagefiles.bcgov\imagery\scanned_maps\moe_terrain_maps\Scanned_T_maps_all\C07\C07-588","\\imagefiles.bcgov\imagery\scanned_maps\moe_terrain_maps\Scanned_T_maps_all\C07\C07-588")</f>
        <v>\\imagefiles.bcgov\imagery\scanned_maps\moe_terrain_maps\Scanned_T_maps_all\C07\C07-588</v>
      </c>
      <c r="S861" t="s">
        <v>62</v>
      </c>
      <c r="T861" s="11" t="str">
        <f>HYPERLINK("http://www.env.gov.bc.ca/esd/distdata/ecosystems/TEI_Scanned_Maps/C07/C07-588","http://www.env.gov.bc.ca/esd/distdata/ecosystems/TEI_Scanned_Maps/C07/C07-588")</f>
        <v>http://www.env.gov.bc.ca/esd/distdata/ecosystems/TEI_Scanned_Maps/C07/C07-588</v>
      </c>
      <c r="U861" t="s">
        <v>58</v>
      </c>
      <c r="V861" t="s">
        <v>58</v>
      </c>
      <c r="W861" t="s">
        <v>58</v>
      </c>
      <c r="X861" t="s">
        <v>58</v>
      </c>
      <c r="Y861" t="s">
        <v>58</v>
      </c>
      <c r="Z861" t="s">
        <v>58</v>
      </c>
      <c r="AA861" t="s">
        <v>58</v>
      </c>
      <c r="AC861" t="s">
        <v>58</v>
      </c>
      <c r="AE861" t="s">
        <v>58</v>
      </c>
      <c r="AG861" t="s">
        <v>63</v>
      </c>
      <c r="AH861" s="11" t="str">
        <f t="shared" si="16"/>
        <v>mailto: soilterrain@victoria1.gov.bc.ca</v>
      </c>
    </row>
    <row r="862" spans="1:34">
      <c r="A862" t="s">
        <v>2111</v>
      </c>
      <c r="B862" t="s">
        <v>56</v>
      </c>
      <c r="C862" s="10" t="s">
        <v>2112</v>
      </c>
      <c r="D862" t="s">
        <v>58</v>
      </c>
      <c r="E862" t="s">
        <v>497</v>
      </c>
      <c r="F862" t="s">
        <v>2113</v>
      </c>
      <c r="G862">
        <v>125000</v>
      </c>
      <c r="H862">
        <v>1989</v>
      </c>
      <c r="I862" t="s">
        <v>58</v>
      </c>
      <c r="J862" t="s">
        <v>58</v>
      </c>
      <c r="K862" t="s">
        <v>58</v>
      </c>
      <c r="L862" t="s">
        <v>58</v>
      </c>
      <c r="M862" t="s">
        <v>58</v>
      </c>
      <c r="N862" t="s">
        <v>61</v>
      </c>
      <c r="Q862" t="s">
        <v>58</v>
      </c>
      <c r="R862" s="11" t="str">
        <f>HYPERLINK("\\imagefiles.bcgov\imagery\scanned_maps\moe_terrain_maps\Scanned_T_maps_all\C07\C07-589","\\imagefiles.bcgov\imagery\scanned_maps\moe_terrain_maps\Scanned_T_maps_all\C07\C07-589")</f>
        <v>\\imagefiles.bcgov\imagery\scanned_maps\moe_terrain_maps\Scanned_T_maps_all\C07\C07-589</v>
      </c>
      <c r="S862" t="s">
        <v>62</v>
      </c>
      <c r="T862" s="11" t="str">
        <f>HYPERLINK("http://www.env.gov.bc.ca/esd/distdata/ecosystems/TEI_Scanned_Maps/C07/C07-589","http://www.env.gov.bc.ca/esd/distdata/ecosystems/TEI_Scanned_Maps/C07/C07-589")</f>
        <v>http://www.env.gov.bc.ca/esd/distdata/ecosystems/TEI_Scanned_Maps/C07/C07-589</v>
      </c>
      <c r="U862" t="s">
        <v>58</v>
      </c>
      <c r="V862" t="s">
        <v>58</v>
      </c>
      <c r="W862" t="s">
        <v>58</v>
      </c>
      <c r="X862" t="s">
        <v>58</v>
      </c>
      <c r="Y862" t="s">
        <v>58</v>
      </c>
      <c r="Z862" t="s">
        <v>58</v>
      </c>
      <c r="AA862" t="s">
        <v>58</v>
      </c>
      <c r="AC862" t="s">
        <v>58</v>
      </c>
      <c r="AE862" t="s">
        <v>58</v>
      </c>
      <c r="AG862" t="s">
        <v>63</v>
      </c>
      <c r="AH862" s="11" t="str">
        <f t="shared" si="16"/>
        <v>mailto: soilterrain@victoria1.gov.bc.ca</v>
      </c>
    </row>
    <row r="863" spans="1:34">
      <c r="A863" t="s">
        <v>2114</v>
      </c>
      <c r="B863" t="s">
        <v>56</v>
      </c>
      <c r="C863" s="10" t="s">
        <v>2115</v>
      </c>
      <c r="D863" t="s">
        <v>58</v>
      </c>
      <c r="E863" t="s">
        <v>497</v>
      </c>
      <c r="F863" t="s">
        <v>2116</v>
      </c>
      <c r="G863">
        <v>125000</v>
      </c>
      <c r="H863">
        <v>1988</v>
      </c>
      <c r="I863" t="s">
        <v>58</v>
      </c>
      <c r="J863" t="s">
        <v>58</v>
      </c>
      <c r="K863" t="s">
        <v>58</v>
      </c>
      <c r="L863" t="s">
        <v>58</v>
      </c>
      <c r="M863" t="s">
        <v>58</v>
      </c>
      <c r="N863" t="s">
        <v>61</v>
      </c>
      <c r="Q863" t="s">
        <v>58</v>
      </c>
      <c r="R863" s="11" t="str">
        <f>HYPERLINK("\\imagefiles.bcgov\imagery\scanned_maps\moe_terrain_maps\Scanned_T_maps_all\C07\C07-593","\\imagefiles.bcgov\imagery\scanned_maps\moe_terrain_maps\Scanned_T_maps_all\C07\C07-593")</f>
        <v>\\imagefiles.bcgov\imagery\scanned_maps\moe_terrain_maps\Scanned_T_maps_all\C07\C07-593</v>
      </c>
      <c r="S863" t="s">
        <v>62</v>
      </c>
      <c r="T863" s="11" t="str">
        <f>HYPERLINK("http://www.env.gov.bc.ca/esd/distdata/ecosystems/TEI_Scanned_Maps/C07/C07-593","http://www.env.gov.bc.ca/esd/distdata/ecosystems/TEI_Scanned_Maps/C07/C07-593")</f>
        <v>http://www.env.gov.bc.ca/esd/distdata/ecosystems/TEI_Scanned_Maps/C07/C07-593</v>
      </c>
      <c r="U863" t="s">
        <v>58</v>
      </c>
      <c r="V863" t="s">
        <v>58</v>
      </c>
      <c r="W863" t="s">
        <v>58</v>
      </c>
      <c r="X863" t="s">
        <v>58</v>
      </c>
      <c r="Y863" t="s">
        <v>58</v>
      </c>
      <c r="Z863" t="s">
        <v>58</v>
      </c>
      <c r="AA863" t="s">
        <v>58</v>
      </c>
      <c r="AC863" t="s">
        <v>58</v>
      </c>
      <c r="AE863" t="s">
        <v>58</v>
      </c>
      <c r="AG863" t="s">
        <v>63</v>
      </c>
      <c r="AH863" s="11" t="str">
        <f t="shared" si="16"/>
        <v>mailto: soilterrain@victoria1.gov.bc.ca</v>
      </c>
    </row>
    <row r="864" spans="1:34">
      <c r="A864" t="s">
        <v>2117</v>
      </c>
      <c r="B864" t="s">
        <v>56</v>
      </c>
      <c r="C864" s="10" t="s">
        <v>2118</v>
      </c>
      <c r="D864" t="s">
        <v>58</v>
      </c>
      <c r="E864" t="s">
        <v>497</v>
      </c>
      <c r="F864" t="s">
        <v>2119</v>
      </c>
      <c r="G864">
        <v>125000</v>
      </c>
      <c r="H864" t="s">
        <v>187</v>
      </c>
      <c r="I864" t="s">
        <v>58</v>
      </c>
      <c r="J864" t="s">
        <v>58</v>
      </c>
      <c r="K864" t="s">
        <v>58</v>
      </c>
      <c r="L864" t="s">
        <v>58</v>
      </c>
      <c r="M864" t="s">
        <v>58</v>
      </c>
      <c r="N864" t="s">
        <v>61</v>
      </c>
      <c r="Q864" t="s">
        <v>58</v>
      </c>
      <c r="R864" s="11" t="str">
        <f>HYPERLINK("\\imagefiles.bcgov\imagery\scanned_maps\moe_terrain_maps\Scanned_T_maps_all\C07\C07-600","\\imagefiles.bcgov\imagery\scanned_maps\moe_terrain_maps\Scanned_T_maps_all\C07\C07-600")</f>
        <v>\\imagefiles.bcgov\imagery\scanned_maps\moe_terrain_maps\Scanned_T_maps_all\C07\C07-600</v>
      </c>
      <c r="S864" t="s">
        <v>62</v>
      </c>
      <c r="T864" s="11" t="str">
        <f>HYPERLINK("http://www.env.gov.bc.ca/esd/distdata/ecosystems/TEI_Scanned_Maps/C07/C07-600","http://www.env.gov.bc.ca/esd/distdata/ecosystems/TEI_Scanned_Maps/C07/C07-600")</f>
        <v>http://www.env.gov.bc.ca/esd/distdata/ecosystems/TEI_Scanned_Maps/C07/C07-600</v>
      </c>
      <c r="U864" t="s">
        <v>58</v>
      </c>
      <c r="V864" t="s">
        <v>58</v>
      </c>
      <c r="W864" t="s">
        <v>58</v>
      </c>
      <c r="X864" t="s">
        <v>58</v>
      </c>
      <c r="Y864" t="s">
        <v>58</v>
      </c>
      <c r="Z864" t="s">
        <v>58</v>
      </c>
      <c r="AA864" t="s">
        <v>58</v>
      </c>
      <c r="AC864" t="s">
        <v>58</v>
      </c>
      <c r="AE864" t="s">
        <v>58</v>
      </c>
      <c r="AG864" t="s">
        <v>63</v>
      </c>
      <c r="AH864" s="11" t="str">
        <f t="shared" si="16"/>
        <v>mailto: soilterrain@victoria1.gov.bc.ca</v>
      </c>
    </row>
    <row r="865" spans="1:34">
      <c r="A865" t="s">
        <v>2120</v>
      </c>
      <c r="B865" t="s">
        <v>56</v>
      </c>
      <c r="C865" s="10" t="s">
        <v>2121</v>
      </c>
      <c r="D865" t="s">
        <v>58</v>
      </c>
      <c r="E865" t="s">
        <v>497</v>
      </c>
      <c r="F865" t="s">
        <v>2122</v>
      </c>
      <c r="G865">
        <v>50000</v>
      </c>
      <c r="H865">
        <v>1988</v>
      </c>
      <c r="I865" t="s">
        <v>58</v>
      </c>
      <c r="J865" t="s">
        <v>58</v>
      </c>
      <c r="K865" t="s">
        <v>58</v>
      </c>
      <c r="L865" t="s">
        <v>58</v>
      </c>
      <c r="M865" t="s">
        <v>58</v>
      </c>
      <c r="N865" t="s">
        <v>61</v>
      </c>
      <c r="Q865" t="s">
        <v>58</v>
      </c>
      <c r="R865" s="11" t="str">
        <f>HYPERLINK("\\imagefiles.bcgov\imagery\scanned_maps\moe_terrain_maps\Scanned_T_maps_all\C07\C07-64","\\imagefiles.bcgov\imagery\scanned_maps\moe_terrain_maps\Scanned_T_maps_all\C07\C07-64")</f>
        <v>\\imagefiles.bcgov\imagery\scanned_maps\moe_terrain_maps\Scanned_T_maps_all\C07\C07-64</v>
      </c>
      <c r="S865" t="s">
        <v>62</v>
      </c>
      <c r="T865" s="11" t="str">
        <f>HYPERLINK("http://www.env.gov.bc.ca/esd/distdata/ecosystems/TEI_Scanned_Maps/C07/C07-64","http://www.env.gov.bc.ca/esd/distdata/ecosystems/TEI_Scanned_Maps/C07/C07-64")</f>
        <v>http://www.env.gov.bc.ca/esd/distdata/ecosystems/TEI_Scanned_Maps/C07/C07-64</v>
      </c>
      <c r="U865" t="s">
        <v>58</v>
      </c>
      <c r="V865" t="s">
        <v>58</v>
      </c>
      <c r="W865" t="s">
        <v>58</v>
      </c>
      <c r="X865" t="s">
        <v>58</v>
      </c>
      <c r="Y865" t="s">
        <v>58</v>
      </c>
      <c r="Z865" t="s">
        <v>58</v>
      </c>
      <c r="AA865" t="s">
        <v>58</v>
      </c>
      <c r="AC865" t="s">
        <v>58</v>
      </c>
      <c r="AE865" t="s">
        <v>58</v>
      </c>
      <c r="AG865" t="s">
        <v>63</v>
      </c>
      <c r="AH865" s="11" t="str">
        <f t="shared" si="16"/>
        <v>mailto: soilterrain@victoria1.gov.bc.ca</v>
      </c>
    </row>
    <row r="866" spans="1:34">
      <c r="A866" t="s">
        <v>2123</v>
      </c>
      <c r="B866" t="s">
        <v>56</v>
      </c>
      <c r="C866" s="10" t="s">
        <v>2124</v>
      </c>
      <c r="D866" t="s">
        <v>58</v>
      </c>
      <c r="E866" t="s">
        <v>497</v>
      </c>
      <c r="F866" t="s">
        <v>2125</v>
      </c>
      <c r="G866">
        <v>50000</v>
      </c>
      <c r="H866">
        <v>1988</v>
      </c>
      <c r="I866" t="s">
        <v>58</v>
      </c>
      <c r="J866" t="s">
        <v>58</v>
      </c>
      <c r="K866" t="s">
        <v>58</v>
      </c>
      <c r="L866" t="s">
        <v>58</v>
      </c>
      <c r="M866" t="s">
        <v>58</v>
      </c>
      <c r="N866" t="s">
        <v>61</v>
      </c>
      <c r="Q866" t="s">
        <v>58</v>
      </c>
      <c r="R866" s="11" t="str">
        <f>HYPERLINK("\\imagefiles.bcgov\imagery\scanned_maps\moe_terrain_maps\Scanned_T_maps_all\C07\C07-65","\\imagefiles.bcgov\imagery\scanned_maps\moe_terrain_maps\Scanned_T_maps_all\C07\C07-65")</f>
        <v>\\imagefiles.bcgov\imagery\scanned_maps\moe_terrain_maps\Scanned_T_maps_all\C07\C07-65</v>
      </c>
      <c r="S866" t="s">
        <v>62</v>
      </c>
      <c r="T866" s="11" t="str">
        <f>HYPERLINK("http://www.env.gov.bc.ca/esd/distdata/ecosystems/TEI_Scanned_Maps/C07/C07-65","http://www.env.gov.bc.ca/esd/distdata/ecosystems/TEI_Scanned_Maps/C07/C07-65")</f>
        <v>http://www.env.gov.bc.ca/esd/distdata/ecosystems/TEI_Scanned_Maps/C07/C07-65</v>
      </c>
      <c r="U866" t="s">
        <v>58</v>
      </c>
      <c r="V866" t="s">
        <v>58</v>
      </c>
      <c r="W866" t="s">
        <v>58</v>
      </c>
      <c r="X866" t="s">
        <v>58</v>
      </c>
      <c r="Y866" t="s">
        <v>58</v>
      </c>
      <c r="Z866" t="s">
        <v>58</v>
      </c>
      <c r="AA866" t="s">
        <v>58</v>
      </c>
      <c r="AC866" t="s">
        <v>58</v>
      </c>
      <c r="AE866" t="s">
        <v>58</v>
      </c>
      <c r="AG866" t="s">
        <v>63</v>
      </c>
      <c r="AH866" s="11" t="str">
        <f t="shared" si="16"/>
        <v>mailto: soilterrain@victoria1.gov.bc.ca</v>
      </c>
    </row>
    <row r="867" spans="1:34">
      <c r="A867" t="s">
        <v>2126</v>
      </c>
      <c r="B867" t="s">
        <v>56</v>
      </c>
      <c r="C867" s="10" t="s">
        <v>2127</v>
      </c>
      <c r="D867" t="s">
        <v>58</v>
      </c>
      <c r="E867" t="s">
        <v>497</v>
      </c>
      <c r="F867" t="s">
        <v>2128</v>
      </c>
      <c r="G867">
        <v>50000</v>
      </c>
      <c r="H867" t="s">
        <v>187</v>
      </c>
      <c r="I867" t="s">
        <v>58</v>
      </c>
      <c r="J867" t="s">
        <v>58</v>
      </c>
      <c r="K867" t="s">
        <v>58</v>
      </c>
      <c r="L867" t="s">
        <v>58</v>
      </c>
      <c r="M867" t="s">
        <v>58</v>
      </c>
      <c r="N867" t="s">
        <v>61</v>
      </c>
      <c r="Q867" t="s">
        <v>58</v>
      </c>
      <c r="R867" s="11" t="str">
        <f>HYPERLINK("\\imagefiles.bcgov\imagery\scanned_maps\moe_terrain_maps\Scanned_T_maps_all\C07\C07-66","\\imagefiles.bcgov\imagery\scanned_maps\moe_terrain_maps\Scanned_T_maps_all\C07\C07-66")</f>
        <v>\\imagefiles.bcgov\imagery\scanned_maps\moe_terrain_maps\Scanned_T_maps_all\C07\C07-66</v>
      </c>
      <c r="S867" t="s">
        <v>62</v>
      </c>
      <c r="T867" s="11" t="str">
        <f>HYPERLINK("http://www.env.gov.bc.ca/esd/distdata/ecosystems/TEI_Scanned_Maps/C07/C07-66","http://www.env.gov.bc.ca/esd/distdata/ecosystems/TEI_Scanned_Maps/C07/C07-66")</f>
        <v>http://www.env.gov.bc.ca/esd/distdata/ecosystems/TEI_Scanned_Maps/C07/C07-66</v>
      </c>
      <c r="U867" t="s">
        <v>58</v>
      </c>
      <c r="V867" t="s">
        <v>58</v>
      </c>
      <c r="W867" t="s">
        <v>58</v>
      </c>
      <c r="X867" t="s">
        <v>58</v>
      </c>
      <c r="Y867" t="s">
        <v>58</v>
      </c>
      <c r="Z867" t="s">
        <v>58</v>
      </c>
      <c r="AA867" t="s">
        <v>58</v>
      </c>
      <c r="AC867" t="s">
        <v>58</v>
      </c>
      <c r="AE867" t="s">
        <v>58</v>
      </c>
      <c r="AG867" t="s">
        <v>63</v>
      </c>
      <c r="AH867" s="11" t="str">
        <f t="shared" si="16"/>
        <v>mailto: soilterrain@victoria1.gov.bc.ca</v>
      </c>
    </row>
    <row r="868" spans="1:34">
      <c r="A868" t="s">
        <v>2129</v>
      </c>
      <c r="B868" t="s">
        <v>56</v>
      </c>
      <c r="C868" s="10" t="s">
        <v>2130</v>
      </c>
      <c r="D868" t="s">
        <v>58</v>
      </c>
      <c r="E868" t="s">
        <v>497</v>
      </c>
      <c r="F868" t="s">
        <v>2131</v>
      </c>
      <c r="G868">
        <v>50000</v>
      </c>
      <c r="H868">
        <v>1988</v>
      </c>
      <c r="I868" t="s">
        <v>58</v>
      </c>
      <c r="J868" t="s">
        <v>58</v>
      </c>
      <c r="K868" t="s">
        <v>58</v>
      </c>
      <c r="L868" t="s">
        <v>58</v>
      </c>
      <c r="M868" t="s">
        <v>58</v>
      </c>
      <c r="N868" t="s">
        <v>61</v>
      </c>
      <c r="Q868" t="s">
        <v>58</v>
      </c>
      <c r="R868" s="11" t="str">
        <f>HYPERLINK("\\imagefiles.bcgov\imagery\scanned_maps\moe_terrain_maps\Scanned_T_maps_all\C07\C07-67","\\imagefiles.bcgov\imagery\scanned_maps\moe_terrain_maps\Scanned_T_maps_all\C07\C07-67")</f>
        <v>\\imagefiles.bcgov\imagery\scanned_maps\moe_terrain_maps\Scanned_T_maps_all\C07\C07-67</v>
      </c>
      <c r="S868" t="s">
        <v>62</v>
      </c>
      <c r="T868" s="11" t="str">
        <f>HYPERLINK("http://www.env.gov.bc.ca/esd/distdata/ecosystems/TEI_Scanned_Maps/C07/C07-67","http://www.env.gov.bc.ca/esd/distdata/ecosystems/TEI_Scanned_Maps/C07/C07-67")</f>
        <v>http://www.env.gov.bc.ca/esd/distdata/ecosystems/TEI_Scanned_Maps/C07/C07-67</v>
      </c>
      <c r="U868" t="s">
        <v>58</v>
      </c>
      <c r="V868" t="s">
        <v>58</v>
      </c>
      <c r="W868" t="s">
        <v>58</v>
      </c>
      <c r="X868" t="s">
        <v>58</v>
      </c>
      <c r="Y868" t="s">
        <v>58</v>
      </c>
      <c r="Z868" t="s">
        <v>58</v>
      </c>
      <c r="AA868" t="s">
        <v>58</v>
      </c>
      <c r="AC868" t="s">
        <v>58</v>
      </c>
      <c r="AE868" t="s">
        <v>58</v>
      </c>
      <c r="AG868" t="s">
        <v>63</v>
      </c>
      <c r="AH868" s="11" t="str">
        <f t="shared" si="16"/>
        <v>mailto: soilterrain@victoria1.gov.bc.ca</v>
      </c>
    </row>
    <row r="869" spans="1:34">
      <c r="A869" t="s">
        <v>2132</v>
      </c>
      <c r="B869" t="s">
        <v>56</v>
      </c>
      <c r="C869" s="10" t="s">
        <v>2133</v>
      </c>
      <c r="D869" t="s">
        <v>58</v>
      </c>
      <c r="E869" t="s">
        <v>497</v>
      </c>
      <c r="F869" t="s">
        <v>2134</v>
      </c>
      <c r="G869">
        <v>50000</v>
      </c>
      <c r="H869">
        <v>1989</v>
      </c>
      <c r="I869" t="s">
        <v>58</v>
      </c>
      <c r="J869" t="s">
        <v>58</v>
      </c>
      <c r="K869" t="s">
        <v>58</v>
      </c>
      <c r="L869" t="s">
        <v>58</v>
      </c>
      <c r="M869" t="s">
        <v>58</v>
      </c>
      <c r="N869" t="s">
        <v>61</v>
      </c>
      <c r="Q869" t="s">
        <v>58</v>
      </c>
      <c r="R869" s="11" t="str">
        <f>HYPERLINK("\\imagefiles.bcgov\imagery\scanned_maps\moe_terrain_maps\Scanned_T_maps_all\C07\C07-68","\\imagefiles.bcgov\imagery\scanned_maps\moe_terrain_maps\Scanned_T_maps_all\C07\C07-68")</f>
        <v>\\imagefiles.bcgov\imagery\scanned_maps\moe_terrain_maps\Scanned_T_maps_all\C07\C07-68</v>
      </c>
      <c r="S869" t="s">
        <v>62</v>
      </c>
      <c r="T869" s="11" t="str">
        <f>HYPERLINK("http://www.env.gov.bc.ca/esd/distdata/ecosystems/TEI_Scanned_Maps/C07/C07-68","http://www.env.gov.bc.ca/esd/distdata/ecosystems/TEI_Scanned_Maps/C07/C07-68")</f>
        <v>http://www.env.gov.bc.ca/esd/distdata/ecosystems/TEI_Scanned_Maps/C07/C07-68</v>
      </c>
      <c r="U869" t="s">
        <v>58</v>
      </c>
      <c r="V869" t="s">
        <v>58</v>
      </c>
      <c r="W869" t="s">
        <v>58</v>
      </c>
      <c r="X869" t="s">
        <v>58</v>
      </c>
      <c r="Y869" t="s">
        <v>58</v>
      </c>
      <c r="Z869" t="s">
        <v>58</v>
      </c>
      <c r="AA869" t="s">
        <v>58</v>
      </c>
      <c r="AC869" t="s">
        <v>58</v>
      </c>
      <c r="AE869" t="s">
        <v>58</v>
      </c>
      <c r="AG869" t="s">
        <v>63</v>
      </c>
      <c r="AH869" s="11" t="str">
        <f t="shared" si="16"/>
        <v>mailto: soilterrain@victoria1.gov.bc.ca</v>
      </c>
    </row>
    <row r="870" spans="1:34">
      <c r="A870" t="s">
        <v>2135</v>
      </c>
      <c r="B870" t="s">
        <v>56</v>
      </c>
      <c r="C870" s="10" t="s">
        <v>2136</v>
      </c>
      <c r="D870" t="s">
        <v>58</v>
      </c>
      <c r="E870" t="s">
        <v>497</v>
      </c>
      <c r="F870" t="s">
        <v>2137</v>
      </c>
      <c r="G870">
        <v>50000</v>
      </c>
      <c r="H870">
        <v>1988</v>
      </c>
      <c r="I870" t="s">
        <v>58</v>
      </c>
      <c r="J870" t="s">
        <v>58</v>
      </c>
      <c r="K870" t="s">
        <v>58</v>
      </c>
      <c r="L870" t="s">
        <v>58</v>
      </c>
      <c r="M870" t="s">
        <v>58</v>
      </c>
      <c r="N870" t="s">
        <v>61</v>
      </c>
      <c r="Q870" t="s">
        <v>58</v>
      </c>
      <c r="R870" s="11" t="str">
        <f>HYPERLINK("\\imagefiles.bcgov\imagery\scanned_maps\moe_terrain_maps\Scanned_T_maps_all\C07\C07-69","\\imagefiles.bcgov\imagery\scanned_maps\moe_terrain_maps\Scanned_T_maps_all\C07\C07-69")</f>
        <v>\\imagefiles.bcgov\imagery\scanned_maps\moe_terrain_maps\Scanned_T_maps_all\C07\C07-69</v>
      </c>
      <c r="S870" t="s">
        <v>62</v>
      </c>
      <c r="T870" s="11" t="str">
        <f>HYPERLINK("http://www.env.gov.bc.ca/esd/distdata/ecosystems/TEI_Scanned_Maps/C07/C07-69","http://www.env.gov.bc.ca/esd/distdata/ecosystems/TEI_Scanned_Maps/C07/C07-69")</f>
        <v>http://www.env.gov.bc.ca/esd/distdata/ecosystems/TEI_Scanned_Maps/C07/C07-69</v>
      </c>
      <c r="U870" t="s">
        <v>58</v>
      </c>
      <c r="V870" t="s">
        <v>58</v>
      </c>
      <c r="W870" t="s">
        <v>58</v>
      </c>
      <c r="X870" t="s">
        <v>58</v>
      </c>
      <c r="Y870" t="s">
        <v>58</v>
      </c>
      <c r="Z870" t="s">
        <v>58</v>
      </c>
      <c r="AA870" t="s">
        <v>58</v>
      </c>
      <c r="AC870" t="s">
        <v>58</v>
      </c>
      <c r="AE870" t="s">
        <v>58</v>
      </c>
      <c r="AG870" t="s">
        <v>63</v>
      </c>
      <c r="AH870" s="11" t="str">
        <f t="shared" si="16"/>
        <v>mailto: soilterrain@victoria1.gov.bc.ca</v>
      </c>
    </row>
    <row r="871" spans="1:34">
      <c r="A871" t="s">
        <v>2138</v>
      </c>
      <c r="B871" t="s">
        <v>56</v>
      </c>
      <c r="C871" s="10" t="s">
        <v>2139</v>
      </c>
      <c r="D871" t="s">
        <v>58</v>
      </c>
      <c r="E871" t="s">
        <v>497</v>
      </c>
      <c r="F871" t="s">
        <v>2140</v>
      </c>
      <c r="G871">
        <v>50000</v>
      </c>
      <c r="H871" t="s">
        <v>187</v>
      </c>
      <c r="I871" t="s">
        <v>58</v>
      </c>
      <c r="J871" t="s">
        <v>58</v>
      </c>
      <c r="K871" t="s">
        <v>58</v>
      </c>
      <c r="L871" t="s">
        <v>58</v>
      </c>
      <c r="M871" t="s">
        <v>58</v>
      </c>
      <c r="N871" t="s">
        <v>61</v>
      </c>
      <c r="Q871" t="s">
        <v>58</v>
      </c>
      <c r="R871" s="11" t="str">
        <f>HYPERLINK("\\imagefiles.bcgov\imagery\scanned_maps\moe_terrain_maps\Scanned_T_maps_all\C07\C07-70","\\imagefiles.bcgov\imagery\scanned_maps\moe_terrain_maps\Scanned_T_maps_all\C07\C07-70")</f>
        <v>\\imagefiles.bcgov\imagery\scanned_maps\moe_terrain_maps\Scanned_T_maps_all\C07\C07-70</v>
      </c>
      <c r="S871" t="s">
        <v>62</v>
      </c>
      <c r="T871" s="11" t="str">
        <f>HYPERLINK("http://www.env.gov.bc.ca/esd/distdata/ecosystems/TEI_Scanned_Maps/C07/C07-70","http://www.env.gov.bc.ca/esd/distdata/ecosystems/TEI_Scanned_Maps/C07/C07-70")</f>
        <v>http://www.env.gov.bc.ca/esd/distdata/ecosystems/TEI_Scanned_Maps/C07/C07-70</v>
      </c>
      <c r="U871" t="s">
        <v>58</v>
      </c>
      <c r="V871" t="s">
        <v>58</v>
      </c>
      <c r="W871" t="s">
        <v>58</v>
      </c>
      <c r="X871" t="s">
        <v>58</v>
      </c>
      <c r="Y871" t="s">
        <v>58</v>
      </c>
      <c r="Z871" t="s">
        <v>58</v>
      </c>
      <c r="AA871" t="s">
        <v>58</v>
      </c>
      <c r="AC871" t="s">
        <v>58</v>
      </c>
      <c r="AE871" t="s">
        <v>58</v>
      </c>
      <c r="AG871" t="s">
        <v>63</v>
      </c>
      <c r="AH871" s="11" t="str">
        <f t="shared" si="16"/>
        <v>mailto: soilterrain@victoria1.gov.bc.ca</v>
      </c>
    </row>
    <row r="872" spans="1:34">
      <c r="A872" t="s">
        <v>2141</v>
      </c>
      <c r="B872" t="s">
        <v>56</v>
      </c>
      <c r="C872" s="10" t="s">
        <v>2142</v>
      </c>
      <c r="D872" t="s">
        <v>58</v>
      </c>
      <c r="E872" t="s">
        <v>497</v>
      </c>
      <c r="F872" t="s">
        <v>2143</v>
      </c>
      <c r="G872">
        <v>50000</v>
      </c>
      <c r="H872">
        <v>1988</v>
      </c>
      <c r="I872" t="s">
        <v>58</v>
      </c>
      <c r="J872" t="s">
        <v>58</v>
      </c>
      <c r="K872" t="s">
        <v>58</v>
      </c>
      <c r="L872" t="s">
        <v>58</v>
      </c>
      <c r="M872" t="s">
        <v>58</v>
      </c>
      <c r="N872" t="s">
        <v>61</v>
      </c>
      <c r="Q872" t="s">
        <v>58</v>
      </c>
      <c r="R872" s="11" t="str">
        <f>HYPERLINK("\\imagefiles.bcgov\imagery\scanned_maps\moe_terrain_maps\Scanned_T_maps_all\C07\C07-74","\\imagefiles.bcgov\imagery\scanned_maps\moe_terrain_maps\Scanned_T_maps_all\C07\C07-74")</f>
        <v>\\imagefiles.bcgov\imagery\scanned_maps\moe_terrain_maps\Scanned_T_maps_all\C07\C07-74</v>
      </c>
      <c r="S872" t="s">
        <v>62</v>
      </c>
      <c r="T872" s="11" t="str">
        <f>HYPERLINK("http://www.env.gov.bc.ca/esd/distdata/ecosystems/TEI_Scanned_Maps/C07/C07-74","http://www.env.gov.bc.ca/esd/distdata/ecosystems/TEI_Scanned_Maps/C07/C07-74")</f>
        <v>http://www.env.gov.bc.ca/esd/distdata/ecosystems/TEI_Scanned_Maps/C07/C07-74</v>
      </c>
      <c r="U872" t="s">
        <v>58</v>
      </c>
      <c r="V872" t="s">
        <v>58</v>
      </c>
      <c r="W872" t="s">
        <v>58</v>
      </c>
      <c r="X872" t="s">
        <v>58</v>
      </c>
      <c r="Y872" t="s">
        <v>58</v>
      </c>
      <c r="Z872" t="s">
        <v>58</v>
      </c>
      <c r="AA872" t="s">
        <v>58</v>
      </c>
      <c r="AC872" t="s">
        <v>58</v>
      </c>
      <c r="AE872" t="s">
        <v>58</v>
      </c>
      <c r="AG872" t="s">
        <v>63</v>
      </c>
      <c r="AH872" s="11" t="str">
        <f t="shared" si="16"/>
        <v>mailto: soilterrain@victoria1.gov.bc.ca</v>
      </c>
    </row>
    <row r="873" spans="1:34">
      <c r="A873" t="s">
        <v>2144</v>
      </c>
      <c r="B873" t="s">
        <v>56</v>
      </c>
      <c r="C873" s="10" t="s">
        <v>2145</v>
      </c>
      <c r="D873" t="s">
        <v>58</v>
      </c>
      <c r="E873" t="s">
        <v>497</v>
      </c>
      <c r="F873" t="s">
        <v>2146</v>
      </c>
      <c r="G873">
        <v>125000</v>
      </c>
      <c r="H873">
        <v>1988</v>
      </c>
      <c r="I873" t="s">
        <v>58</v>
      </c>
      <c r="J873" t="s">
        <v>58</v>
      </c>
      <c r="K873" t="s">
        <v>58</v>
      </c>
      <c r="L873" t="s">
        <v>58</v>
      </c>
      <c r="M873" t="s">
        <v>58</v>
      </c>
      <c r="N873" t="s">
        <v>61</v>
      </c>
      <c r="Q873" t="s">
        <v>58</v>
      </c>
      <c r="R873" s="11" t="str">
        <f>HYPERLINK("\\imagefiles.bcgov\imagery\scanned_maps\moe_terrain_maps\Scanned_T_maps_all\C07\C07-787","\\imagefiles.bcgov\imagery\scanned_maps\moe_terrain_maps\Scanned_T_maps_all\C07\C07-787")</f>
        <v>\\imagefiles.bcgov\imagery\scanned_maps\moe_terrain_maps\Scanned_T_maps_all\C07\C07-787</v>
      </c>
      <c r="S873" t="s">
        <v>62</v>
      </c>
      <c r="T873" s="11" t="str">
        <f>HYPERLINK("http://www.env.gov.bc.ca/esd/distdata/ecosystems/TEI_Scanned_Maps/C07/C07-787","http://www.env.gov.bc.ca/esd/distdata/ecosystems/TEI_Scanned_Maps/C07/C07-787")</f>
        <v>http://www.env.gov.bc.ca/esd/distdata/ecosystems/TEI_Scanned_Maps/C07/C07-787</v>
      </c>
      <c r="U873" t="s">
        <v>58</v>
      </c>
      <c r="V873" t="s">
        <v>58</v>
      </c>
      <c r="W873" t="s">
        <v>58</v>
      </c>
      <c r="X873" t="s">
        <v>58</v>
      </c>
      <c r="Y873" t="s">
        <v>58</v>
      </c>
      <c r="Z873" t="s">
        <v>58</v>
      </c>
      <c r="AA873" t="s">
        <v>58</v>
      </c>
      <c r="AC873" t="s">
        <v>58</v>
      </c>
      <c r="AE873" t="s">
        <v>58</v>
      </c>
      <c r="AG873" t="s">
        <v>63</v>
      </c>
      <c r="AH873" s="11" t="str">
        <f t="shared" si="16"/>
        <v>mailto: soilterrain@victoria1.gov.bc.ca</v>
      </c>
    </row>
    <row r="874" spans="1:34">
      <c r="A874" t="s">
        <v>2147</v>
      </c>
      <c r="B874" t="s">
        <v>56</v>
      </c>
      <c r="C874" s="10" t="s">
        <v>2148</v>
      </c>
      <c r="D874" t="s">
        <v>58</v>
      </c>
      <c r="E874" t="s">
        <v>497</v>
      </c>
      <c r="F874" t="s">
        <v>2149</v>
      </c>
      <c r="G874">
        <v>125000</v>
      </c>
      <c r="H874">
        <v>1981</v>
      </c>
      <c r="I874" t="s">
        <v>58</v>
      </c>
      <c r="J874" t="s">
        <v>58</v>
      </c>
      <c r="K874" t="s">
        <v>58</v>
      </c>
      <c r="L874" t="s">
        <v>58</v>
      </c>
      <c r="M874" t="s">
        <v>58</v>
      </c>
      <c r="N874" t="s">
        <v>61</v>
      </c>
      <c r="Q874" t="s">
        <v>58</v>
      </c>
      <c r="R874" s="11" t="str">
        <f>HYPERLINK("\\imagefiles.bcgov\imagery\scanned_maps\moe_terrain_maps\Scanned_T_maps_all\C07\C07-790","\\imagefiles.bcgov\imagery\scanned_maps\moe_terrain_maps\Scanned_T_maps_all\C07\C07-790")</f>
        <v>\\imagefiles.bcgov\imagery\scanned_maps\moe_terrain_maps\Scanned_T_maps_all\C07\C07-790</v>
      </c>
      <c r="S874" t="s">
        <v>62</v>
      </c>
      <c r="T874" s="11" t="str">
        <f>HYPERLINK("http://www.env.gov.bc.ca/esd/distdata/ecosystems/TEI_Scanned_Maps/C07/C07-790","http://www.env.gov.bc.ca/esd/distdata/ecosystems/TEI_Scanned_Maps/C07/C07-790")</f>
        <v>http://www.env.gov.bc.ca/esd/distdata/ecosystems/TEI_Scanned_Maps/C07/C07-790</v>
      </c>
      <c r="U874" t="s">
        <v>58</v>
      </c>
      <c r="V874" t="s">
        <v>58</v>
      </c>
      <c r="W874" t="s">
        <v>58</v>
      </c>
      <c r="X874" t="s">
        <v>58</v>
      </c>
      <c r="Y874" t="s">
        <v>58</v>
      </c>
      <c r="Z874" t="s">
        <v>58</v>
      </c>
      <c r="AA874" t="s">
        <v>58</v>
      </c>
      <c r="AC874" t="s">
        <v>58</v>
      </c>
      <c r="AE874" t="s">
        <v>58</v>
      </c>
      <c r="AG874" t="s">
        <v>63</v>
      </c>
      <c r="AH874" s="11" t="str">
        <f t="shared" si="16"/>
        <v>mailto: soilterrain@victoria1.gov.bc.ca</v>
      </c>
    </row>
    <row r="875" spans="1:34">
      <c r="A875" t="s">
        <v>2150</v>
      </c>
      <c r="B875" t="s">
        <v>56</v>
      </c>
      <c r="C875" s="10" t="s">
        <v>2151</v>
      </c>
      <c r="D875" t="s">
        <v>58</v>
      </c>
      <c r="E875" t="s">
        <v>497</v>
      </c>
      <c r="F875" t="s">
        <v>2152</v>
      </c>
      <c r="G875">
        <v>125000</v>
      </c>
      <c r="H875">
        <v>1988</v>
      </c>
      <c r="I875" t="s">
        <v>58</v>
      </c>
      <c r="J875" t="s">
        <v>58</v>
      </c>
      <c r="K875" t="s">
        <v>58</v>
      </c>
      <c r="L875" t="s">
        <v>58</v>
      </c>
      <c r="M875" t="s">
        <v>58</v>
      </c>
      <c r="N875" t="s">
        <v>61</v>
      </c>
      <c r="Q875" t="s">
        <v>58</v>
      </c>
      <c r="R875" s="11" t="str">
        <f>HYPERLINK("\\imagefiles.bcgov\imagery\scanned_maps\moe_terrain_maps\Scanned_T_maps_all\C07\C07-796","\\imagefiles.bcgov\imagery\scanned_maps\moe_terrain_maps\Scanned_T_maps_all\C07\C07-796")</f>
        <v>\\imagefiles.bcgov\imagery\scanned_maps\moe_terrain_maps\Scanned_T_maps_all\C07\C07-796</v>
      </c>
      <c r="S875" t="s">
        <v>62</v>
      </c>
      <c r="T875" s="11" t="str">
        <f>HYPERLINK("http://www.env.gov.bc.ca/esd/distdata/ecosystems/TEI_Scanned_Maps/C07/C07-796","http://www.env.gov.bc.ca/esd/distdata/ecosystems/TEI_Scanned_Maps/C07/C07-796")</f>
        <v>http://www.env.gov.bc.ca/esd/distdata/ecosystems/TEI_Scanned_Maps/C07/C07-796</v>
      </c>
      <c r="U875" t="s">
        <v>58</v>
      </c>
      <c r="V875" t="s">
        <v>58</v>
      </c>
      <c r="W875" t="s">
        <v>58</v>
      </c>
      <c r="X875" t="s">
        <v>58</v>
      </c>
      <c r="Y875" t="s">
        <v>58</v>
      </c>
      <c r="Z875" t="s">
        <v>58</v>
      </c>
      <c r="AA875" t="s">
        <v>58</v>
      </c>
      <c r="AC875" t="s">
        <v>58</v>
      </c>
      <c r="AE875" t="s">
        <v>58</v>
      </c>
      <c r="AG875" t="s">
        <v>63</v>
      </c>
      <c r="AH875" s="11" t="str">
        <f t="shared" si="16"/>
        <v>mailto: soilterrain@victoria1.gov.bc.ca</v>
      </c>
    </row>
    <row r="876" spans="1:34">
      <c r="A876" t="s">
        <v>2153</v>
      </c>
      <c r="B876" t="s">
        <v>56</v>
      </c>
      <c r="C876" s="10" t="s">
        <v>2154</v>
      </c>
      <c r="D876" t="s">
        <v>58</v>
      </c>
      <c r="E876" t="s">
        <v>497</v>
      </c>
      <c r="F876" t="s">
        <v>2155</v>
      </c>
      <c r="G876">
        <v>125000</v>
      </c>
      <c r="H876">
        <v>1988</v>
      </c>
      <c r="I876" t="s">
        <v>58</v>
      </c>
      <c r="J876" t="s">
        <v>58</v>
      </c>
      <c r="K876" t="s">
        <v>58</v>
      </c>
      <c r="L876" t="s">
        <v>58</v>
      </c>
      <c r="M876" t="s">
        <v>58</v>
      </c>
      <c r="N876" t="s">
        <v>61</v>
      </c>
      <c r="Q876" t="s">
        <v>58</v>
      </c>
      <c r="R876" s="11" t="str">
        <f>HYPERLINK("\\imagefiles.bcgov\imagery\scanned_maps\moe_terrain_maps\Scanned_T_maps_all\C07\C07-799","\\imagefiles.bcgov\imagery\scanned_maps\moe_terrain_maps\Scanned_T_maps_all\C07\C07-799")</f>
        <v>\\imagefiles.bcgov\imagery\scanned_maps\moe_terrain_maps\Scanned_T_maps_all\C07\C07-799</v>
      </c>
      <c r="S876" t="s">
        <v>62</v>
      </c>
      <c r="T876" s="11" t="str">
        <f>HYPERLINK("http://www.env.gov.bc.ca/esd/distdata/ecosystems/TEI_Scanned_Maps/C07/C07-799","http://www.env.gov.bc.ca/esd/distdata/ecosystems/TEI_Scanned_Maps/C07/C07-799")</f>
        <v>http://www.env.gov.bc.ca/esd/distdata/ecosystems/TEI_Scanned_Maps/C07/C07-799</v>
      </c>
      <c r="U876" t="s">
        <v>58</v>
      </c>
      <c r="V876" t="s">
        <v>58</v>
      </c>
      <c r="W876" t="s">
        <v>58</v>
      </c>
      <c r="X876" t="s">
        <v>58</v>
      </c>
      <c r="Y876" t="s">
        <v>58</v>
      </c>
      <c r="Z876" t="s">
        <v>58</v>
      </c>
      <c r="AA876" t="s">
        <v>58</v>
      </c>
      <c r="AC876" t="s">
        <v>58</v>
      </c>
      <c r="AE876" t="s">
        <v>58</v>
      </c>
      <c r="AG876" t="s">
        <v>63</v>
      </c>
      <c r="AH876" s="11" t="str">
        <f t="shared" si="16"/>
        <v>mailto: soilterrain@victoria1.gov.bc.ca</v>
      </c>
    </row>
    <row r="877" spans="1:34">
      <c r="A877" t="s">
        <v>2156</v>
      </c>
      <c r="B877" t="s">
        <v>56</v>
      </c>
      <c r="C877" s="10" t="s">
        <v>2157</v>
      </c>
      <c r="D877" t="s">
        <v>58</v>
      </c>
      <c r="E877" t="s">
        <v>497</v>
      </c>
      <c r="F877" t="s">
        <v>1965</v>
      </c>
      <c r="G877">
        <v>125000</v>
      </c>
      <c r="H877">
        <v>1988</v>
      </c>
      <c r="I877" t="s">
        <v>58</v>
      </c>
      <c r="J877" t="s">
        <v>58</v>
      </c>
      <c r="K877" t="s">
        <v>58</v>
      </c>
      <c r="L877" t="s">
        <v>58</v>
      </c>
      <c r="M877" t="s">
        <v>58</v>
      </c>
      <c r="N877" t="s">
        <v>61</v>
      </c>
      <c r="Q877" t="s">
        <v>58</v>
      </c>
      <c r="R877" s="11" t="str">
        <f>HYPERLINK("\\imagefiles.bcgov\imagery\scanned_maps\moe_terrain_maps\Scanned_T_maps_all\C07\C07-839","\\imagefiles.bcgov\imagery\scanned_maps\moe_terrain_maps\Scanned_T_maps_all\C07\C07-839")</f>
        <v>\\imagefiles.bcgov\imagery\scanned_maps\moe_terrain_maps\Scanned_T_maps_all\C07\C07-839</v>
      </c>
      <c r="S877" t="s">
        <v>62</v>
      </c>
      <c r="T877" s="11" t="str">
        <f>HYPERLINK("http://www.env.gov.bc.ca/esd/distdata/ecosystems/TEI_Scanned_Maps/C07/C07-839","http://www.env.gov.bc.ca/esd/distdata/ecosystems/TEI_Scanned_Maps/C07/C07-839")</f>
        <v>http://www.env.gov.bc.ca/esd/distdata/ecosystems/TEI_Scanned_Maps/C07/C07-839</v>
      </c>
      <c r="U877" t="s">
        <v>58</v>
      </c>
      <c r="V877" t="s">
        <v>58</v>
      </c>
      <c r="W877" t="s">
        <v>58</v>
      </c>
      <c r="X877" t="s">
        <v>58</v>
      </c>
      <c r="Y877" t="s">
        <v>58</v>
      </c>
      <c r="Z877" t="s">
        <v>58</v>
      </c>
      <c r="AA877" t="s">
        <v>58</v>
      </c>
      <c r="AC877" t="s">
        <v>58</v>
      </c>
      <c r="AE877" t="s">
        <v>58</v>
      </c>
      <c r="AG877" t="s">
        <v>63</v>
      </c>
      <c r="AH877" s="11" t="str">
        <f t="shared" si="16"/>
        <v>mailto: soilterrain@victoria1.gov.bc.ca</v>
      </c>
    </row>
    <row r="878" spans="1:34">
      <c r="A878" t="s">
        <v>2158</v>
      </c>
      <c r="B878" t="s">
        <v>56</v>
      </c>
      <c r="C878" s="10" t="s">
        <v>2157</v>
      </c>
      <c r="D878" t="s">
        <v>58</v>
      </c>
      <c r="E878" t="s">
        <v>497</v>
      </c>
      <c r="F878" t="s">
        <v>2159</v>
      </c>
      <c r="G878">
        <v>125000</v>
      </c>
      <c r="H878">
        <v>1989</v>
      </c>
      <c r="I878" t="s">
        <v>58</v>
      </c>
      <c r="J878" t="s">
        <v>58</v>
      </c>
      <c r="K878" t="s">
        <v>58</v>
      </c>
      <c r="L878" t="s">
        <v>58</v>
      </c>
      <c r="M878" t="s">
        <v>58</v>
      </c>
      <c r="N878" t="s">
        <v>61</v>
      </c>
      <c r="Q878" t="s">
        <v>58</v>
      </c>
      <c r="R878" s="11" t="str">
        <f>HYPERLINK("\\imagefiles.bcgov\imagery\scanned_maps\moe_terrain_maps\Scanned_T_maps_all\C07\C07-840","\\imagefiles.bcgov\imagery\scanned_maps\moe_terrain_maps\Scanned_T_maps_all\C07\C07-840")</f>
        <v>\\imagefiles.bcgov\imagery\scanned_maps\moe_terrain_maps\Scanned_T_maps_all\C07\C07-840</v>
      </c>
      <c r="S878" t="s">
        <v>62</v>
      </c>
      <c r="T878" s="11" t="str">
        <f>HYPERLINK("http://www.env.gov.bc.ca/esd/distdata/ecosystems/TEI_Scanned_Maps/C07/C07-840","http://www.env.gov.bc.ca/esd/distdata/ecosystems/TEI_Scanned_Maps/C07/C07-840")</f>
        <v>http://www.env.gov.bc.ca/esd/distdata/ecosystems/TEI_Scanned_Maps/C07/C07-840</v>
      </c>
      <c r="U878" t="s">
        <v>58</v>
      </c>
      <c r="V878" t="s">
        <v>58</v>
      </c>
      <c r="W878" t="s">
        <v>58</v>
      </c>
      <c r="X878" t="s">
        <v>58</v>
      </c>
      <c r="Y878" t="s">
        <v>58</v>
      </c>
      <c r="Z878" t="s">
        <v>58</v>
      </c>
      <c r="AA878" t="s">
        <v>58</v>
      </c>
      <c r="AC878" t="s">
        <v>58</v>
      </c>
      <c r="AE878" t="s">
        <v>58</v>
      </c>
      <c r="AG878" t="s">
        <v>63</v>
      </c>
      <c r="AH878" s="11" t="str">
        <f t="shared" si="16"/>
        <v>mailto: soilterrain@victoria1.gov.bc.ca</v>
      </c>
    </row>
    <row r="879" spans="1:34">
      <c r="A879" t="s">
        <v>2160</v>
      </c>
      <c r="B879" t="s">
        <v>56</v>
      </c>
      <c r="C879" s="10" t="s">
        <v>2161</v>
      </c>
      <c r="D879" t="s">
        <v>58</v>
      </c>
      <c r="E879" t="s">
        <v>497</v>
      </c>
      <c r="F879" t="s">
        <v>2162</v>
      </c>
      <c r="G879">
        <v>125000</v>
      </c>
      <c r="H879">
        <v>1987</v>
      </c>
      <c r="I879" t="s">
        <v>58</v>
      </c>
      <c r="J879" t="s">
        <v>58</v>
      </c>
      <c r="K879" t="s">
        <v>58</v>
      </c>
      <c r="L879" t="s">
        <v>58</v>
      </c>
      <c r="M879" t="s">
        <v>58</v>
      </c>
      <c r="N879" t="s">
        <v>61</v>
      </c>
      <c r="Q879" t="s">
        <v>58</v>
      </c>
      <c r="R879" s="11" t="str">
        <f>HYPERLINK("\\imagefiles.bcgov\imagery\scanned_maps\moe_terrain_maps\Scanned_T_maps_all\C07\C07-844","\\imagefiles.bcgov\imagery\scanned_maps\moe_terrain_maps\Scanned_T_maps_all\C07\C07-844")</f>
        <v>\\imagefiles.bcgov\imagery\scanned_maps\moe_terrain_maps\Scanned_T_maps_all\C07\C07-844</v>
      </c>
      <c r="S879" t="s">
        <v>62</v>
      </c>
      <c r="T879" s="11" t="str">
        <f>HYPERLINK("http://www.env.gov.bc.ca/esd/distdata/ecosystems/TEI_Scanned_Maps/C07/C07-844","http://www.env.gov.bc.ca/esd/distdata/ecosystems/TEI_Scanned_Maps/C07/C07-844")</f>
        <v>http://www.env.gov.bc.ca/esd/distdata/ecosystems/TEI_Scanned_Maps/C07/C07-844</v>
      </c>
      <c r="U879" t="s">
        <v>58</v>
      </c>
      <c r="V879" t="s">
        <v>58</v>
      </c>
      <c r="W879" t="s">
        <v>58</v>
      </c>
      <c r="X879" t="s">
        <v>58</v>
      </c>
      <c r="Y879" t="s">
        <v>58</v>
      </c>
      <c r="Z879" t="s">
        <v>58</v>
      </c>
      <c r="AA879" t="s">
        <v>58</v>
      </c>
      <c r="AC879" t="s">
        <v>58</v>
      </c>
      <c r="AE879" t="s">
        <v>58</v>
      </c>
      <c r="AG879" t="s">
        <v>63</v>
      </c>
      <c r="AH879" s="11" t="str">
        <f t="shared" si="16"/>
        <v>mailto: soilterrain@victoria1.gov.bc.ca</v>
      </c>
    </row>
    <row r="880" spans="1:34">
      <c r="A880" t="s">
        <v>2163</v>
      </c>
      <c r="B880" t="s">
        <v>56</v>
      </c>
      <c r="C880" s="10" t="s">
        <v>2161</v>
      </c>
      <c r="D880" t="s">
        <v>58</v>
      </c>
      <c r="E880" t="s">
        <v>497</v>
      </c>
      <c r="F880" t="s">
        <v>2164</v>
      </c>
      <c r="G880">
        <v>125000</v>
      </c>
      <c r="H880">
        <v>1988</v>
      </c>
      <c r="I880" t="s">
        <v>58</v>
      </c>
      <c r="J880" t="s">
        <v>58</v>
      </c>
      <c r="K880" t="s">
        <v>58</v>
      </c>
      <c r="L880" t="s">
        <v>58</v>
      </c>
      <c r="M880" t="s">
        <v>58</v>
      </c>
      <c r="N880" t="s">
        <v>61</v>
      </c>
      <c r="Q880" t="s">
        <v>58</v>
      </c>
      <c r="R880" s="11" t="str">
        <f>HYPERLINK("\\imagefiles.bcgov\imagery\scanned_maps\moe_terrain_maps\Scanned_T_maps_all\C07\C07-845","\\imagefiles.bcgov\imagery\scanned_maps\moe_terrain_maps\Scanned_T_maps_all\C07\C07-845")</f>
        <v>\\imagefiles.bcgov\imagery\scanned_maps\moe_terrain_maps\Scanned_T_maps_all\C07\C07-845</v>
      </c>
      <c r="S880" t="s">
        <v>62</v>
      </c>
      <c r="T880" s="11" t="str">
        <f>HYPERLINK("http://www.env.gov.bc.ca/esd/distdata/ecosystems/TEI_Scanned_Maps/C07/C07-845","http://www.env.gov.bc.ca/esd/distdata/ecosystems/TEI_Scanned_Maps/C07/C07-845")</f>
        <v>http://www.env.gov.bc.ca/esd/distdata/ecosystems/TEI_Scanned_Maps/C07/C07-845</v>
      </c>
      <c r="U880" t="s">
        <v>58</v>
      </c>
      <c r="V880" t="s">
        <v>58</v>
      </c>
      <c r="W880" t="s">
        <v>58</v>
      </c>
      <c r="X880" t="s">
        <v>58</v>
      </c>
      <c r="Y880" t="s">
        <v>58</v>
      </c>
      <c r="Z880" t="s">
        <v>58</v>
      </c>
      <c r="AA880" t="s">
        <v>58</v>
      </c>
      <c r="AC880" t="s">
        <v>58</v>
      </c>
      <c r="AE880" t="s">
        <v>58</v>
      </c>
      <c r="AG880" t="s">
        <v>63</v>
      </c>
      <c r="AH880" s="11" t="str">
        <f t="shared" si="16"/>
        <v>mailto: soilterrain@victoria1.gov.bc.ca</v>
      </c>
    </row>
    <row r="881" spans="1:34">
      <c r="A881" t="s">
        <v>2165</v>
      </c>
      <c r="B881" t="s">
        <v>56</v>
      </c>
      <c r="C881" s="10" t="s">
        <v>2166</v>
      </c>
      <c r="D881" t="s">
        <v>58</v>
      </c>
      <c r="E881" t="s">
        <v>497</v>
      </c>
      <c r="F881" t="s">
        <v>2167</v>
      </c>
      <c r="G881">
        <v>125000</v>
      </c>
      <c r="H881" t="s">
        <v>187</v>
      </c>
      <c r="I881" t="s">
        <v>58</v>
      </c>
      <c r="J881" t="s">
        <v>58</v>
      </c>
      <c r="K881" t="s">
        <v>58</v>
      </c>
      <c r="L881" t="s">
        <v>58</v>
      </c>
      <c r="M881" t="s">
        <v>58</v>
      </c>
      <c r="N881" t="s">
        <v>61</v>
      </c>
      <c r="Q881" t="s">
        <v>58</v>
      </c>
      <c r="R881" s="11" t="str">
        <f>HYPERLINK("\\imagefiles.bcgov\imagery\scanned_maps\moe_terrain_maps\Scanned_T_maps_all\C07\C07-854","\\imagefiles.bcgov\imagery\scanned_maps\moe_terrain_maps\Scanned_T_maps_all\C07\C07-854")</f>
        <v>\\imagefiles.bcgov\imagery\scanned_maps\moe_terrain_maps\Scanned_T_maps_all\C07\C07-854</v>
      </c>
      <c r="S881" t="s">
        <v>62</v>
      </c>
      <c r="T881" s="11" t="str">
        <f>HYPERLINK("http://www.env.gov.bc.ca/esd/distdata/ecosystems/TEI_Scanned_Maps/C07/C07-854","http://www.env.gov.bc.ca/esd/distdata/ecosystems/TEI_Scanned_Maps/C07/C07-854")</f>
        <v>http://www.env.gov.bc.ca/esd/distdata/ecosystems/TEI_Scanned_Maps/C07/C07-854</v>
      </c>
      <c r="U881" t="s">
        <v>58</v>
      </c>
      <c r="V881" t="s">
        <v>58</v>
      </c>
      <c r="W881" t="s">
        <v>58</v>
      </c>
      <c r="X881" t="s">
        <v>58</v>
      </c>
      <c r="Y881" t="s">
        <v>58</v>
      </c>
      <c r="Z881" t="s">
        <v>58</v>
      </c>
      <c r="AA881" t="s">
        <v>58</v>
      </c>
      <c r="AC881" t="s">
        <v>58</v>
      </c>
      <c r="AE881" t="s">
        <v>58</v>
      </c>
      <c r="AG881" t="s">
        <v>63</v>
      </c>
      <c r="AH881" s="11" t="str">
        <f t="shared" si="16"/>
        <v>mailto: soilterrain@victoria1.gov.bc.ca</v>
      </c>
    </row>
    <row r="882" spans="1:34">
      <c r="A882" t="s">
        <v>2168</v>
      </c>
      <c r="B882" t="s">
        <v>56</v>
      </c>
      <c r="C882" s="10" t="s">
        <v>2166</v>
      </c>
      <c r="D882" t="s">
        <v>58</v>
      </c>
      <c r="E882" t="s">
        <v>497</v>
      </c>
      <c r="F882" t="s">
        <v>2169</v>
      </c>
      <c r="G882">
        <v>125000</v>
      </c>
      <c r="H882">
        <v>1988</v>
      </c>
      <c r="I882" t="s">
        <v>58</v>
      </c>
      <c r="J882" t="s">
        <v>58</v>
      </c>
      <c r="K882" t="s">
        <v>58</v>
      </c>
      <c r="L882" t="s">
        <v>58</v>
      </c>
      <c r="M882" t="s">
        <v>58</v>
      </c>
      <c r="N882" t="s">
        <v>61</v>
      </c>
      <c r="Q882" t="s">
        <v>58</v>
      </c>
      <c r="R882" s="11" t="str">
        <f>HYPERLINK("\\imagefiles.bcgov\imagery\scanned_maps\moe_terrain_maps\Scanned_T_maps_all\C07\C07-855","\\imagefiles.bcgov\imagery\scanned_maps\moe_terrain_maps\Scanned_T_maps_all\C07\C07-855")</f>
        <v>\\imagefiles.bcgov\imagery\scanned_maps\moe_terrain_maps\Scanned_T_maps_all\C07\C07-855</v>
      </c>
      <c r="S882" t="s">
        <v>62</v>
      </c>
      <c r="T882" s="11" t="str">
        <f>HYPERLINK("http://www.env.gov.bc.ca/esd/distdata/ecosystems/TEI_Scanned_Maps/C07/C07-855","http://www.env.gov.bc.ca/esd/distdata/ecosystems/TEI_Scanned_Maps/C07/C07-855")</f>
        <v>http://www.env.gov.bc.ca/esd/distdata/ecosystems/TEI_Scanned_Maps/C07/C07-855</v>
      </c>
      <c r="U882" t="s">
        <v>58</v>
      </c>
      <c r="V882" t="s">
        <v>58</v>
      </c>
      <c r="W882" t="s">
        <v>58</v>
      </c>
      <c r="X882" t="s">
        <v>58</v>
      </c>
      <c r="Y882" t="s">
        <v>58</v>
      </c>
      <c r="Z882" t="s">
        <v>58</v>
      </c>
      <c r="AA882" t="s">
        <v>58</v>
      </c>
      <c r="AC882" t="s">
        <v>58</v>
      </c>
      <c r="AE882" t="s">
        <v>58</v>
      </c>
      <c r="AG882" t="s">
        <v>63</v>
      </c>
      <c r="AH882" s="11" t="str">
        <f t="shared" si="16"/>
        <v>mailto: soilterrain@victoria1.gov.bc.ca</v>
      </c>
    </row>
    <row r="883" spans="1:34">
      <c r="A883" t="s">
        <v>2170</v>
      </c>
      <c r="B883" t="s">
        <v>56</v>
      </c>
      <c r="C883" s="10" t="s">
        <v>2171</v>
      </c>
      <c r="D883" t="s">
        <v>58</v>
      </c>
      <c r="E883" t="s">
        <v>497</v>
      </c>
      <c r="F883" t="s">
        <v>2172</v>
      </c>
      <c r="G883">
        <v>100000</v>
      </c>
      <c r="H883">
        <v>1989</v>
      </c>
      <c r="I883" t="s">
        <v>58</v>
      </c>
      <c r="J883" t="s">
        <v>58</v>
      </c>
      <c r="K883" t="s">
        <v>58</v>
      </c>
      <c r="L883" t="s">
        <v>58</v>
      </c>
      <c r="M883" t="s">
        <v>58</v>
      </c>
      <c r="N883" t="s">
        <v>61</v>
      </c>
      <c r="Q883" t="s">
        <v>58</v>
      </c>
      <c r="R883" s="11" t="str">
        <f>HYPERLINK("\\imagefiles.bcgov\imagery\scanned_maps\moe_terrain_maps\Scanned_T_maps_all\C07\C07-858","\\imagefiles.bcgov\imagery\scanned_maps\moe_terrain_maps\Scanned_T_maps_all\C07\C07-858")</f>
        <v>\\imagefiles.bcgov\imagery\scanned_maps\moe_terrain_maps\Scanned_T_maps_all\C07\C07-858</v>
      </c>
      <c r="S883" t="s">
        <v>62</v>
      </c>
      <c r="T883" s="11" t="str">
        <f>HYPERLINK("http://www.env.gov.bc.ca/esd/distdata/ecosystems/TEI_Scanned_Maps/C07/C07-858","http://www.env.gov.bc.ca/esd/distdata/ecosystems/TEI_Scanned_Maps/C07/C07-858")</f>
        <v>http://www.env.gov.bc.ca/esd/distdata/ecosystems/TEI_Scanned_Maps/C07/C07-858</v>
      </c>
      <c r="U883" t="s">
        <v>58</v>
      </c>
      <c r="V883" t="s">
        <v>58</v>
      </c>
      <c r="W883" t="s">
        <v>58</v>
      </c>
      <c r="X883" t="s">
        <v>58</v>
      </c>
      <c r="Y883" t="s">
        <v>58</v>
      </c>
      <c r="Z883" t="s">
        <v>58</v>
      </c>
      <c r="AA883" t="s">
        <v>58</v>
      </c>
      <c r="AC883" t="s">
        <v>58</v>
      </c>
      <c r="AE883" t="s">
        <v>58</v>
      </c>
      <c r="AG883" t="s">
        <v>63</v>
      </c>
      <c r="AH883" s="11" t="str">
        <f t="shared" si="16"/>
        <v>mailto: soilterrain@victoria1.gov.bc.ca</v>
      </c>
    </row>
    <row r="884" spans="1:34">
      <c r="A884" t="s">
        <v>2173</v>
      </c>
      <c r="B884" t="s">
        <v>56</v>
      </c>
      <c r="C884" s="10" t="s">
        <v>2171</v>
      </c>
      <c r="D884" t="s">
        <v>58</v>
      </c>
      <c r="E884" t="s">
        <v>497</v>
      </c>
      <c r="F884" t="s">
        <v>2174</v>
      </c>
      <c r="G884">
        <v>125000</v>
      </c>
      <c r="H884">
        <v>1988</v>
      </c>
      <c r="I884" t="s">
        <v>58</v>
      </c>
      <c r="J884" t="s">
        <v>58</v>
      </c>
      <c r="K884" t="s">
        <v>58</v>
      </c>
      <c r="L884" t="s">
        <v>58</v>
      </c>
      <c r="M884" t="s">
        <v>58</v>
      </c>
      <c r="N884" t="s">
        <v>61</v>
      </c>
      <c r="Q884" t="s">
        <v>58</v>
      </c>
      <c r="R884" s="11" t="str">
        <f>HYPERLINK("\\imagefiles.bcgov\imagery\scanned_maps\moe_terrain_maps\Scanned_T_maps_all\C07\C07-859","\\imagefiles.bcgov\imagery\scanned_maps\moe_terrain_maps\Scanned_T_maps_all\C07\C07-859")</f>
        <v>\\imagefiles.bcgov\imagery\scanned_maps\moe_terrain_maps\Scanned_T_maps_all\C07\C07-859</v>
      </c>
      <c r="S884" t="s">
        <v>62</v>
      </c>
      <c r="T884" s="11" t="str">
        <f>HYPERLINK("http://www.env.gov.bc.ca/esd/distdata/ecosystems/TEI_Scanned_Maps/C07/C07-859","http://www.env.gov.bc.ca/esd/distdata/ecosystems/TEI_Scanned_Maps/C07/C07-859")</f>
        <v>http://www.env.gov.bc.ca/esd/distdata/ecosystems/TEI_Scanned_Maps/C07/C07-859</v>
      </c>
      <c r="U884" t="s">
        <v>58</v>
      </c>
      <c r="V884" t="s">
        <v>58</v>
      </c>
      <c r="W884" t="s">
        <v>58</v>
      </c>
      <c r="X884" t="s">
        <v>58</v>
      </c>
      <c r="Y884" t="s">
        <v>58</v>
      </c>
      <c r="Z884" t="s">
        <v>58</v>
      </c>
      <c r="AA884" t="s">
        <v>58</v>
      </c>
      <c r="AC884" t="s">
        <v>58</v>
      </c>
      <c r="AE884" t="s">
        <v>58</v>
      </c>
      <c r="AG884" t="s">
        <v>63</v>
      </c>
      <c r="AH884" s="11" t="str">
        <f t="shared" si="16"/>
        <v>mailto: soilterrain@victoria1.gov.bc.ca</v>
      </c>
    </row>
    <row r="885" spans="1:34">
      <c r="A885" t="s">
        <v>2175</v>
      </c>
      <c r="B885" t="s">
        <v>56</v>
      </c>
      <c r="C885" s="10" t="s">
        <v>2171</v>
      </c>
      <c r="D885" t="s">
        <v>58</v>
      </c>
      <c r="E885" t="s">
        <v>497</v>
      </c>
      <c r="F885" t="s">
        <v>2176</v>
      </c>
      <c r="G885">
        <v>125000</v>
      </c>
      <c r="H885">
        <v>1987</v>
      </c>
      <c r="I885" t="s">
        <v>58</v>
      </c>
      <c r="J885" t="s">
        <v>58</v>
      </c>
      <c r="K885" t="s">
        <v>58</v>
      </c>
      <c r="L885" t="s">
        <v>58</v>
      </c>
      <c r="M885" t="s">
        <v>58</v>
      </c>
      <c r="N885" t="s">
        <v>61</v>
      </c>
      <c r="Q885" t="s">
        <v>58</v>
      </c>
      <c r="R885" s="11" t="str">
        <f>HYPERLINK("\\imagefiles.bcgov\imagery\scanned_maps\moe_terrain_maps\Scanned_T_maps_all\C07\C07-860","\\imagefiles.bcgov\imagery\scanned_maps\moe_terrain_maps\Scanned_T_maps_all\C07\C07-860")</f>
        <v>\\imagefiles.bcgov\imagery\scanned_maps\moe_terrain_maps\Scanned_T_maps_all\C07\C07-860</v>
      </c>
      <c r="S885" t="s">
        <v>62</v>
      </c>
      <c r="T885" s="11" t="str">
        <f>HYPERLINK("http://www.env.gov.bc.ca/esd/distdata/ecosystems/TEI_Scanned_Maps/C07/C07-860","http://www.env.gov.bc.ca/esd/distdata/ecosystems/TEI_Scanned_Maps/C07/C07-860")</f>
        <v>http://www.env.gov.bc.ca/esd/distdata/ecosystems/TEI_Scanned_Maps/C07/C07-860</v>
      </c>
      <c r="U885" t="s">
        <v>58</v>
      </c>
      <c r="V885" t="s">
        <v>58</v>
      </c>
      <c r="W885" t="s">
        <v>58</v>
      </c>
      <c r="X885" t="s">
        <v>58</v>
      </c>
      <c r="Y885" t="s">
        <v>58</v>
      </c>
      <c r="Z885" t="s">
        <v>58</v>
      </c>
      <c r="AA885" t="s">
        <v>58</v>
      </c>
      <c r="AC885" t="s">
        <v>58</v>
      </c>
      <c r="AE885" t="s">
        <v>58</v>
      </c>
      <c r="AG885" t="s">
        <v>63</v>
      </c>
      <c r="AH885" s="11" t="str">
        <f t="shared" si="16"/>
        <v>mailto: soilterrain@victoria1.gov.bc.ca</v>
      </c>
    </row>
    <row r="886" spans="1:34">
      <c r="A886" t="s">
        <v>2177</v>
      </c>
      <c r="B886" t="s">
        <v>56</v>
      </c>
      <c r="C886" s="10" t="s">
        <v>2178</v>
      </c>
      <c r="D886" t="s">
        <v>58</v>
      </c>
      <c r="E886" t="s">
        <v>497</v>
      </c>
      <c r="F886" t="s">
        <v>2179</v>
      </c>
      <c r="G886">
        <v>125000</v>
      </c>
      <c r="H886">
        <v>1988</v>
      </c>
      <c r="I886" t="s">
        <v>58</v>
      </c>
      <c r="J886" t="s">
        <v>58</v>
      </c>
      <c r="K886" t="s">
        <v>58</v>
      </c>
      <c r="L886" t="s">
        <v>58</v>
      </c>
      <c r="M886" t="s">
        <v>58</v>
      </c>
      <c r="N886" t="s">
        <v>61</v>
      </c>
      <c r="Q886" t="s">
        <v>58</v>
      </c>
      <c r="R886" s="11" t="str">
        <f>HYPERLINK("\\imagefiles.bcgov\imagery\scanned_maps\moe_terrain_maps\Scanned_T_maps_all\C07\C07-879","\\imagefiles.bcgov\imagery\scanned_maps\moe_terrain_maps\Scanned_T_maps_all\C07\C07-879")</f>
        <v>\\imagefiles.bcgov\imagery\scanned_maps\moe_terrain_maps\Scanned_T_maps_all\C07\C07-879</v>
      </c>
      <c r="S886" t="s">
        <v>62</v>
      </c>
      <c r="T886" s="11" t="str">
        <f>HYPERLINK("http://www.env.gov.bc.ca/esd/distdata/ecosystems/TEI_Scanned_Maps/C07/C07-879","http://www.env.gov.bc.ca/esd/distdata/ecosystems/TEI_Scanned_Maps/C07/C07-879")</f>
        <v>http://www.env.gov.bc.ca/esd/distdata/ecosystems/TEI_Scanned_Maps/C07/C07-879</v>
      </c>
      <c r="U886" t="s">
        <v>58</v>
      </c>
      <c r="V886" t="s">
        <v>58</v>
      </c>
      <c r="W886" t="s">
        <v>58</v>
      </c>
      <c r="X886" t="s">
        <v>58</v>
      </c>
      <c r="Y886" t="s">
        <v>58</v>
      </c>
      <c r="Z886" t="s">
        <v>58</v>
      </c>
      <c r="AA886" t="s">
        <v>58</v>
      </c>
      <c r="AC886" t="s">
        <v>58</v>
      </c>
      <c r="AE886" t="s">
        <v>58</v>
      </c>
      <c r="AG886" t="s">
        <v>63</v>
      </c>
      <c r="AH886" s="11" t="str">
        <f t="shared" si="16"/>
        <v>mailto: soilterrain@victoria1.gov.bc.ca</v>
      </c>
    </row>
    <row r="887" spans="1:34">
      <c r="A887" t="s">
        <v>2180</v>
      </c>
      <c r="B887" t="s">
        <v>56</v>
      </c>
      <c r="C887" s="10" t="s">
        <v>2181</v>
      </c>
      <c r="D887" t="s">
        <v>58</v>
      </c>
      <c r="E887" t="s">
        <v>59</v>
      </c>
      <c r="F887" t="s">
        <v>2182</v>
      </c>
      <c r="G887">
        <v>50000</v>
      </c>
      <c r="H887" t="s">
        <v>187</v>
      </c>
      <c r="I887" t="s">
        <v>58</v>
      </c>
      <c r="J887" t="s">
        <v>58</v>
      </c>
      <c r="K887" t="s">
        <v>61</v>
      </c>
      <c r="L887" t="s">
        <v>58</v>
      </c>
      <c r="M887" t="s">
        <v>58</v>
      </c>
      <c r="Q887" t="s">
        <v>58</v>
      </c>
      <c r="R887" s="11" t="str">
        <f>HYPERLINK("\\imagefiles.bcgov\imagery\scanned_maps\moe_terrain_maps\Scanned_T_maps_all\F01\F01-4928","\\imagefiles.bcgov\imagery\scanned_maps\moe_terrain_maps\Scanned_T_maps_all\F01\F01-4928")</f>
        <v>\\imagefiles.bcgov\imagery\scanned_maps\moe_terrain_maps\Scanned_T_maps_all\F01\F01-4928</v>
      </c>
      <c r="S887" t="s">
        <v>62</v>
      </c>
      <c r="T887" s="11" t="str">
        <f>HYPERLINK("http://www.env.gov.bc.ca/esd/distdata/ecosystems/TEI_Scanned_Maps/F01/F01-4928","http://www.env.gov.bc.ca/esd/distdata/ecosystems/TEI_Scanned_Maps/F01/F01-4928")</f>
        <v>http://www.env.gov.bc.ca/esd/distdata/ecosystems/TEI_Scanned_Maps/F01/F01-4928</v>
      </c>
      <c r="U887" t="s">
        <v>58</v>
      </c>
      <c r="V887" t="s">
        <v>58</v>
      </c>
      <c r="W887" t="s">
        <v>58</v>
      </c>
      <c r="X887" t="s">
        <v>58</v>
      </c>
      <c r="Y887" t="s">
        <v>58</v>
      </c>
      <c r="Z887" t="s">
        <v>58</v>
      </c>
      <c r="AA887" t="s">
        <v>58</v>
      </c>
      <c r="AC887" t="s">
        <v>58</v>
      </c>
      <c r="AE887" t="s">
        <v>58</v>
      </c>
      <c r="AG887" t="s">
        <v>63</v>
      </c>
      <c r="AH887" s="11" t="str">
        <f t="shared" si="16"/>
        <v>mailto: soilterrain@victoria1.gov.bc.ca</v>
      </c>
    </row>
    <row r="888" spans="1:34">
      <c r="A888" t="s">
        <v>2183</v>
      </c>
      <c r="B888" t="s">
        <v>56</v>
      </c>
      <c r="C888" s="10" t="s">
        <v>1548</v>
      </c>
      <c r="D888" t="s">
        <v>58</v>
      </c>
      <c r="E888" t="s">
        <v>59</v>
      </c>
      <c r="F888" t="s">
        <v>2184</v>
      </c>
      <c r="G888">
        <v>50000</v>
      </c>
      <c r="H888" t="s">
        <v>187</v>
      </c>
      <c r="I888" t="s">
        <v>58</v>
      </c>
      <c r="J888" t="s">
        <v>58</v>
      </c>
      <c r="K888" t="s">
        <v>61</v>
      </c>
      <c r="L888" t="s">
        <v>58</v>
      </c>
      <c r="M888" t="s">
        <v>58</v>
      </c>
      <c r="Q888" t="s">
        <v>58</v>
      </c>
      <c r="R888" s="11" t="str">
        <f>HYPERLINK("\\imagefiles.bcgov\imagery\scanned_maps\moe_terrain_maps\Scanned_T_maps_all\F01\F01-4929","\\imagefiles.bcgov\imagery\scanned_maps\moe_terrain_maps\Scanned_T_maps_all\F01\F01-4929")</f>
        <v>\\imagefiles.bcgov\imagery\scanned_maps\moe_terrain_maps\Scanned_T_maps_all\F01\F01-4929</v>
      </c>
      <c r="S888" t="s">
        <v>62</v>
      </c>
      <c r="T888" s="11" t="str">
        <f>HYPERLINK("http://www.env.gov.bc.ca/esd/distdata/ecosystems/TEI_Scanned_Maps/F01/F01-4929","http://www.env.gov.bc.ca/esd/distdata/ecosystems/TEI_Scanned_Maps/F01/F01-4929")</f>
        <v>http://www.env.gov.bc.ca/esd/distdata/ecosystems/TEI_Scanned_Maps/F01/F01-4929</v>
      </c>
      <c r="U888" t="s">
        <v>58</v>
      </c>
      <c r="V888" t="s">
        <v>58</v>
      </c>
      <c r="W888" t="s">
        <v>58</v>
      </c>
      <c r="X888" t="s">
        <v>58</v>
      </c>
      <c r="Y888" t="s">
        <v>58</v>
      </c>
      <c r="Z888" t="s">
        <v>58</v>
      </c>
      <c r="AA888" t="s">
        <v>58</v>
      </c>
      <c r="AC888" t="s">
        <v>58</v>
      </c>
      <c r="AE888" t="s">
        <v>58</v>
      </c>
      <c r="AG888" t="s">
        <v>63</v>
      </c>
      <c r="AH888" s="11" t="str">
        <f t="shared" si="16"/>
        <v>mailto: soilterrain@victoria1.gov.bc.ca</v>
      </c>
    </row>
    <row r="889" spans="1:34">
      <c r="A889" t="s">
        <v>2185</v>
      </c>
      <c r="B889" t="s">
        <v>56</v>
      </c>
      <c r="C889" s="10" t="s">
        <v>945</v>
      </c>
      <c r="D889" t="s">
        <v>58</v>
      </c>
      <c r="E889" t="s">
        <v>59</v>
      </c>
      <c r="F889" t="s">
        <v>2186</v>
      </c>
      <c r="G889">
        <v>50000</v>
      </c>
      <c r="H889" t="s">
        <v>187</v>
      </c>
      <c r="I889" t="s">
        <v>58</v>
      </c>
      <c r="J889" t="s">
        <v>58</v>
      </c>
      <c r="K889" t="s">
        <v>61</v>
      </c>
      <c r="L889" t="s">
        <v>58</v>
      </c>
      <c r="M889" t="s">
        <v>58</v>
      </c>
      <c r="Q889" t="s">
        <v>58</v>
      </c>
      <c r="R889" s="11" t="str">
        <f>HYPERLINK("\\imagefiles.bcgov\imagery\scanned_maps\moe_terrain_maps\Scanned_T_maps_all\F01\F01-4930","\\imagefiles.bcgov\imagery\scanned_maps\moe_terrain_maps\Scanned_T_maps_all\F01\F01-4930")</f>
        <v>\\imagefiles.bcgov\imagery\scanned_maps\moe_terrain_maps\Scanned_T_maps_all\F01\F01-4930</v>
      </c>
      <c r="S889" t="s">
        <v>62</v>
      </c>
      <c r="T889" s="11" t="str">
        <f>HYPERLINK("http://www.env.gov.bc.ca/esd/distdata/ecosystems/TEI_Scanned_Maps/F01/F01-4930","http://www.env.gov.bc.ca/esd/distdata/ecosystems/TEI_Scanned_Maps/F01/F01-4930")</f>
        <v>http://www.env.gov.bc.ca/esd/distdata/ecosystems/TEI_Scanned_Maps/F01/F01-4930</v>
      </c>
      <c r="U889" t="s">
        <v>58</v>
      </c>
      <c r="V889" t="s">
        <v>58</v>
      </c>
      <c r="W889" t="s">
        <v>58</v>
      </c>
      <c r="X889" t="s">
        <v>58</v>
      </c>
      <c r="Y889" t="s">
        <v>58</v>
      </c>
      <c r="Z889" t="s">
        <v>58</v>
      </c>
      <c r="AA889" t="s">
        <v>58</v>
      </c>
      <c r="AC889" t="s">
        <v>58</v>
      </c>
      <c r="AE889" t="s">
        <v>58</v>
      </c>
      <c r="AG889" t="s">
        <v>63</v>
      </c>
      <c r="AH889" s="11" t="str">
        <f t="shared" si="16"/>
        <v>mailto: soilterrain@victoria1.gov.bc.ca</v>
      </c>
    </row>
    <row r="890" spans="1:34">
      <c r="A890" t="s">
        <v>2187</v>
      </c>
      <c r="B890" t="s">
        <v>56</v>
      </c>
      <c r="C890" s="10" t="s">
        <v>1555</v>
      </c>
      <c r="D890" t="s">
        <v>58</v>
      </c>
      <c r="E890" t="s">
        <v>59</v>
      </c>
      <c r="F890" t="s">
        <v>2188</v>
      </c>
      <c r="G890">
        <v>50000</v>
      </c>
      <c r="H890" t="s">
        <v>187</v>
      </c>
      <c r="I890" t="s">
        <v>58</v>
      </c>
      <c r="J890" t="s">
        <v>58</v>
      </c>
      <c r="K890" t="s">
        <v>61</v>
      </c>
      <c r="L890" t="s">
        <v>58</v>
      </c>
      <c r="M890" t="s">
        <v>58</v>
      </c>
      <c r="Q890" t="s">
        <v>58</v>
      </c>
      <c r="R890" s="11" t="str">
        <f>HYPERLINK("\\imagefiles.bcgov\imagery\scanned_maps\moe_terrain_maps\Scanned_T_maps_all\F01\F01-4931","\\imagefiles.bcgov\imagery\scanned_maps\moe_terrain_maps\Scanned_T_maps_all\F01\F01-4931")</f>
        <v>\\imagefiles.bcgov\imagery\scanned_maps\moe_terrain_maps\Scanned_T_maps_all\F01\F01-4931</v>
      </c>
      <c r="S890" t="s">
        <v>62</v>
      </c>
      <c r="T890" s="11" t="str">
        <f>HYPERLINK("http://www.env.gov.bc.ca/esd/distdata/ecosystems/TEI_Scanned_Maps/F01/F01-4931","http://www.env.gov.bc.ca/esd/distdata/ecosystems/TEI_Scanned_Maps/F01/F01-4931")</f>
        <v>http://www.env.gov.bc.ca/esd/distdata/ecosystems/TEI_Scanned_Maps/F01/F01-4931</v>
      </c>
      <c r="U890" t="s">
        <v>58</v>
      </c>
      <c r="V890" t="s">
        <v>58</v>
      </c>
      <c r="W890" t="s">
        <v>58</v>
      </c>
      <c r="X890" t="s">
        <v>58</v>
      </c>
      <c r="Y890" t="s">
        <v>58</v>
      </c>
      <c r="Z890" t="s">
        <v>58</v>
      </c>
      <c r="AA890" t="s">
        <v>58</v>
      </c>
      <c r="AC890" t="s">
        <v>58</v>
      </c>
      <c r="AE890" t="s">
        <v>58</v>
      </c>
      <c r="AG890" t="s">
        <v>63</v>
      </c>
      <c r="AH890" s="11" t="str">
        <f t="shared" si="16"/>
        <v>mailto: soilterrain@victoria1.gov.bc.ca</v>
      </c>
    </row>
    <row r="891" spans="1:34">
      <c r="A891" t="s">
        <v>2189</v>
      </c>
      <c r="B891" t="s">
        <v>56</v>
      </c>
      <c r="C891" s="10" t="s">
        <v>2190</v>
      </c>
      <c r="D891" t="s">
        <v>58</v>
      </c>
      <c r="E891" t="s">
        <v>59</v>
      </c>
      <c r="F891" t="s">
        <v>2191</v>
      </c>
      <c r="G891">
        <v>50000</v>
      </c>
      <c r="H891" t="s">
        <v>187</v>
      </c>
      <c r="I891" t="s">
        <v>58</v>
      </c>
      <c r="J891" t="s">
        <v>58</v>
      </c>
      <c r="K891" t="s">
        <v>61</v>
      </c>
      <c r="L891" t="s">
        <v>58</v>
      </c>
      <c r="M891" t="s">
        <v>58</v>
      </c>
      <c r="Q891" t="s">
        <v>58</v>
      </c>
      <c r="R891" s="11" t="str">
        <f>HYPERLINK("\\imagefiles.bcgov\imagery\scanned_maps\moe_terrain_maps\Scanned_T_maps_all\F01\F01-4932","\\imagefiles.bcgov\imagery\scanned_maps\moe_terrain_maps\Scanned_T_maps_all\F01\F01-4932")</f>
        <v>\\imagefiles.bcgov\imagery\scanned_maps\moe_terrain_maps\Scanned_T_maps_all\F01\F01-4932</v>
      </c>
      <c r="S891" t="s">
        <v>62</v>
      </c>
      <c r="T891" s="11" t="str">
        <f>HYPERLINK("http://www.env.gov.bc.ca/esd/distdata/ecosystems/TEI_Scanned_Maps/F01/F01-4932","http://www.env.gov.bc.ca/esd/distdata/ecosystems/TEI_Scanned_Maps/F01/F01-4932")</f>
        <v>http://www.env.gov.bc.ca/esd/distdata/ecosystems/TEI_Scanned_Maps/F01/F01-4932</v>
      </c>
      <c r="U891" t="s">
        <v>58</v>
      </c>
      <c r="V891" t="s">
        <v>58</v>
      </c>
      <c r="W891" t="s">
        <v>58</v>
      </c>
      <c r="X891" t="s">
        <v>58</v>
      </c>
      <c r="Y891" t="s">
        <v>58</v>
      </c>
      <c r="Z891" t="s">
        <v>58</v>
      </c>
      <c r="AA891" t="s">
        <v>58</v>
      </c>
      <c r="AC891" t="s">
        <v>58</v>
      </c>
      <c r="AE891" t="s">
        <v>58</v>
      </c>
      <c r="AG891" t="s">
        <v>63</v>
      </c>
      <c r="AH891" s="11" t="str">
        <f t="shared" si="16"/>
        <v>mailto: soilterrain@victoria1.gov.bc.ca</v>
      </c>
    </row>
    <row r="892" spans="1:34">
      <c r="A892" t="s">
        <v>2192</v>
      </c>
      <c r="B892" t="s">
        <v>56</v>
      </c>
      <c r="C892" s="10" t="s">
        <v>603</v>
      </c>
      <c r="D892" t="s">
        <v>58</v>
      </c>
      <c r="E892" t="s">
        <v>59</v>
      </c>
      <c r="F892" t="s">
        <v>2193</v>
      </c>
      <c r="G892">
        <v>50000</v>
      </c>
      <c r="H892" t="s">
        <v>187</v>
      </c>
      <c r="I892" t="s">
        <v>58</v>
      </c>
      <c r="J892" t="s">
        <v>58</v>
      </c>
      <c r="K892" t="s">
        <v>61</v>
      </c>
      <c r="L892" t="s">
        <v>58</v>
      </c>
      <c r="M892" t="s">
        <v>58</v>
      </c>
      <c r="Q892" t="s">
        <v>58</v>
      </c>
      <c r="R892" s="11" t="str">
        <f>HYPERLINK("\\imagefiles.bcgov\imagery\scanned_maps\moe_terrain_maps\Scanned_T_maps_all\F01\F01-4933","\\imagefiles.bcgov\imagery\scanned_maps\moe_terrain_maps\Scanned_T_maps_all\F01\F01-4933")</f>
        <v>\\imagefiles.bcgov\imagery\scanned_maps\moe_terrain_maps\Scanned_T_maps_all\F01\F01-4933</v>
      </c>
      <c r="S892" t="s">
        <v>62</v>
      </c>
      <c r="T892" s="11" t="str">
        <f>HYPERLINK("http://www.env.gov.bc.ca/esd/distdata/ecosystems/TEI_Scanned_Maps/F01/F01-4933","http://www.env.gov.bc.ca/esd/distdata/ecosystems/TEI_Scanned_Maps/F01/F01-4933")</f>
        <v>http://www.env.gov.bc.ca/esd/distdata/ecosystems/TEI_Scanned_Maps/F01/F01-4933</v>
      </c>
      <c r="U892" t="s">
        <v>58</v>
      </c>
      <c r="V892" t="s">
        <v>58</v>
      </c>
      <c r="W892" t="s">
        <v>58</v>
      </c>
      <c r="X892" t="s">
        <v>58</v>
      </c>
      <c r="Y892" t="s">
        <v>58</v>
      </c>
      <c r="Z892" t="s">
        <v>58</v>
      </c>
      <c r="AA892" t="s">
        <v>58</v>
      </c>
      <c r="AC892" t="s">
        <v>58</v>
      </c>
      <c r="AE892" t="s">
        <v>58</v>
      </c>
      <c r="AG892" t="s">
        <v>63</v>
      </c>
      <c r="AH892" s="11" t="str">
        <f t="shared" si="16"/>
        <v>mailto: soilterrain@victoria1.gov.bc.ca</v>
      </c>
    </row>
    <row r="893" spans="1:34">
      <c r="A893" t="s">
        <v>2194</v>
      </c>
      <c r="B893" t="s">
        <v>56</v>
      </c>
      <c r="C893" s="10" t="s">
        <v>606</v>
      </c>
      <c r="D893" t="s">
        <v>58</v>
      </c>
      <c r="E893" t="s">
        <v>59</v>
      </c>
      <c r="F893" t="s">
        <v>2195</v>
      </c>
      <c r="G893">
        <v>50000</v>
      </c>
      <c r="H893" t="s">
        <v>187</v>
      </c>
      <c r="I893" t="s">
        <v>58</v>
      </c>
      <c r="J893" t="s">
        <v>58</v>
      </c>
      <c r="K893" t="s">
        <v>61</v>
      </c>
      <c r="L893" t="s">
        <v>58</v>
      </c>
      <c r="M893" t="s">
        <v>58</v>
      </c>
      <c r="Q893" t="s">
        <v>58</v>
      </c>
      <c r="R893" s="11" t="str">
        <f>HYPERLINK("\\imagefiles.bcgov\imagery\scanned_maps\moe_terrain_maps\Scanned_T_maps_all\F01\F01-4934","\\imagefiles.bcgov\imagery\scanned_maps\moe_terrain_maps\Scanned_T_maps_all\F01\F01-4934")</f>
        <v>\\imagefiles.bcgov\imagery\scanned_maps\moe_terrain_maps\Scanned_T_maps_all\F01\F01-4934</v>
      </c>
      <c r="S893" t="s">
        <v>62</v>
      </c>
      <c r="T893" s="11" t="str">
        <f>HYPERLINK("http://www.env.gov.bc.ca/esd/distdata/ecosystems/TEI_Scanned_Maps/F01/F01-4934","http://www.env.gov.bc.ca/esd/distdata/ecosystems/TEI_Scanned_Maps/F01/F01-4934")</f>
        <v>http://www.env.gov.bc.ca/esd/distdata/ecosystems/TEI_Scanned_Maps/F01/F01-4934</v>
      </c>
      <c r="U893" t="s">
        <v>58</v>
      </c>
      <c r="V893" t="s">
        <v>58</v>
      </c>
      <c r="W893" t="s">
        <v>58</v>
      </c>
      <c r="X893" t="s">
        <v>58</v>
      </c>
      <c r="Y893" t="s">
        <v>58</v>
      </c>
      <c r="Z893" t="s">
        <v>58</v>
      </c>
      <c r="AA893" t="s">
        <v>58</v>
      </c>
      <c r="AC893" t="s">
        <v>58</v>
      </c>
      <c r="AE893" t="s">
        <v>58</v>
      </c>
      <c r="AG893" t="s">
        <v>63</v>
      </c>
      <c r="AH893" s="11" t="str">
        <f t="shared" si="16"/>
        <v>mailto: soilterrain@victoria1.gov.bc.ca</v>
      </c>
    </row>
    <row r="894" spans="1:34">
      <c r="A894" t="s">
        <v>2196</v>
      </c>
      <c r="B894" t="s">
        <v>56</v>
      </c>
      <c r="C894" s="10" t="s">
        <v>2197</v>
      </c>
      <c r="D894" t="s">
        <v>58</v>
      </c>
      <c r="E894" t="s">
        <v>59</v>
      </c>
      <c r="F894" t="s">
        <v>2198</v>
      </c>
      <c r="G894">
        <v>50000</v>
      </c>
      <c r="H894" t="s">
        <v>187</v>
      </c>
      <c r="I894" t="s">
        <v>58</v>
      </c>
      <c r="J894" t="s">
        <v>58</v>
      </c>
      <c r="K894" t="s">
        <v>61</v>
      </c>
      <c r="L894" t="s">
        <v>58</v>
      </c>
      <c r="M894" t="s">
        <v>58</v>
      </c>
      <c r="Q894" t="s">
        <v>58</v>
      </c>
      <c r="R894" s="11" t="str">
        <f>HYPERLINK("\\imagefiles.bcgov\imagery\scanned_maps\moe_terrain_maps\Scanned_T_maps_all\F01\F01-4935","\\imagefiles.bcgov\imagery\scanned_maps\moe_terrain_maps\Scanned_T_maps_all\F01\F01-4935")</f>
        <v>\\imagefiles.bcgov\imagery\scanned_maps\moe_terrain_maps\Scanned_T_maps_all\F01\F01-4935</v>
      </c>
      <c r="S894" t="s">
        <v>62</v>
      </c>
      <c r="T894" s="11" t="str">
        <f>HYPERLINK("http://www.env.gov.bc.ca/esd/distdata/ecosystems/TEI_Scanned_Maps/F01/F01-4935","http://www.env.gov.bc.ca/esd/distdata/ecosystems/TEI_Scanned_Maps/F01/F01-4935")</f>
        <v>http://www.env.gov.bc.ca/esd/distdata/ecosystems/TEI_Scanned_Maps/F01/F01-4935</v>
      </c>
      <c r="U894" t="s">
        <v>58</v>
      </c>
      <c r="V894" t="s">
        <v>58</v>
      </c>
      <c r="W894" t="s">
        <v>58</v>
      </c>
      <c r="X894" t="s">
        <v>58</v>
      </c>
      <c r="Y894" t="s">
        <v>58</v>
      </c>
      <c r="Z894" t="s">
        <v>58</v>
      </c>
      <c r="AA894" t="s">
        <v>58</v>
      </c>
      <c r="AC894" t="s">
        <v>58</v>
      </c>
      <c r="AE894" t="s">
        <v>58</v>
      </c>
      <c r="AG894" t="s">
        <v>63</v>
      </c>
      <c r="AH894" s="11" t="str">
        <f t="shared" si="16"/>
        <v>mailto: soilterrain@victoria1.gov.bc.ca</v>
      </c>
    </row>
    <row r="895" spans="1:34">
      <c r="A895" t="s">
        <v>2199</v>
      </c>
      <c r="B895" t="s">
        <v>56</v>
      </c>
      <c r="C895" s="10" t="s">
        <v>609</v>
      </c>
      <c r="D895" t="s">
        <v>58</v>
      </c>
      <c r="E895" t="s">
        <v>59</v>
      </c>
      <c r="F895" t="s">
        <v>2200</v>
      </c>
      <c r="G895">
        <v>50000</v>
      </c>
      <c r="H895" t="s">
        <v>187</v>
      </c>
      <c r="I895" t="s">
        <v>58</v>
      </c>
      <c r="J895" t="s">
        <v>58</v>
      </c>
      <c r="K895" t="s">
        <v>61</v>
      </c>
      <c r="L895" t="s">
        <v>58</v>
      </c>
      <c r="M895" t="s">
        <v>58</v>
      </c>
      <c r="Q895" t="s">
        <v>58</v>
      </c>
      <c r="R895" s="11" t="str">
        <f>HYPERLINK("\\imagefiles.bcgov\imagery\scanned_maps\moe_terrain_maps\Scanned_T_maps_all\F01\F01-4936","\\imagefiles.bcgov\imagery\scanned_maps\moe_terrain_maps\Scanned_T_maps_all\F01\F01-4936")</f>
        <v>\\imagefiles.bcgov\imagery\scanned_maps\moe_terrain_maps\Scanned_T_maps_all\F01\F01-4936</v>
      </c>
      <c r="S895" t="s">
        <v>62</v>
      </c>
      <c r="T895" s="11" t="str">
        <f>HYPERLINK("http://www.env.gov.bc.ca/esd/distdata/ecosystems/TEI_Scanned_Maps/F01/F01-4936","http://www.env.gov.bc.ca/esd/distdata/ecosystems/TEI_Scanned_Maps/F01/F01-4936")</f>
        <v>http://www.env.gov.bc.ca/esd/distdata/ecosystems/TEI_Scanned_Maps/F01/F01-4936</v>
      </c>
      <c r="U895" t="s">
        <v>58</v>
      </c>
      <c r="V895" t="s">
        <v>58</v>
      </c>
      <c r="W895" t="s">
        <v>58</v>
      </c>
      <c r="X895" t="s">
        <v>58</v>
      </c>
      <c r="Y895" t="s">
        <v>58</v>
      </c>
      <c r="Z895" t="s">
        <v>58</v>
      </c>
      <c r="AA895" t="s">
        <v>58</v>
      </c>
      <c r="AC895" t="s">
        <v>58</v>
      </c>
      <c r="AE895" t="s">
        <v>58</v>
      </c>
      <c r="AG895" t="s">
        <v>63</v>
      </c>
      <c r="AH895" s="11" t="str">
        <f t="shared" si="16"/>
        <v>mailto: soilterrain@victoria1.gov.bc.ca</v>
      </c>
    </row>
    <row r="896" spans="1:34">
      <c r="A896" t="s">
        <v>2201</v>
      </c>
      <c r="B896" t="s">
        <v>56</v>
      </c>
      <c r="C896" s="10" t="s">
        <v>1211</v>
      </c>
      <c r="D896" t="s">
        <v>58</v>
      </c>
      <c r="E896" t="s">
        <v>497</v>
      </c>
      <c r="F896" t="s">
        <v>2202</v>
      </c>
      <c r="G896">
        <v>50000</v>
      </c>
      <c r="H896">
        <v>1979</v>
      </c>
      <c r="I896" t="s">
        <v>58</v>
      </c>
      <c r="J896" t="s">
        <v>58</v>
      </c>
      <c r="K896" t="s">
        <v>58</v>
      </c>
      <c r="L896" t="s">
        <v>58</v>
      </c>
      <c r="M896" t="s">
        <v>58</v>
      </c>
      <c r="N896" t="s">
        <v>61</v>
      </c>
      <c r="Q896" t="s">
        <v>58</v>
      </c>
      <c r="R896" s="11" t="str">
        <f>HYPERLINK("\\imagefiles.bcgov\imagery\scanned_maps\moe_terrain_maps\Scanned_T_maps_all\I11\I11-3000","\\imagefiles.bcgov\imagery\scanned_maps\moe_terrain_maps\Scanned_T_maps_all\I11\I11-3000")</f>
        <v>\\imagefiles.bcgov\imagery\scanned_maps\moe_terrain_maps\Scanned_T_maps_all\I11\I11-3000</v>
      </c>
      <c r="S896" t="s">
        <v>62</v>
      </c>
      <c r="T896" s="11" t="str">
        <f>HYPERLINK("http://www.env.gov.bc.ca/esd/distdata/ecosystems/TEI_Scanned_Maps/I11/I11-3000","http://www.env.gov.bc.ca/esd/distdata/ecosystems/TEI_Scanned_Maps/I11/I11-3000")</f>
        <v>http://www.env.gov.bc.ca/esd/distdata/ecosystems/TEI_Scanned_Maps/I11/I11-3000</v>
      </c>
      <c r="U896" t="s">
        <v>58</v>
      </c>
      <c r="V896" t="s">
        <v>58</v>
      </c>
      <c r="W896" t="s">
        <v>58</v>
      </c>
      <c r="X896" t="s">
        <v>58</v>
      </c>
      <c r="Y896" t="s">
        <v>58</v>
      </c>
      <c r="Z896" t="s">
        <v>58</v>
      </c>
      <c r="AA896" t="s">
        <v>58</v>
      </c>
      <c r="AC896" t="s">
        <v>58</v>
      </c>
      <c r="AE896" t="s">
        <v>58</v>
      </c>
      <c r="AG896" t="s">
        <v>63</v>
      </c>
      <c r="AH896" s="11" t="str">
        <f t="shared" si="16"/>
        <v>mailto: soilterrain@victoria1.gov.bc.ca</v>
      </c>
    </row>
    <row r="897" spans="1:34">
      <c r="A897" t="s">
        <v>2203</v>
      </c>
      <c r="B897" t="s">
        <v>56</v>
      </c>
      <c r="C897" s="10" t="s">
        <v>2204</v>
      </c>
      <c r="D897" t="s">
        <v>58</v>
      </c>
      <c r="E897" t="s">
        <v>497</v>
      </c>
      <c r="F897" t="s">
        <v>2205</v>
      </c>
      <c r="G897">
        <v>50000</v>
      </c>
      <c r="H897">
        <v>1979</v>
      </c>
      <c r="I897" t="s">
        <v>58</v>
      </c>
      <c r="J897" t="s">
        <v>58</v>
      </c>
      <c r="K897" t="s">
        <v>58</v>
      </c>
      <c r="L897" t="s">
        <v>58</v>
      </c>
      <c r="M897" t="s">
        <v>58</v>
      </c>
      <c r="N897" t="s">
        <v>61</v>
      </c>
      <c r="Q897" t="s">
        <v>58</v>
      </c>
      <c r="R897" s="11" t="str">
        <f>HYPERLINK("\\imagefiles.bcgov\imagery\scanned_maps\moe_terrain_maps\Scanned_T_maps_all\I11\I11-3001","\\imagefiles.bcgov\imagery\scanned_maps\moe_terrain_maps\Scanned_T_maps_all\I11\I11-3001")</f>
        <v>\\imagefiles.bcgov\imagery\scanned_maps\moe_terrain_maps\Scanned_T_maps_all\I11\I11-3001</v>
      </c>
      <c r="S897" t="s">
        <v>62</v>
      </c>
      <c r="T897" s="11" t="str">
        <f>HYPERLINK("http://www.env.gov.bc.ca/esd/distdata/ecosystems/TEI_Scanned_Maps/I11/I11-3001","http://www.env.gov.bc.ca/esd/distdata/ecosystems/TEI_Scanned_Maps/I11/I11-3001")</f>
        <v>http://www.env.gov.bc.ca/esd/distdata/ecosystems/TEI_Scanned_Maps/I11/I11-3001</v>
      </c>
      <c r="U897" t="s">
        <v>58</v>
      </c>
      <c r="V897" t="s">
        <v>58</v>
      </c>
      <c r="W897" t="s">
        <v>58</v>
      </c>
      <c r="X897" t="s">
        <v>58</v>
      </c>
      <c r="Y897" t="s">
        <v>58</v>
      </c>
      <c r="Z897" t="s">
        <v>58</v>
      </c>
      <c r="AA897" t="s">
        <v>58</v>
      </c>
      <c r="AC897" t="s">
        <v>58</v>
      </c>
      <c r="AE897" t="s">
        <v>58</v>
      </c>
      <c r="AG897" t="s">
        <v>63</v>
      </c>
      <c r="AH897" s="11" t="str">
        <f t="shared" si="16"/>
        <v>mailto: soilterrain@victoria1.gov.bc.ca</v>
      </c>
    </row>
    <row r="898" spans="1:34">
      <c r="A898" t="s">
        <v>2206</v>
      </c>
      <c r="B898" t="s">
        <v>56</v>
      </c>
      <c r="C898" s="10" t="s">
        <v>1213</v>
      </c>
      <c r="D898" t="s">
        <v>58</v>
      </c>
      <c r="E898" t="s">
        <v>497</v>
      </c>
      <c r="F898" t="s">
        <v>2207</v>
      </c>
      <c r="G898">
        <v>50000</v>
      </c>
      <c r="H898">
        <v>1979</v>
      </c>
      <c r="I898" t="s">
        <v>58</v>
      </c>
      <c r="J898" t="s">
        <v>58</v>
      </c>
      <c r="K898" t="s">
        <v>58</v>
      </c>
      <c r="L898" t="s">
        <v>58</v>
      </c>
      <c r="M898" t="s">
        <v>58</v>
      </c>
      <c r="N898" t="s">
        <v>61</v>
      </c>
      <c r="Q898" t="s">
        <v>58</v>
      </c>
      <c r="R898" s="11" t="str">
        <f>HYPERLINK("\\imagefiles.bcgov\imagery\scanned_maps\moe_terrain_maps\Scanned_T_maps_all\I11\I11-3002","\\imagefiles.bcgov\imagery\scanned_maps\moe_terrain_maps\Scanned_T_maps_all\I11\I11-3002")</f>
        <v>\\imagefiles.bcgov\imagery\scanned_maps\moe_terrain_maps\Scanned_T_maps_all\I11\I11-3002</v>
      </c>
      <c r="S898" t="s">
        <v>62</v>
      </c>
      <c r="T898" s="11" t="str">
        <f>HYPERLINK("http://www.env.gov.bc.ca/esd/distdata/ecosystems/TEI_Scanned_Maps/I11/I11-3002","http://www.env.gov.bc.ca/esd/distdata/ecosystems/TEI_Scanned_Maps/I11/I11-3002")</f>
        <v>http://www.env.gov.bc.ca/esd/distdata/ecosystems/TEI_Scanned_Maps/I11/I11-3002</v>
      </c>
      <c r="U898" t="s">
        <v>58</v>
      </c>
      <c r="V898" t="s">
        <v>58</v>
      </c>
      <c r="W898" t="s">
        <v>58</v>
      </c>
      <c r="X898" t="s">
        <v>58</v>
      </c>
      <c r="Y898" t="s">
        <v>58</v>
      </c>
      <c r="Z898" t="s">
        <v>58</v>
      </c>
      <c r="AA898" t="s">
        <v>58</v>
      </c>
      <c r="AC898" t="s">
        <v>58</v>
      </c>
      <c r="AE898" t="s">
        <v>58</v>
      </c>
      <c r="AG898" t="s">
        <v>63</v>
      </c>
      <c r="AH898" s="11" t="str">
        <f t="shared" ref="AH898:AH961" si="17">HYPERLINK("mailto: soilterrain@victoria1.gov.bc.ca","mailto: soilterrain@victoria1.gov.bc.ca")</f>
        <v>mailto: soilterrain@victoria1.gov.bc.ca</v>
      </c>
    </row>
    <row r="899" spans="1:34">
      <c r="A899" t="s">
        <v>2208</v>
      </c>
      <c r="B899" t="s">
        <v>56</v>
      </c>
      <c r="C899" s="10" t="s">
        <v>1215</v>
      </c>
      <c r="D899" t="s">
        <v>58</v>
      </c>
      <c r="E899" t="s">
        <v>497</v>
      </c>
      <c r="F899" t="s">
        <v>2209</v>
      </c>
      <c r="G899">
        <v>50000</v>
      </c>
      <c r="H899">
        <v>1979</v>
      </c>
      <c r="I899" t="s">
        <v>58</v>
      </c>
      <c r="J899" t="s">
        <v>58</v>
      </c>
      <c r="K899" t="s">
        <v>58</v>
      </c>
      <c r="L899" t="s">
        <v>58</v>
      </c>
      <c r="M899" t="s">
        <v>58</v>
      </c>
      <c r="N899" t="s">
        <v>61</v>
      </c>
      <c r="Q899" t="s">
        <v>58</v>
      </c>
      <c r="R899" s="11" t="str">
        <f>HYPERLINK("\\imagefiles.bcgov\imagery\scanned_maps\moe_terrain_maps\Scanned_T_maps_all\I11\I11-3003","\\imagefiles.bcgov\imagery\scanned_maps\moe_terrain_maps\Scanned_T_maps_all\I11\I11-3003")</f>
        <v>\\imagefiles.bcgov\imagery\scanned_maps\moe_terrain_maps\Scanned_T_maps_all\I11\I11-3003</v>
      </c>
      <c r="S899" t="s">
        <v>62</v>
      </c>
      <c r="T899" s="11" t="str">
        <f>HYPERLINK("http://www.env.gov.bc.ca/esd/distdata/ecosystems/TEI_Scanned_Maps/I11/I11-3003","http://www.env.gov.bc.ca/esd/distdata/ecosystems/TEI_Scanned_Maps/I11/I11-3003")</f>
        <v>http://www.env.gov.bc.ca/esd/distdata/ecosystems/TEI_Scanned_Maps/I11/I11-3003</v>
      </c>
      <c r="U899" t="s">
        <v>58</v>
      </c>
      <c r="V899" t="s">
        <v>58</v>
      </c>
      <c r="W899" t="s">
        <v>58</v>
      </c>
      <c r="X899" t="s">
        <v>58</v>
      </c>
      <c r="Y899" t="s">
        <v>58</v>
      </c>
      <c r="Z899" t="s">
        <v>58</v>
      </c>
      <c r="AA899" t="s">
        <v>58</v>
      </c>
      <c r="AC899" t="s">
        <v>58</v>
      </c>
      <c r="AE899" t="s">
        <v>58</v>
      </c>
      <c r="AG899" t="s">
        <v>63</v>
      </c>
      <c r="AH899" s="11" t="str">
        <f t="shared" si="17"/>
        <v>mailto: soilterrain@victoria1.gov.bc.ca</v>
      </c>
    </row>
    <row r="900" spans="1:34">
      <c r="A900" t="s">
        <v>2210</v>
      </c>
      <c r="B900" t="s">
        <v>56</v>
      </c>
      <c r="C900" s="10" t="s">
        <v>1218</v>
      </c>
      <c r="D900" t="s">
        <v>58</v>
      </c>
      <c r="E900" t="s">
        <v>497</v>
      </c>
      <c r="F900" t="s">
        <v>2211</v>
      </c>
      <c r="G900">
        <v>50000</v>
      </c>
      <c r="H900">
        <v>1979</v>
      </c>
      <c r="I900" t="s">
        <v>58</v>
      </c>
      <c r="J900" t="s">
        <v>58</v>
      </c>
      <c r="K900" t="s">
        <v>58</v>
      </c>
      <c r="L900" t="s">
        <v>58</v>
      </c>
      <c r="M900" t="s">
        <v>58</v>
      </c>
      <c r="N900" t="s">
        <v>61</v>
      </c>
      <c r="Q900" t="s">
        <v>58</v>
      </c>
      <c r="R900" s="11" t="str">
        <f>HYPERLINK("\\imagefiles.bcgov\imagery\scanned_maps\moe_terrain_maps\Scanned_T_maps_all\I11\I11-3004","\\imagefiles.bcgov\imagery\scanned_maps\moe_terrain_maps\Scanned_T_maps_all\I11\I11-3004")</f>
        <v>\\imagefiles.bcgov\imagery\scanned_maps\moe_terrain_maps\Scanned_T_maps_all\I11\I11-3004</v>
      </c>
      <c r="S900" t="s">
        <v>62</v>
      </c>
      <c r="T900" s="11" t="str">
        <f>HYPERLINK("http://www.env.gov.bc.ca/esd/distdata/ecosystems/TEI_Scanned_Maps/I11/I11-3004","http://www.env.gov.bc.ca/esd/distdata/ecosystems/TEI_Scanned_Maps/I11/I11-3004")</f>
        <v>http://www.env.gov.bc.ca/esd/distdata/ecosystems/TEI_Scanned_Maps/I11/I11-3004</v>
      </c>
      <c r="U900" t="s">
        <v>58</v>
      </c>
      <c r="V900" t="s">
        <v>58</v>
      </c>
      <c r="W900" t="s">
        <v>58</v>
      </c>
      <c r="X900" t="s">
        <v>58</v>
      </c>
      <c r="Y900" t="s">
        <v>58</v>
      </c>
      <c r="Z900" t="s">
        <v>58</v>
      </c>
      <c r="AA900" t="s">
        <v>58</v>
      </c>
      <c r="AC900" t="s">
        <v>58</v>
      </c>
      <c r="AE900" t="s">
        <v>58</v>
      </c>
      <c r="AG900" t="s">
        <v>63</v>
      </c>
      <c r="AH900" s="11" t="str">
        <f t="shared" si="17"/>
        <v>mailto: soilterrain@victoria1.gov.bc.ca</v>
      </c>
    </row>
    <row r="901" spans="1:34">
      <c r="A901" t="s">
        <v>2212</v>
      </c>
      <c r="B901" t="s">
        <v>56</v>
      </c>
      <c r="C901" s="10" t="s">
        <v>1220</v>
      </c>
      <c r="D901" t="s">
        <v>58</v>
      </c>
      <c r="E901" t="s">
        <v>497</v>
      </c>
      <c r="F901" t="s">
        <v>2213</v>
      </c>
      <c r="G901">
        <v>50000</v>
      </c>
      <c r="H901">
        <v>1979</v>
      </c>
      <c r="I901" t="s">
        <v>58</v>
      </c>
      <c r="J901" t="s">
        <v>58</v>
      </c>
      <c r="K901" t="s">
        <v>58</v>
      </c>
      <c r="L901" t="s">
        <v>58</v>
      </c>
      <c r="M901" t="s">
        <v>58</v>
      </c>
      <c r="N901" t="s">
        <v>61</v>
      </c>
      <c r="Q901" t="s">
        <v>58</v>
      </c>
      <c r="R901" s="11" t="str">
        <f>HYPERLINK("\\imagefiles.bcgov\imagery\scanned_maps\moe_terrain_maps\Scanned_T_maps_all\I11\I11-3005","\\imagefiles.bcgov\imagery\scanned_maps\moe_terrain_maps\Scanned_T_maps_all\I11\I11-3005")</f>
        <v>\\imagefiles.bcgov\imagery\scanned_maps\moe_terrain_maps\Scanned_T_maps_all\I11\I11-3005</v>
      </c>
      <c r="S901" t="s">
        <v>62</v>
      </c>
      <c r="T901" s="11" t="str">
        <f>HYPERLINK("http://www.env.gov.bc.ca/esd/distdata/ecosystems/TEI_Scanned_Maps/I11/I11-3005","http://www.env.gov.bc.ca/esd/distdata/ecosystems/TEI_Scanned_Maps/I11/I11-3005")</f>
        <v>http://www.env.gov.bc.ca/esd/distdata/ecosystems/TEI_Scanned_Maps/I11/I11-3005</v>
      </c>
      <c r="U901" t="s">
        <v>58</v>
      </c>
      <c r="V901" t="s">
        <v>58</v>
      </c>
      <c r="W901" t="s">
        <v>58</v>
      </c>
      <c r="X901" t="s">
        <v>58</v>
      </c>
      <c r="Y901" t="s">
        <v>58</v>
      </c>
      <c r="Z901" t="s">
        <v>58</v>
      </c>
      <c r="AA901" t="s">
        <v>58</v>
      </c>
      <c r="AC901" t="s">
        <v>58</v>
      </c>
      <c r="AE901" t="s">
        <v>58</v>
      </c>
      <c r="AG901" t="s">
        <v>63</v>
      </c>
      <c r="AH901" s="11" t="str">
        <f t="shared" si="17"/>
        <v>mailto: soilterrain@victoria1.gov.bc.ca</v>
      </c>
    </row>
    <row r="902" spans="1:34">
      <c r="A902" t="s">
        <v>2214</v>
      </c>
      <c r="B902" t="s">
        <v>56</v>
      </c>
      <c r="C902" s="10" t="s">
        <v>1224</v>
      </c>
      <c r="D902" t="s">
        <v>58</v>
      </c>
      <c r="E902" t="s">
        <v>497</v>
      </c>
      <c r="F902" t="s">
        <v>2215</v>
      </c>
      <c r="G902">
        <v>50000</v>
      </c>
      <c r="H902">
        <v>1979</v>
      </c>
      <c r="I902" t="s">
        <v>58</v>
      </c>
      <c r="J902" t="s">
        <v>58</v>
      </c>
      <c r="K902" t="s">
        <v>58</v>
      </c>
      <c r="L902" t="s">
        <v>58</v>
      </c>
      <c r="M902" t="s">
        <v>58</v>
      </c>
      <c r="N902" t="s">
        <v>61</v>
      </c>
      <c r="Q902" t="s">
        <v>58</v>
      </c>
      <c r="R902" s="11" t="str">
        <f>HYPERLINK("\\imagefiles.bcgov\imagery\scanned_maps\moe_terrain_maps\Scanned_T_maps_all\I11\I11-3006","\\imagefiles.bcgov\imagery\scanned_maps\moe_terrain_maps\Scanned_T_maps_all\I11\I11-3006")</f>
        <v>\\imagefiles.bcgov\imagery\scanned_maps\moe_terrain_maps\Scanned_T_maps_all\I11\I11-3006</v>
      </c>
      <c r="S902" t="s">
        <v>62</v>
      </c>
      <c r="T902" s="11" t="str">
        <f>HYPERLINK("http://www.env.gov.bc.ca/esd/distdata/ecosystems/TEI_Scanned_Maps/I11/I11-3006","http://www.env.gov.bc.ca/esd/distdata/ecosystems/TEI_Scanned_Maps/I11/I11-3006")</f>
        <v>http://www.env.gov.bc.ca/esd/distdata/ecosystems/TEI_Scanned_Maps/I11/I11-3006</v>
      </c>
      <c r="U902" t="s">
        <v>58</v>
      </c>
      <c r="V902" t="s">
        <v>58</v>
      </c>
      <c r="W902" t="s">
        <v>58</v>
      </c>
      <c r="X902" t="s">
        <v>58</v>
      </c>
      <c r="Y902" t="s">
        <v>58</v>
      </c>
      <c r="Z902" t="s">
        <v>58</v>
      </c>
      <c r="AA902" t="s">
        <v>58</v>
      </c>
      <c r="AC902" t="s">
        <v>58</v>
      </c>
      <c r="AE902" t="s">
        <v>58</v>
      </c>
      <c r="AG902" t="s">
        <v>63</v>
      </c>
      <c r="AH902" s="11" t="str">
        <f t="shared" si="17"/>
        <v>mailto: soilterrain@victoria1.gov.bc.ca</v>
      </c>
    </row>
    <row r="903" spans="1:34">
      <c r="A903" t="s">
        <v>2216</v>
      </c>
      <c r="B903" t="s">
        <v>56</v>
      </c>
      <c r="C903" s="10" t="s">
        <v>1226</v>
      </c>
      <c r="D903" t="s">
        <v>58</v>
      </c>
      <c r="E903" t="s">
        <v>497</v>
      </c>
      <c r="F903" t="s">
        <v>2217</v>
      </c>
      <c r="G903">
        <v>50000</v>
      </c>
      <c r="H903">
        <v>1979</v>
      </c>
      <c r="I903" t="s">
        <v>58</v>
      </c>
      <c r="J903" t="s">
        <v>58</v>
      </c>
      <c r="K903" t="s">
        <v>58</v>
      </c>
      <c r="L903" t="s">
        <v>58</v>
      </c>
      <c r="M903" t="s">
        <v>58</v>
      </c>
      <c r="N903" t="s">
        <v>61</v>
      </c>
      <c r="Q903" t="s">
        <v>58</v>
      </c>
      <c r="R903" s="11" t="str">
        <f>HYPERLINK("\\imagefiles.bcgov\imagery\scanned_maps\moe_terrain_maps\Scanned_T_maps_all\I11\I11-3007","\\imagefiles.bcgov\imagery\scanned_maps\moe_terrain_maps\Scanned_T_maps_all\I11\I11-3007")</f>
        <v>\\imagefiles.bcgov\imagery\scanned_maps\moe_terrain_maps\Scanned_T_maps_all\I11\I11-3007</v>
      </c>
      <c r="S903" t="s">
        <v>62</v>
      </c>
      <c r="T903" s="11" t="str">
        <f>HYPERLINK("http://www.env.gov.bc.ca/esd/distdata/ecosystems/TEI_Scanned_Maps/I11/I11-3007","http://www.env.gov.bc.ca/esd/distdata/ecosystems/TEI_Scanned_Maps/I11/I11-3007")</f>
        <v>http://www.env.gov.bc.ca/esd/distdata/ecosystems/TEI_Scanned_Maps/I11/I11-3007</v>
      </c>
      <c r="U903" t="s">
        <v>58</v>
      </c>
      <c r="V903" t="s">
        <v>58</v>
      </c>
      <c r="W903" t="s">
        <v>58</v>
      </c>
      <c r="X903" t="s">
        <v>58</v>
      </c>
      <c r="Y903" t="s">
        <v>58</v>
      </c>
      <c r="Z903" t="s">
        <v>58</v>
      </c>
      <c r="AA903" t="s">
        <v>58</v>
      </c>
      <c r="AC903" t="s">
        <v>58</v>
      </c>
      <c r="AE903" t="s">
        <v>58</v>
      </c>
      <c r="AG903" t="s">
        <v>63</v>
      </c>
      <c r="AH903" s="11" t="str">
        <f t="shared" si="17"/>
        <v>mailto: soilterrain@victoria1.gov.bc.ca</v>
      </c>
    </row>
    <row r="904" spans="1:34">
      <c r="A904" t="s">
        <v>2218</v>
      </c>
      <c r="B904" t="s">
        <v>56</v>
      </c>
      <c r="C904" s="10" t="s">
        <v>141</v>
      </c>
      <c r="D904" t="s">
        <v>58</v>
      </c>
      <c r="E904" t="s">
        <v>497</v>
      </c>
      <c r="F904" t="s">
        <v>2219</v>
      </c>
      <c r="G904">
        <v>50000</v>
      </c>
      <c r="H904">
        <v>1979</v>
      </c>
      <c r="I904" t="s">
        <v>58</v>
      </c>
      <c r="J904" t="s">
        <v>58</v>
      </c>
      <c r="K904" t="s">
        <v>58</v>
      </c>
      <c r="L904" t="s">
        <v>58</v>
      </c>
      <c r="M904" t="s">
        <v>58</v>
      </c>
      <c r="N904" t="s">
        <v>61</v>
      </c>
      <c r="Q904" t="s">
        <v>58</v>
      </c>
      <c r="R904" s="11" t="str">
        <f>HYPERLINK("\\imagefiles.bcgov\imagery\scanned_maps\moe_terrain_maps\Scanned_T_maps_all\I11\I11-3008","\\imagefiles.bcgov\imagery\scanned_maps\moe_terrain_maps\Scanned_T_maps_all\I11\I11-3008")</f>
        <v>\\imagefiles.bcgov\imagery\scanned_maps\moe_terrain_maps\Scanned_T_maps_all\I11\I11-3008</v>
      </c>
      <c r="S904" t="s">
        <v>62</v>
      </c>
      <c r="T904" s="11" t="str">
        <f>HYPERLINK("http://www.env.gov.bc.ca/esd/distdata/ecosystems/TEI_Scanned_Maps/I11/I11-3008","http://www.env.gov.bc.ca/esd/distdata/ecosystems/TEI_Scanned_Maps/I11/I11-3008")</f>
        <v>http://www.env.gov.bc.ca/esd/distdata/ecosystems/TEI_Scanned_Maps/I11/I11-3008</v>
      </c>
      <c r="U904" t="s">
        <v>58</v>
      </c>
      <c r="V904" t="s">
        <v>58</v>
      </c>
      <c r="W904" t="s">
        <v>58</v>
      </c>
      <c r="X904" t="s">
        <v>58</v>
      </c>
      <c r="Y904" t="s">
        <v>58</v>
      </c>
      <c r="Z904" t="s">
        <v>58</v>
      </c>
      <c r="AA904" t="s">
        <v>58</v>
      </c>
      <c r="AC904" t="s">
        <v>58</v>
      </c>
      <c r="AE904" t="s">
        <v>58</v>
      </c>
      <c r="AG904" t="s">
        <v>63</v>
      </c>
      <c r="AH904" s="11" t="str">
        <f t="shared" si="17"/>
        <v>mailto: soilterrain@victoria1.gov.bc.ca</v>
      </c>
    </row>
    <row r="905" spans="1:34">
      <c r="A905" t="s">
        <v>2220</v>
      </c>
      <c r="B905" t="s">
        <v>56</v>
      </c>
      <c r="C905" s="10" t="s">
        <v>580</v>
      </c>
      <c r="D905" t="s">
        <v>58</v>
      </c>
      <c r="E905" t="s">
        <v>497</v>
      </c>
      <c r="F905" t="s">
        <v>2221</v>
      </c>
      <c r="G905">
        <v>50000</v>
      </c>
      <c r="H905">
        <v>1979</v>
      </c>
      <c r="I905" t="s">
        <v>58</v>
      </c>
      <c r="J905" t="s">
        <v>58</v>
      </c>
      <c r="K905" t="s">
        <v>58</v>
      </c>
      <c r="L905" t="s">
        <v>58</v>
      </c>
      <c r="M905" t="s">
        <v>58</v>
      </c>
      <c r="N905" t="s">
        <v>61</v>
      </c>
      <c r="Q905" t="s">
        <v>58</v>
      </c>
      <c r="R905" s="11" t="str">
        <f>HYPERLINK("\\imagefiles.bcgov\imagery\scanned_maps\moe_terrain_maps\Scanned_T_maps_all\I11\I11-3009","\\imagefiles.bcgov\imagery\scanned_maps\moe_terrain_maps\Scanned_T_maps_all\I11\I11-3009")</f>
        <v>\\imagefiles.bcgov\imagery\scanned_maps\moe_terrain_maps\Scanned_T_maps_all\I11\I11-3009</v>
      </c>
      <c r="S905" t="s">
        <v>62</v>
      </c>
      <c r="T905" s="11" t="str">
        <f>HYPERLINK("http://www.env.gov.bc.ca/esd/distdata/ecosystems/TEI_Scanned_Maps/I11/I11-3009","http://www.env.gov.bc.ca/esd/distdata/ecosystems/TEI_Scanned_Maps/I11/I11-3009")</f>
        <v>http://www.env.gov.bc.ca/esd/distdata/ecosystems/TEI_Scanned_Maps/I11/I11-3009</v>
      </c>
      <c r="U905" t="s">
        <v>58</v>
      </c>
      <c r="V905" t="s">
        <v>58</v>
      </c>
      <c r="W905" t="s">
        <v>58</v>
      </c>
      <c r="X905" t="s">
        <v>58</v>
      </c>
      <c r="Y905" t="s">
        <v>58</v>
      </c>
      <c r="Z905" t="s">
        <v>58</v>
      </c>
      <c r="AA905" t="s">
        <v>58</v>
      </c>
      <c r="AC905" t="s">
        <v>58</v>
      </c>
      <c r="AE905" t="s">
        <v>58</v>
      </c>
      <c r="AG905" t="s">
        <v>63</v>
      </c>
      <c r="AH905" s="11" t="str">
        <f t="shared" si="17"/>
        <v>mailto: soilterrain@victoria1.gov.bc.ca</v>
      </c>
    </row>
    <row r="906" spans="1:34">
      <c r="A906" t="s">
        <v>2222</v>
      </c>
      <c r="B906" t="s">
        <v>56</v>
      </c>
      <c r="C906" s="10" t="s">
        <v>1233</v>
      </c>
      <c r="D906" t="s">
        <v>58</v>
      </c>
      <c r="E906" t="s">
        <v>497</v>
      </c>
      <c r="F906" t="s">
        <v>2223</v>
      </c>
      <c r="G906">
        <v>50000</v>
      </c>
      <c r="H906">
        <v>1979</v>
      </c>
      <c r="I906" t="s">
        <v>58</v>
      </c>
      <c r="J906" t="s">
        <v>58</v>
      </c>
      <c r="K906" t="s">
        <v>58</v>
      </c>
      <c r="L906" t="s">
        <v>58</v>
      </c>
      <c r="M906" t="s">
        <v>58</v>
      </c>
      <c r="N906" t="s">
        <v>61</v>
      </c>
      <c r="Q906" t="s">
        <v>58</v>
      </c>
      <c r="R906" s="11" t="str">
        <f>HYPERLINK("\\imagefiles.bcgov\imagery\scanned_maps\moe_terrain_maps\Scanned_T_maps_all\I11\I11-3010","\\imagefiles.bcgov\imagery\scanned_maps\moe_terrain_maps\Scanned_T_maps_all\I11\I11-3010")</f>
        <v>\\imagefiles.bcgov\imagery\scanned_maps\moe_terrain_maps\Scanned_T_maps_all\I11\I11-3010</v>
      </c>
      <c r="S906" t="s">
        <v>62</v>
      </c>
      <c r="T906" s="11" t="str">
        <f>HYPERLINK("http://www.env.gov.bc.ca/esd/distdata/ecosystems/TEI_Scanned_Maps/I11/I11-3010","http://www.env.gov.bc.ca/esd/distdata/ecosystems/TEI_Scanned_Maps/I11/I11-3010")</f>
        <v>http://www.env.gov.bc.ca/esd/distdata/ecosystems/TEI_Scanned_Maps/I11/I11-3010</v>
      </c>
      <c r="U906" t="s">
        <v>58</v>
      </c>
      <c r="V906" t="s">
        <v>58</v>
      </c>
      <c r="W906" t="s">
        <v>58</v>
      </c>
      <c r="X906" t="s">
        <v>58</v>
      </c>
      <c r="Y906" t="s">
        <v>58</v>
      </c>
      <c r="Z906" t="s">
        <v>58</v>
      </c>
      <c r="AA906" t="s">
        <v>58</v>
      </c>
      <c r="AC906" t="s">
        <v>58</v>
      </c>
      <c r="AE906" t="s">
        <v>58</v>
      </c>
      <c r="AG906" t="s">
        <v>63</v>
      </c>
      <c r="AH906" s="11" t="str">
        <f t="shared" si="17"/>
        <v>mailto: soilterrain@victoria1.gov.bc.ca</v>
      </c>
    </row>
    <row r="907" spans="1:34">
      <c r="A907" t="s">
        <v>2224</v>
      </c>
      <c r="B907" t="s">
        <v>56</v>
      </c>
      <c r="C907" s="10" t="s">
        <v>161</v>
      </c>
      <c r="D907" t="s">
        <v>58</v>
      </c>
      <c r="E907" t="s">
        <v>497</v>
      </c>
      <c r="F907" t="s">
        <v>2225</v>
      </c>
      <c r="G907">
        <v>50000</v>
      </c>
      <c r="H907">
        <v>1979</v>
      </c>
      <c r="I907" t="s">
        <v>58</v>
      </c>
      <c r="J907" t="s">
        <v>58</v>
      </c>
      <c r="K907" t="s">
        <v>58</v>
      </c>
      <c r="L907" t="s">
        <v>58</v>
      </c>
      <c r="M907" t="s">
        <v>58</v>
      </c>
      <c r="N907" t="s">
        <v>61</v>
      </c>
      <c r="Q907" t="s">
        <v>58</v>
      </c>
      <c r="R907" s="11" t="str">
        <f>HYPERLINK("\\imagefiles.bcgov\imagery\scanned_maps\moe_terrain_maps\Scanned_T_maps_all\I11\I11-3011","\\imagefiles.bcgov\imagery\scanned_maps\moe_terrain_maps\Scanned_T_maps_all\I11\I11-3011")</f>
        <v>\\imagefiles.bcgov\imagery\scanned_maps\moe_terrain_maps\Scanned_T_maps_all\I11\I11-3011</v>
      </c>
      <c r="S907" t="s">
        <v>62</v>
      </c>
      <c r="T907" s="11" t="str">
        <f>HYPERLINK("http://www.env.gov.bc.ca/esd/distdata/ecosystems/TEI_Scanned_Maps/I11/I11-3011","http://www.env.gov.bc.ca/esd/distdata/ecosystems/TEI_Scanned_Maps/I11/I11-3011")</f>
        <v>http://www.env.gov.bc.ca/esd/distdata/ecosystems/TEI_Scanned_Maps/I11/I11-3011</v>
      </c>
      <c r="U907" t="s">
        <v>58</v>
      </c>
      <c r="V907" t="s">
        <v>58</v>
      </c>
      <c r="W907" t="s">
        <v>58</v>
      </c>
      <c r="X907" t="s">
        <v>58</v>
      </c>
      <c r="Y907" t="s">
        <v>58</v>
      </c>
      <c r="Z907" t="s">
        <v>58</v>
      </c>
      <c r="AA907" t="s">
        <v>58</v>
      </c>
      <c r="AC907" t="s">
        <v>58</v>
      </c>
      <c r="AE907" t="s">
        <v>58</v>
      </c>
      <c r="AG907" t="s">
        <v>63</v>
      </c>
      <c r="AH907" s="11" t="str">
        <f t="shared" si="17"/>
        <v>mailto: soilterrain@victoria1.gov.bc.ca</v>
      </c>
    </row>
    <row r="908" spans="1:34">
      <c r="A908" t="s">
        <v>2226</v>
      </c>
      <c r="B908" t="s">
        <v>56</v>
      </c>
      <c r="C908" s="10" t="s">
        <v>653</v>
      </c>
      <c r="D908" t="s">
        <v>58</v>
      </c>
      <c r="E908" t="s">
        <v>497</v>
      </c>
      <c r="F908" t="s">
        <v>2227</v>
      </c>
      <c r="G908">
        <v>50000</v>
      </c>
      <c r="H908">
        <v>1979</v>
      </c>
      <c r="I908" t="s">
        <v>58</v>
      </c>
      <c r="J908" t="s">
        <v>58</v>
      </c>
      <c r="K908" t="s">
        <v>58</v>
      </c>
      <c r="L908" t="s">
        <v>58</v>
      </c>
      <c r="M908" t="s">
        <v>58</v>
      </c>
      <c r="N908" t="s">
        <v>61</v>
      </c>
      <c r="Q908" t="s">
        <v>58</v>
      </c>
      <c r="R908" s="11" t="str">
        <f>HYPERLINK("\\imagefiles.bcgov\imagery\scanned_maps\moe_terrain_maps\Scanned_T_maps_all\I11\I11-3012","\\imagefiles.bcgov\imagery\scanned_maps\moe_terrain_maps\Scanned_T_maps_all\I11\I11-3012")</f>
        <v>\\imagefiles.bcgov\imagery\scanned_maps\moe_terrain_maps\Scanned_T_maps_all\I11\I11-3012</v>
      </c>
      <c r="S908" t="s">
        <v>62</v>
      </c>
      <c r="T908" s="11" t="str">
        <f>HYPERLINK("http://www.env.gov.bc.ca/esd/distdata/ecosystems/TEI_Scanned_Maps/I11/I11-3012","http://www.env.gov.bc.ca/esd/distdata/ecosystems/TEI_Scanned_Maps/I11/I11-3012")</f>
        <v>http://www.env.gov.bc.ca/esd/distdata/ecosystems/TEI_Scanned_Maps/I11/I11-3012</v>
      </c>
      <c r="U908" t="s">
        <v>58</v>
      </c>
      <c r="V908" t="s">
        <v>58</v>
      </c>
      <c r="W908" t="s">
        <v>58</v>
      </c>
      <c r="X908" t="s">
        <v>58</v>
      </c>
      <c r="Y908" t="s">
        <v>58</v>
      </c>
      <c r="Z908" t="s">
        <v>58</v>
      </c>
      <c r="AA908" t="s">
        <v>58</v>
      </c>
      <c r="AC908" t="s">
        <v>58</v>
      </c>
      <c r="AE908" t="s">
        <v>58</v>
      </c>
      <c r="AG908" t="s">
        <v>63</v>
      </c>
      <c r="AH908" s="11" t="str">
        <f t="shared" si="17"/>
        <v>mailto: soilterrain@victoria1.gov.bc.ca</v>
      </c>
    </row>
    <row r="909" spans="1:34">
      <c r="A909" t="s">
        <v>2228</v>
      </c>
      <c r="B909" t="s">
        <v>56</v>
      </c>
      <c r="C909" s="10" t="s">
        <v>1238</v>
      </c>
      <c r="D909" t="s">
        <v>58</v>
      </c>
      <c r="E909" t="s">
        <v>497</v>
      </c>
      <c r="F909" t="s">
        <v>2229</v>
      </c>
      <c r="G909">
        <v>50000</v>
      </c>
      <c r="H909">
        <v>1979</v>
      </c>
      <c r="I909" t="s">
        <v>58</v>
      </c>
      <c r="J909" t="s">
        <v>58</v>
      </c>
      <c r="K909" t="s">
        <v>58</v>
      </c>
      <c r="L909" t="s">
        <v>58</v>
      </c>
      <c r="M909" t="s">
        <v>58</v>
      </c>
      <c r="N909" t="s">
        <v>61</v>
      </c>
      <c r="Q909" t="s">
        <v>58</v>
      </c>
      <c r="R909" s="11" t="str">
        <f>HYPERLINK("\\imagefiles.bcgov\imagery\scanned_maps\moe_terrain_maps\Scanned_T_maps_all\I11\I11-3013","\\imagefiles.bcgov\imagery\scanned_maps\moe_terrain_maps\Scanned_T_maps_all\I11\I11-3013")</f>
        <v>\\imagefiles.bcgov\imagery\scanned_maps\moe_terrain_maps\Scanned_T_maps_all\I11\I11-3013</v>
      </c>
      <c r="S909" t="s">
        <v>62</v>
      </c>
      <c r="T909" s="11" t="str">
        <f>HYPERLINK("http://www.env.gov.bc.ca/esd/distdata/ecosystems/TEI_Scanned_Maps/I11/I11-3013","http://www.env.gov.bc.ca/esd/distdata/ecosystems/TEI_Scanned_Maps/I11/I11-3013")</f>
        <v>http://www.env.gov.bc.ca/esd/distdata/ecosystems/TEI_Scanned_Maps/I11/I11-3013</v>
      </c>
      <c r="U909" t="s">
        <v>58</v>
      </c>
      <c r="V909" t="s">
        <v>58</v>
      </c>
      <c r="W909" t="s">
        <v>58</v>
      </c>
      <c r="X909" t="s">
        <v>58</v>
      </c>
      <c r="Y909" t="s">
        <v>58</v>
      </c>
      <c r="Z909" t="s">
        <v>58</v>
      </c>
      <c r="AA909" t="s">
        <v>58</v>
      </c>
      <c r="AC909" t="s">
        <v>58</v>
      </c>
      <c r="AE909" t="s">
        <v>58</v>
      </c>
      <c r="AG909" t="s">
        <v>63</v>
      </c>
      <c r="AH909" s="11" t="str">
        <f t="shared" si="17"/>
        <v>mailto: soilterrain@victoria1.gov.bc.ca</v>
      </c>
    </row>
    <row r="910" spans="1:34">
      <c r="A910" t="s">
        <v>2230</v>
      </c>
      <c r="B910" t="s">
        <v>56</v>
      </c>
      <c r="C910" s="10" t="s">
        <v>1241</v>
      </c>
      <c r="D910" t="s">
        <v>58</v>
      </c>
      <c r="E910" t="s">
        <v>497</v>
      </c>
      <c r="F910" t="s">
        <v>2231</v>
      </c>
      <c r="G910">
        <v>50000</v>
      </c>
      <c r="H910">
        <v>1979</v>
      </c>
      <c r="I910" t="s">
        <v>58</v>
      </c>
      <c r="J910" t="s">
        <v>58</v>
      </c>
      <c r="K910" t="s">
        <v>58</v>
      </c>
      <c r="L910" t="s">
        <v>58</v>
      </c>
      <c r="M910" t="s">
        <v>58</v>
      </c>
      <c r="N910" t="s">
        <v>61</v>
      </c>
      <c r="Q910" t="s">
        <v>58</v>
      </c>
      <c r="R910" s="11" t="str">
        <f>HYPERLINK("\\imagefiles.bcgov\imagery\scanned_maps\moe_terrain_maps\Scanned_T_maps_all\I11\I11-3014","\\imagefiles.bcgov\imagery\scanned_maps\moe_terrain_maps\Scanned_T_maps_all\I11\I11-3014")</f>
        <v>\\imagefiles.bcgov\imagery\scanned_maps\moe_terrain_maps\Scanned_T_maps_all\I11\I11-3014</v>
      </c>
      <c r="S910" t="s">
        <v>62</v>
      </c>
      <c r="T910" s="11" t="str">
        <f>HYPERLINK("http://www.env.gov.bc.ca/esd/distdata/ecosystems/TEI_Scanned_Maps/I11/I11-3014","http://www.env.gov.bc.ca/esd/distdata/ecosystems/TEI_Scanned_Maps/I11/I11-3014")</f>
        <v>http://www.env.gov.bc.ca/esd/distdata/ecosystems/TEI_Scanned_Maps/I11/I11-3014</v>
      </c>
      <c r="U910" t="s">
        <v>58</v>
      </c>
      <c r="V910" t="s">
        <v>58</v>
      </c>
      <c r="W910" t="s">
        <v>58</v>
      </c>
      <c r="X910" t="s">
        <v>58</v>
      </c>
      <c r="Y910" t="s">
        <v>58</v>
      </c>
      <c r="Z910" t="s">
        <v>58</v>
      </c>
      <c r="AA910" t="s">
        <v>58</v>
      </c>
      <c r="AC910" t="s">
        <v>58</v>
      </c>
      <c r="AE910" t="s">
        <v>58</v>
      </c>
      <c r="AG910" t="s">
        <v>63</v>
      </c>
      <c r="AH910" s="11" t="str">
        <f t="shared" si="17"/>
        <v>mailto: soilterrain@victoria1.gov.bc.ca</v>
      </c>
    </row>
    <row r="911" spans="1:34">
      <c r="A911" t="s">
        <v>2232</v>
      </c>
      <c r="B911" t="s">
        <v>56</v>
      </c>
      <c r="C911" s="10" t="s">
        <v>647</v>
      </c>
      <c r="D911" t="s">
        <v>58</v>
      </c>
      <c r="E911" t="s">
        <v>497</v>
      </c>
      <c r="F911" t="s">
        <v>2233</v>
      </c>
      <c r="G911">
        <v>50000</v>
      </c>
      <c r="H911">
        <v>1979</v>
      </c>
      <c r="I911" t="s">
        <v>58</v>
      </c>
      <c r="J911" t="s">
        <v>58</v>
      </c>
      <c r="K911" t="s">
        <v>58</v>
      </c>
      <c r="L911" t="s">
        <v>58</v>
      </c>
      <c r="M911" t="s">
        <v>58</v>
      </c>
      <c r="N911" t="s">
        <v>61</v>
      </c>
      <c r="Q911" t="s">
        <v>58</v>
      </c>
      <c r="R911" s="11" t="str">
        <f>HYPERLINK("\\imagefiles.bcgov\imagery\scanned_maps\moe_terrain_maps\Scanned_T_maps_all\I11\I11-3015","\\imagefiles.bcgov\imagery\scanned_maps\moe_terrain_maps\Scanned_T_maps_all\I11\I11-3015")</f>
        <v>\\imagefiles.bcgov\imagery\scanned_maps\moe_terrain_maps\Scanned_T_maps_all\I11\I11-3015</v>
      </c>
      <c r="S911" t="s">
        <v>62</v>
      </c>
      <c r="T911" s="11" t="str">
        <f>HYPERLINK("http://www.env.gov.bc.ca/esd/distdata/ecosystems/TEI_Scanned_Maps/I11/I11-3015","http://www.env.gov.bc.ca/esd/distdata/ecosystems/TEI_Scanned_Maps/I11/I11-3015")</f>
        <v>http://www.env.gov.bc.ca/esd/distdata/ecosystems/TEI_Scanned_Maps/I11/I11-3015</v>
      </c>
      <c r="U911" t="s">
        <v>58</v>
      </c>
      <c r="V911" t="s">
        <v>58</v>
      </c>
      <c r="W911" t="s">
        <v>58</v>
      </c>
      <c r="X911" t="s">
        <v>58</v>
      </c>
      <c r="Y911" t="s">
        <v>58</v>
      </c>
      <c r="Z911" t="s">
        <v>58</v>
      </c>
      <c r="AA911" t="s">
        <v>58</v>
      </c>
      <c r="AC911" t="s">
        <v>58</v>
      </c>
      <c r="AE911" t="s">
        <v>58</v>
      </c>
      <c r="AG911" t="s">
        <v>63</v>
      </c>
      <c r="AH911" s="11" t="str">
        <f t="shared" si="17"/>
        <v>mailto: soilterrain@victoria1.gov.bc.ca</v>
      </c>
    </row>
    <row r="912" spans="1:34">
      <c r="A912" t="s">
        <v>2234</v>
      </c>
      <c r="B912" t="s">
        <v>56</v>
      </c>
      <c r="C912" s="10" t="s">
        <v>1252</v>
      </c>
      <c r="D912" t="s">
        <v>58</v>
      </c>
      <c r="E912" t="s">
        <v>497</v>
      </c>
      <c r="F912" t="s">
        <v>2235</v>
      </c>
      <c r="G912">
        <v>50000</v>
      </c>
      <c r="H912">
        <v>1979</v>
      </c>
      <c r="I912" t="s">
        <v>58</v>
      </c>
      <c r="J912" t="s">
        <v>58</v>
      </c>
      <c r="K912" t="s">
        <v>58</v>
      </c>
      <c r="L912" t="s">
        <v>58</v>
      </c>
      <c r="M912" t="s">
        <v>58</v>
      </c>
      <c r="N912" t="s">
        <v>61</v>
      </c>
      <c r="Q912" t="s">
        <v>58</v>
      </c>
      <c r="R912" s="11" t="str">
        <f>HYPERLINK("\\imagefiles.bcgov\imagery\scanned_maps\moe_terrain_maps\Scanned_T_maps_all\I11\I11-3016","\\imagefiles.bcgov\imagery\scanned_maps\moe_terrain_maps\Scanned_T_maps_all\I11\I11-3016")</f>
        <v>\\imagefiles.bcgov\imagery\scanned_maps\moe_terrain_maps\Scanned_T_maps_all\I11\I11-3016</v>
      </c>
      <c r="S912" t="s">
        <v>62</v>
      </c>
      <c r="T912" s="11" t="str">
        <f>HYPERLINK("http://www.env.gov.bc.ca/esd/distdata/ecosystems/TEI_Scanned_Maps/I11/I11-3016","http://www.env.gov.bc.ca/esd/distdata/ecosystems/TEI_Scanned_Maps/I11/I11-3016")</f>
        <v>http://www.env.gov.bc.ca/esd/distdata/ecosystems/TEI_Scanned_Maps/I11/I11-3016</v>
      </c>
      <c r="U912" t="s">
        <v>58</v>
      </c>
      <c r="V912" t="s">
        <v>58</v>
      </c>
      <c r="W912" t="s">
        <v>58</v>
      </c>
      <c r="X912" t="s">
        <v>58</v>
      </c>
      <c r="Y912" t="s">
        <v>58</v>
      </c>
      <c r="Z912" t="s">
        <v>58</v>
      </c>
      <c r="AA912" t="s">
        <v>58</v>
      </c>
      <c r="AC912" t="s">
        <v>58</v>
      </c>
      <c r="AE912" t="s">
        <v>58</v>
      </c>
      <c r="AG912" t="s">
        <v>63</v>
      </c>
      <c r="AH912" s="11" t="str">
        <f t="shared" si="17"/>
        <v>mailto: soilterrain@victoria1.gov.bc.ca</v>
      </c>
    </row>
    <row r="913" spans="1:34">
      <c r="A913" t="s">
        <v>2236</v>
      </c>
      <c r="B913" t="s">
        <v>56</v>
      </c>
      <c r="C913" s="10" t="s">
        <v>594</v>
      </c>
      <c r="D913" t="s">
        <v>58</v>
      </c>
      <c r="E913" t="s">
        <v>497</v>
      </c>
      <c r="F913" t="s">
        <v>2237</v>
      </c>
      <c r="G913">
        <v>50000</v>
      </c>
      <c r="H913">
        <v>1979</v>
      </c>
      <c r="I913" t="s">
        <v>58</v>
      </c>
      <c r="J913" t="s">
        <v>58</v>
      </c>
      <c r="K913" t="s">
        <v>58</v>
      </c>
      <c r="L913" t="s">
        <v>58</v>
      </c>
      <c r="M913" t="s">
        <v>58</v>
      </c>
      <c r="N913" t="s">
        <v>61</v>
      </c>
      <c r="Q913" t="s">
        <v>58</v>
      </c>
      <c r="R913" s="11" t="str">
        <f>HYPERLINK("\\imagefiles.bcgov\imagery\scanned_maps\moe_terrain_maps\Scanned_T_maps_all\I11\I11-3017","\\imagefiles.bcgov\imagery\scanned_maps\moe_terrain_maps\Scanned_T_maps_all\I11\I11-3017")</f>
        <v>\\imagefiles.bcgov\imagery\scanned_maps\moe_terrain_maps\Scanned_T_maps_all\I11\I11-3017</v>
      </c>
      <c r="S913" t="s">
        <v>62</v>
      </c>
      <c r="T913" s="11" t="str">
        <f>HYPERLINK("http://www.env.gov.bc.ca/esd/distdata/ecosystems/TEI_Scanned_Maps/I11/I11-3017","http://www.env.gov.bc.ca/esd/distdata/ecosystems/TEI_Scanned_Maps/I11/I11-3017")</f>
        <v>http://www.env.gov.bc.ca/esd/distdata/ecosystems/TEI_Scanned_Maps/I11/I11-3017</v>
      </c>
      <c r="U913" t="s">
        <v>58</v>
      </c>
      <c r="V913" t="s">
        <v>58</v>
      </c>
      <c r="W913" t="s">
        <v>58</v>
      </c>
      <c r="X913" t="s">
        <v>58</v>
      </c>
      <c r="Y913" t="s">
        <v>58</v>
      </c>
      <c r="Z913" t="s">
        <v>58</v>
      </c>
      <c r="AA913" t="s">
        <v>58</v>
      </c>
      <c r="AC913" t="s">
        <v>58</v>
      </c>
      <c r="AE913" t="s">
        <v>58</v>
      </c>
      <c r="AG913" t="s">
        <v>63</v>
      </c>
      <c r="AH913" s="11" t="str">
        <f t="shared" si="17"/>
        <v>mailto: soilterrain@victoria1.gov.bc.ca</v>
      </c>
    </row>
    <row r="914" spans="1:34">
      <c r="A914" t="s">
        <v>2238</v>
      </c>
      <c r="B914" t="s">
        <v>56</v>
      </c>
      <c r="C914" s="10" t="s">
        <v>210</v>
      </c>
      <c r="D914" t="s">
        <v>58</v>
      </c>
      <c r="E914" t="s">
        <v>497</v>
      </c>
      <c r="F914" t="s">
        <v>2239</v>
      </c>
      <c r="G914">
        <v>50000</v>
      </c>
      <c r="H914">
        <v>1979</v>
      </c>
      <c r="I914" t="s">
        <v>58</v>
      </c>
      <c r="J914" t="s">
        <v>58</v>
      </c>
      <c r="K914" t="s">
        <v>58</v>
      </c>
      <c r="L914" t="s">
        <v>58</v>
      </c>
      <c r="M914" t="s">
        <v>58</v>
      </c>
      <c r="N914" t="s">
        <v>61</v>
      </c>
      <c r="Q914" t="s">
        <v>58</v>
      </c>
      <c r="R914" s="11" t="str">
        <f>HYPERLINK("\\imagefiles.bcgov\imagery\scanned_maps\moe_terrain_maps\Scanned_T_maps_all\I11\I11-3018","\\imagefiles.bcgov\imagery\scanned_maps\moe_terrain_maps\Scanned_T_maps_all\I11\I11-3018")</f>
        <v>\\imagefiles.bcgov\imagery\scanned_maps\moe_terrain_maps\Scanned_T_maps_all\I11\I11-3018</v>
      </c>
      <c r="S914" t="s">
        <v>62</v>
      </c>
      <c r="T914" s="11" t="str">
        <f>HYPERLINK("http://www.env.gov.bc.ca/esd/distdata/ecosystems/TEI_Scanned_Maps/I11/I11-3018","http://www.env.gov.bc.ca/esd/distdata/ecosystems/TEI_Scanned_Maps/I11/I11-3018")</f>
        <v>http://www.env.gov.bc.ca/esd/distdata/ecosystems/TEI_Scanned_Maps/I11/I11-3018</v>
      </c>
      <c r="U914" t="s">
        <v>58</v>
      </c>
      <c r="V914" t="s">
        <v>58</v>
      </c>
      <c r="W914" t="s">
        <v>58</v>
      </c>
      <c r="X914" t="s">
        <v>58</v>
      </c>
      <c r="Y914" t="s">
        <v>58</v>
      </c>
      <c r="Z914" t="s">
        <v>58</v>
      </c>
      <c r="AA914" t="s">
        <v>58</v>
      </c>
      <c r="AC914" t="s">
        <v>58</v>
      </c>
      <c r="AE914" t="s">
        <v>58</v>
      </c>
      <c r="AG914" t="s">
        <v>63</v>
      </c>
      <c r="AH914" s="11" t="str">
        <f t="shared" si="17"/>
        <v>mailto: soilterrain@victoria1.gov.bc.ca</v>
      </c>
    </row>
    <row r="915" spans="1:34">
      <c r="A915" t="s">
        <v>2240</v>
      </c>
      <c r="B915" t="s">
        <v>56</v>
      </c>
      <c r="C915" s="10" t="s">
        <v>213</v>
      </c>
      <c r="D915" t="s">
        <v>58</v>
      </c>
      <c r="E915" t="s">
        <v>497</v>
      </c>
      <c r="F915" t="s">
        <v>2241</v>
      </c>
      <c r="G915">
        <v>50000</v>
      </c>
      <c r="H915">
        <v>1979</v>
      </c>
      <c r="I915" t="s">
        <v>58</v>
      </c>
      <c r="J915" t="s">
        <v>58</v>
      </c>
      <c r="K915" t="s">
        <v>58</v>
      </c>
      <c r="L915" t="s">
        <v>58</v>
      </c>
      <c r="M915" t="s">
        <v>58</v>
      </c>
      <c r="N915" t="s">
        <v>61</v>
      </c>
      <c r="Q915" t="s">
        <v>58</v>
      </c>
      <c r="R915" s="11" t="str">
        <f>HYPERLINK("\\imagefiles.bcgov\imagery\scanned_maps\moe_terrain_maps\Scanned_T_maps_all\I11\I11-3019","\\imagefiles.bcgov\imagery\scanned_maps\moe_terrain_maps\Scanned_T_maps_all\I11\I11-3019")</f>
        <v>\\imagefiles.bcgov\imagery\scanned_maps\moe_terrain_maps\Scanned_T_maps_all\I11\I11-3019</v>
      </c>
      <c r="S915" t="s">
        <v>62</v>
      </c>
      <c r="T915" s="11" t="str">
        <f>HYPERLINK("http://www.env.gov.bc.ca/esd/distdata/ecosystems/TEI_Scanned_Maps/I11/I11-3019","http://www.env.gov.bc.ca/esd/distdata/ecosystems/TEI_Scanned_Maps/I11/I11-3019")</f>
        <v>http://www.env.gov.bc.ca/esd/distdata/ecosystems/TEI_Scanned_Maps/I11/I11-3019</v>
      </c>
      <c r="U915" t="s">
        <v>58</v>
      </c>
      <c r="V915" t="s">
        <v>58</v>
      </c>
      <c r="W915" t="s">
        <v>58</v>
      </c>
      <c r="X915" t="s">
        <v>58</v>
      </c>
      <c r="Y915" t="s">
        <v>58</v>
      </c>
      <c r="Z915" t="s">
        <v>58</v>
      </c>
      <c r="AA915" t="s">
        <v>58</v>
      </c>
      <c r="AC915" t="s">
        <v>58</v>
      </c>
      <c r="AE915" t="s">
        <v>58</v>
      </c>
      <c r="AG915" t="s">
        <v>63</v>
      </c>
      <c r="AH915" s="11" t="str">
        <f t="shared" si="17"/>
        <v>mailto: soilterrain@victoria1.gov.bc.ca</v>
      </c>
    </row>
    <row r="916" spans="1:34">
      <c r="A916" t="s">
        <v>2242</v>
      </c>
      <c r="B916" t="s">
        <v>56</v>
      </c>
      <c r="C916" s="10" t="s">
        <v>291</v>
      </c>
      <c r="D916" t="s">
        <v>58</v>
      </c>
      <c r="E916" t="s">
        <v>497</v>
      </c>
      <c r="F916" t="s">
        <v>2243</v>
      </c>
      <c r="G916">
        <v>50000</v>
      </c>
      <c r="H916">
        <v>1979</v>
      </c>
      <c r="I916" t="s">
        <v>58</v>
      </c>
      <c r="J916" t="s">
        <v>58</v>
      </c>
      <c r="K916" t="s">
        <v>58</v>
      </c>
      <c r="L916" t="s">
        <v>58</v>
      </c>
      <c r="M916" t="s">
        <v>58</v>
      </c>
      <c r="N916" t="s">
        <v>61</v>
      </c>
      <c r="Q916" t="s">
        <v>58</v>
      </c>
      <c r="R916" s="11" t="str">
        <f>HYPERLINK("\\imagefiles.bcgov\imagery\scanned_maps\moe_terrain_maps\Scanned_T_maps_all\I11\I11-3020","\\imagefiles.bcgov\imagery\scanned_maps\moe_terrain_maps\Scanned_T_maps_all\I11\I11-3020")</f>
        <v>\\imagefiles.bcgov\imagery\scanned_maps\moe_terrain_maps\Scanned_T_maps_all\I11\I11-3020</v>
      </c>
      <c r="S916" t="s">
        <v>62</v>
      </c>
      <c r="T916" s="11" t="str">
        <f>HYPERLINK("http://www.env.gov.bc.ca/esd/distdata/ecosystems/TEI_Scanned_Maps/I11/I11-3020","http://www.env.gov.bc.ca/esd/distdata/ecosystems/TEI_Scanned_Maps/I11/I11-3020")</f>
        <v>http://www.env.gov.bc.ca/esd/distdata/ecosystems/TEI_Scanned_Maps/I11/I11-3020</v>
      </c>
      <c r="U916" t="s">
        <v>58</v>
      </c>
      <c r="V916" t="s">
        <v>58</v>
      </c>
      <c r="W916" t="s">
        <v>58</v>
      </c>
      <c r="X916" t="s">
        <v>58</v>
      </c>
      <c r="Y916" t="s">
        <v>58</v>
      </c>
      <c r="Z916" t="s">
        <v>58</v>
      </c>
      <c r="AA916" t="s">
        <v>58</v>
      </c>
      <c r="AC916" t="s">
        <v>58</v>
      </c>
      <c r="AE916" t="s">
        <v>58</v>
      </c>
      <c r="AG916" t="s">
        <v>63</v>
      </c>
      <c r="AH916" s="11" t="str">
        <f t="shared" si="17"/>
        <v>mailto: soilterrain@victoria1.gov.bc.ca</v>
      </c>
    </row>
    <row r="917" spans="1:34">
      <c r="A917" t="s">
        <v>2244</v>
      </c>
      <c r="B917" t="s">
        <v>56</v>
      </c>
      <c r="C917" s="10" t="s">
        <v>1341</v>
      </c>
      <c r="D917" t="s">
        <v>58</v>
      </c>
      <c r="E917" t="s">
        <v>497</v>
      </c>
      <c r="F917" t="s">
        <v>2245</v>
      </c>
      <c r="G917">
        <v>50000</v>
      </c>
      <c r="H917">
        <v>1979</v>
      </c>
      <c r="I917" t="s">
        <v>58</v>
      </c>
      <c r="J917" t="s">
        <v>58</v>
      </c>
      <c r="K917" t="s">
        <v>58</v>
      </c>
      <c r="L917" t="s">
        <v>58</v>
      </c>
      <c r="M917" t="s">
        <v>58</v>
      </c>
      <c r="N917" t="s">
        <v>61</v>
      </c>
      <c r="Q917" t="s">
        <v>58</v>
      </c>
      <c r="R917" s="11" t="str">
        <f>HYPERLINK("\\imagefiles.bcgov\imagery\scanned_maps\moe_terrain_maps\Scanned_T_maps_all\I11\I11-3021","\\imagefiles.bcgov\imagery\scanned_maps\moe_terrain_maps\Scanned_T_maps_all\I11\I11-3021")</f>
        <v>\\imagefiles.bcgov\imagery\scanned_maps\moe_terrain_maps\Scanned_T_maps_all\I11\I11-3021</v>
      </c>
      <c r="S917" t="s">
        <v>62</v>
      </c>
      <c r="T917" s="11" t="str">
        <f>HYPERLINK("http://www.env.gov.bc.ca/esd/distdata/ecosystems/TEI_Scanned_Maps/I11/I11-3021","http://www.env.gov.bc.ca/esd/distdata/ecosystems/TEI_Scanned_Maps/I11/I11-3021")</f>
        <v>http://www.env.gov.bc.ca/esd/distdata/ecosystems/TEI_Scanned_Maps/I11/I11-3021</v>
      </c>
      <c r="U917" t="s">
        <v>58</v>
      </c>
      <c r="V917" t="s">
        <v>58</v>
      </c>
      <c r="W917" t="s">
        <v>58</v>
      </c>
      <c r="X917" t="s">
        <v>58</v>
      </c>
      <c r="Y917" t="s">
        <v>58</v>
      </c>
      <c r="Z917" t="s">
        <v>58</v>
      </c>
      <c r="AA917" t="s">
        <v>58</v>
      </c>
      <c r="AC917" t="s">
        <v>58</v>
      </c>
      <c r="AE917" t="s">
        <v>58</v>
      </c>
      <c r="AG917" t="s">
        <v>63</v>
      </c>
      <c r="AH917" s="11" t="str">
        <f t="shared" si="17"/>
        <v>mailto: soilterrain@victoria1.gov.bc.ca</v>
      </c>
    </row>
    <row r="918" spans="1:34">
      <c r="A918" t="s">
        <v>2246</v>
      </c>
      <c r="B918" t="s">
        <v>56</v>
      </c>
      <c r="C918" s="10" t="s">
        <v>1344</v>
      </c>
      <c r="D918" t="s">
        <v>58</v>
      </c>
      <c r="E918" t="s">
        <v>497</v>
      </c>
      <c r="F918" t="s">
        <v>2247</v>
      </c>
      <c r="G918">
        <v>50000</v>
      </c>
      <c r="H918">
        <v>1979</v>
      </c>
      <c r="I918" t="s">
        <v>58</v>
      </c>
      <c r="J918" t="s">
        <v>58</v>
      </c>
      <c r="K918" t="s">
        <v>58</v>
      </c>
      <c r="L918" t="s">
        <v>58</v>
      </c>
      <c r="M918" t="s">
        <v>58</v>
      </c>
      <c r="N918" t="s">
        <v>61</v>
      </c>
      <c r="Q918" t="s">
        <v>58</v>
      </c>
      <c r="R918" s="11" t="str">
        <f>HYPERLINK("\\imagefiles.bcgov\imagery\scanned_maps\moe_terrain_maps\Scanned_T_maps_all\I11\I11-3022","\\imagefiles.bcgov\imagery\scanned_maps\moe_terrain_maps\Scanned_T_maps_all\I11\I11-3022")</f>
        <v>\\imagefiles.bcgov\imagery\scanned_maps\moe_terrain_maps\Scanned_T_maps_all\I11\I11-3022</v>
      </c>
      <c r="S918" t="s">
        <v>62</v>
      </c>
      <c r="T918" s="11" t="str">
        <f>HYPERLINK("http://www.env.gov.bc.ca/esd/distdata/ecosystems/TEI_Scanned_Maps/I11/I11-3022","http://www.env.gov.bc.ca/esd/distdata/ecosystems/TEI_Scanned_Maps/I11/I11-3022")</f>
        <v>http://www.env.gov.bc.ca/esd/distdata/ecosystems/TEI_Scanned_Maps/I11/I11-3022</v>
      </c>
      <c r="U918" t="s">
        <v>58</v>
      </c>
      <c r="V918" t="s">
        <v>58</v>
      </c>
      <c r="W918" t="s">
        <v>58</v>
      </c>
      <c r="X918" t="s">
        <v>58</v>
      </c>
      <c r="Y918" t="s">
        <v>58</v>
      </c>
      <c r="Z918" t="s">
        <v>58</v>
      </c>
      <c r="AA918" t="s">
        <v>58</v>
      </c>
      <c r="AC918" t="s">
        <v>58</v>
      </c>
      <c r="AE918" t="s">
        <v>58</v>
      </c>
      <c r="AG918" t="s">
        <v>63</v>
      </c>
      <c r="AH918" s="11" t="str">
        <f t="shared" si="17"/>
        <v>mailto: soilterrain@victoria1.gov.bc.ca</v>
      </c>
    </row>
    <row r="919" spans="1:34">
      <c r="A919" t="s">
        <v>2248</v>
      </c>
      <c r="B919" t="s">
        <v>56</v>
      </c>
      <c r="C919" s="10" t="s">
        <v>298</v>
      </c>
      <c r="D919" t="s">
        <v>58</v>
      </c>
      <c r="E919" t="s">
        <v>497</v>
      </c>
      <c r="F919" t="s">
        <v>2249</v>
      </c>
      <c r="G919">
        <v>50000</v>
      </c>
      <c r="H919">
        <v>1979</v>
      </c>
      <c r="I919" t="s">
        <v>58</v>
      </c>
      <c r="J919" t="s">
        <v>58</v>
      </c>
      <c r="K919" t="s">
        <v>58</v>
      </c>
      <c r="L919" t="s">
        <v>58</v>
      </c>
      <c r="M919" t="s">
        <v>58</v>
      </c>
      <c r="N919" t="s">
        <v>61</v>
      </c>
      <c r="Q919" t="s">
        <v>58</v>
      </c>
      <c r="R919" s="11" t="str">
        <f>HYPERLINK("\\imagefiles.bcgov\imagery\scanned_maps\moe_terrain_maps\Scanned_T_maps_all\I11\I11-3023","\\imagefiles.bcgov\imagery\scanned_maps\moe_terrain_maps\Scanned_T_maps_all\I11\I11-3023")</f>
        <v>\\imagefiles.bcgov\imagery\scanned_maps\moe_terrain_maps\Scanned_T_maps_all\I11\I11-3023</v>
      </c>
      <c r="S919" t="s">
        <v>62</v>
      </c>
      <c r="T919" s="11" t="str">
        <f>HYPERLINK("http://www.env.gov.bc.ca/esd/distdata/ecosystems/TEI_Scanned_Maps/I11/I11-3023","http://www.env.gov.bc.ca/esd/distdata/ecosystems/TEI_Scanned_Maps/I11/I11-3023")</f>
        <v>http://www.env.gov.bc.ca/esd/distdata/ecosystems/TEI_Scanned_Maps/I11/I11-3023</v>
      </c>
      <c r="U919" t="s">
        <v>58</v>
      </c>
      <c r="V919" t="s">
        <v>58</v>
      </c>
      <c r="W919" t="s">
        <v>58</v>
      </c>
      <c r="X919" t="s">
        <v>58</v>
      </c>
      <c r="Y919" t="s">
        <v>58</v>
      </c>
      <c r="Z919" t="s">
        <v>58</v>
      </c>
      <c r="AA919" t="s">
        <v>58</v>
      </c>
      <c r="AC919" t="s">
        <v>58</v>
      </c>
      <c r="AE919" t="s">
        <v>58</v>
      </c>
      <c r="AG919" t="s">
        <v>63</v>
      </c>
      <c r="AH919" s="11" t="str">
        <f t="shared" si="17"/>
        <v>mailto: soilterrain@victoria1.gov.bc.ca</v>
      </c>
    </row>
    <row r="920" spans="1:34">
      <c r="A920" t="s">
        <v>2250</v>
      </c>
      <c r="B920" t="s">
        <v>56</v>
      </c>
      <c r="C920" s="10" t="s">
        <v>161</v>
      </c>
      <c r="D920" t="s">
        <v>58</v>
      </c>
      <c r="E920" t="s">
        <v>497</v>
      </c>
      <c r="F920" t="s">
        <v>2251</v>
      </c>
      <c r="G920">
        <v>50000</v>
      </c>
      <c r="H920">
        <v>1979</v>
      </c>
      <c r="I920" t="s">
        <v>58</v>
      </c>
      <c r="J920" t="s">
        <v>58</v>
      </c>
      <c r="K920" t="s">
        <v>58</v>
      </c>
      <c r="L920" t="s">
        <v>58</v>
      </c>
      <c r="M920" t="s">
        <v>58</v>
      </c>
      <c r="N920" t="s">
        <v>61</v>
      </c>
      <c r="Q920" t="s">
        <v>58</v>
      </c>
      <c r="R920" s="11" t="str">
        <f>HYPERLINK("\\imagefiles.bcgov\imagery\scanned_maps\moe_terrain_maps\Scanned_T_maps_all\I12\I12-3024","\\imagefiles.bcgov\imagery\scanned_maps\moe_terrain_maps\Scanned_T_maps_all\I12\I12-3024")</f>
        <v>\\imagefiles.bcgov\imagery\scanned_maps\moe_terrain_maps\Scanned_T_maps_all\I12\I12-3024</v>
      </c>
      <c r="S920" t="s">
        <v>62</v>
      </c>
      <c r="T920" s="11" t="str">
        <f>HYPERLINK("http://www.env.gov.bc.ca/esd/distdata/ecosystems/TEI_Scanned_Maps/I12/I12-3024","http://www.env.gov.bc.ca/esd/distdata/ecosystems/TEI_Scanned_Maps/I12/I12-3024")</f>
        <v>http://www.env.gov.bc.ca/esd/distdata/ecosystems/TEI_Scanned_Maps/I12/I12-3024</v>
      </c>
      <c r="U920" t="s">
        <v>58</v>
      </c>
      <c r="V920" t="s">
        <v>58</v>
      </c>
      <c r="W920" t="s">
        <v>58</v>
      </c>
      <c r="X920" t="s">
        <v>58</v>
      </c>
      <c r="Y920" t="s">
        <v>58</v>
      </c>
      <c r="Z920" t="s">
        <v>58</v>
      </c>
      <c r="AA920" t="s">
        <v>58</v>
      </c>
      <c r="AC920" t="s">
        <v>58</v>
      </c>
      <c r="AE920" t="s">
        <v>58</v>
      </c>
      <c r="AG920" t="s">
        <v>63</v>
      </c>
      <c r="AH920" s="11" t="str">
        <f t="shared" si="17"/>
        <v>mailto: soilterrain@victoria1.gov.bc.ca</v>
      </c>
    </row>
    <row r="921" spans="1:34">
      <c r="A921" t="s">
        <v>2252</v>
      </c>
      <c r="B921" t="s">
        <v>56</v>
      </c>
      <c r="C921" s="10" t="s">
        <v>656</v>
      </c>
      <c r="D921" t="s">
        <v>58</v>
      </c>
      <c r="E921" t="s">
        <v>497</v>
      </c>
      <c r="F921" t="s">
        <v>2253</v>
      </c>
      <c r="G921">
        <v>50000</v>
      </c>
      <c r="H921">
        <v>1979</v>
      </c>
      <c r="I921" t="s">
        <v>58</v>
      </c>
      <c r="J921" t="s">
        <v>58</v>
      </c>
      <c r="K921" t="s">
        <v>58</v>
      </c>
      <c r="L921" t="s">
        <v>58</v>
      </c>
      <c r="M921" t="s">
        <v>58</v>
      </c>
      <c r="N921" t="s">
        <v>61</v>
      </c>
      <c r="Q921" t="s">
        <v>58</v>
      </c>
      <c r="R921" s="11" t="str">
        <f>HYPERLINK("\\imagefiles.bcgov\imagery\scanned_maps\moe_terrain_maps\Scanned_T_maps_all\I12\I12-3025","\\imagefiles.bcgov\imagery\scanned_maps\moe_terrain_maps\Scanned_T_maps_all\I12\I12-3025")</f>
        <v>\\imagefiles.bcgov\imagery\scanned_maps\moe_terrain_maps\Scanned_T_maps_all\I12\I12-3025</v>
      </c>
      <c r="S921" t="s">
        <v>62</v>
      </c>
      <c r="T921" s="11" t="str">
        <f>HYPERLINK("http://www.env.gov.bc.ca/esd/distdata/ecosystems/TEI_Scanned_Maps/I12/I12-3025","http://www.env.gov.bc.ca/esd/distdata/ecosystems/TEI_Scanned_Maps/I12/I12-3025")</f>
        <v>http://www.env.gov.bc.ca/esd/distdata/ecosystems/TEI_Scanned_Maps/I12/I12-3025</v>
      </c>
      <c r="U921" t="s">
        <v>58</v>
      </c>
      <c r="V921" t="s">
        <v>58</v>
      </c>
      <c r="W921" t="s">
        <v>58</v>
      </c>
      <c r="X921" t="s">
        <v>58</v>
      </c>
      <c r="Y921" t="s">
        <v>58</v>
      </c>
      <c r="Z921" t="s">
        <v>58</v>
      </c>
      <c r="AA921" t="s">
        <v>58</v>
      </c>
      <c r="AC921" t="s">
        <v>58</v>
      </c>
      <c r="AE921" t="s">
        <v>58</v>
      </c>
      <c r="AG921" t="s">
        <v>63</v>
      </c>
      <c r="AH921" s="11" t="str">
        <f t="shared" si="17"/>
        <v>mailto: soilterrain@victoria1.gov.bc.ca</v>
      </c>
    </row>
    <row r="922" spans="1:34">
      <c r="A922" t="s">
        <v>2254</v>
      </c>
      <c r="B922" t="s">
        <v>56</v>
      </c>
      <c r="C922" s="10" t="s">
        <v>653</v>
      </c>
      <c r="D922" t="s">
        <v>58</v>
      </c>
      <c r="E922" t="s">
        <v>497</v>
      </c>
      <c r="F922" t="s">
        <v>2255</v>
      </c>
      <c r="G922">
        <v>50000</v>
      </c>
      <c r="H922">
        <v>1979</v>
      </c>
      <c r="I922" t="s">
        <v>58</v>
      </c>
      <c r="J922" t="s">
        <v>58</v>
      </c>
      <c r="K922" t="s">
        <v>58</v>
      </c>
      <c r="L922" t="s">
        <v>58</v>
      </c>
      <c r="M922" t="s">
        <v>58</v>
      </c>
      <c r="N922" t="s">
        <v>61</v>
      </c>
      <c r="Q922" t="s">
        <v>58</v>
      </c>
      <c r="R922" s="11" t="str">
        <f>HYPERLINK("\\imagefiles.bcgov\imagery\scanned_maps\moe_terrain_maps\Scanned_T_maps_all\I12\I12-3026","\\imagefiles.bcgov\imagery\scanned_maps\moe_terrain_maps\Scanned_T_maps_all\I12\I12-3026")</f>
        <v>\\imagefiles.bcgov\imagery\scanned_maps\moe_terrain_maps\Scanned_T_maps_all\I12\I12-3026</v>
      </c>
      <c r="S922" t="s">
        <v>62</v>
      </c>
      <c r="T922" s="11" t="str">
        <f>HYPERLINK("http://www.env.gov.bc.ca/esd/distdata/ecosystems/TEI_Scanned_Maps/I12/I12-3026","http://www.env.gov.bc.ca/esd/distdata/ecosystems/TEI_Scanned_Maps/I12/I12-3026")</f>
        <v>http://www.env.gov.bc.ca/esd/distdata/ecosystems/TEI_Scanned_Maps/I12/I12-3026</v>
      </c>
      <c r="U922" t="s">
        <v>58</v>
      </c>
      <c r="V922" t="s">
        <v>58</v>
      </c>
      <c r="W922" t="s">
        <v>58</v>
      </c>
      <c r="X922" t="s">
        <v>58</v>
      </c>
      <c r="Y922" t="s">
        <v>58</v>
      </c>
      <c r="Z922" t="s">
        <v>58</v>
      </c>
      <c r="AA922" t="s">
        <v>58</v>
      </c>
      <c r="AC922" t="s">
        <v>58</v>
      </c>
      <c r="AE922" t="s">
        <v>58</v>
      </c>
      <c r="AG922" t="s">
        <v>63</v>
      </c>
      <c r="AH922" s="11" t="str">
        <f t="shared" si="17"/>
        <v>mailto: soilterrain@victoria1.gov.bc.ca</v>
      </c>
    </row>
    <row r="923" spans="1:34">
      <c r="A923" t="s">
        <v>2256</v>
      </c>
      <c r="B923" t="s">
        <v>56</v>
      </c>
      <c r="C923" s="10" t="s">
        <v>647</v>
      </c>
      <c r="D923" t="s">
        <v>58</v>
      </c>
      <c r="E923" t="s">
        <v>497</v>
      </c>
      <c r="F923" t="s">
        <v>2257</v>
      </c>
      <c r="G923">
        <v>50000</v>
      </c>
      <c r="H923">
        <v>1979</v>
      </c>
      <c r="I923" t="s">
        <v>58</v>
      </c>
      <c r="J923" t="s">
        <v>58</v>
      </c>
      <c r="K923" t="s">
        <v>58</v>
      </c>
      <c r="L923" t="s">
        <v>58</v>
      </c>
      <c r="M923" t="s">
        <v>58</v>
      </c>
      <c r="N923" t="s">
        <v>61</v>
      </c>
      <c r="Q923" t="s">
        <v>58</v>
      </c>
      <c r="R923" s="11" t="str">
        <f>HYPERLINK("\\imagefiles.bcgov\imagery\scanned_maps\moe_terrain_maps\Scanned_T_maps_all\I12\I12-3027","\\imagefiles.bcgov\imagery\scanned_maps\moe_terrain_maps\Scanned_T_maps_all\I12\I12-3027")</f>
        <v>\\imagefiles.bcgov\imagery\scanned_maps\moe_terrain_maps\Scanned_T_maps_all\I12\I12-3027</v>
      </c>
      <c r="S923" t="s">
        <v>62</v>
      </c>
      <c r="T923" s="11" t="str">
        <f>HYPERLINK("http://www.env.gov.bc.ca/esd/distdata/ecosystems/TEI_Scanned_Maps/I12/I12-3027","http://www.env.gov.bc.ca/esd/distdata/ecosystems/TEI_Scanned_Maps/I12/I12-3027")</f>
        <v>http://www.env.gov.bc.ca/esd/distdata/ecosystems/TEI_Scanned_Maps/I12/I12-3027</v>
      </c>
      <c r="U923" t="s">
        <v>58</v>
      </c>
      <c r="V923" t="s">
        <v>58</v>
      </c>
      <c r="W923" t="s">
        <v>58</v>
      </c>
      <c r="X923" t="s">
        <v>58</v>
      </c>
      <c r="Y923" t="s">
        <v>58</v>
      </c>
      <c r="Z923" t="s">
        <v>58</v>
      </c>
      <c r="AA923" t="s">
        <v>58</v>
      </c>
      <c r="AC923" t="s">
        <v>58</v>
      </c>
      <c r="AE923" t="s">
        <v>58</v>
      </c>
      <c r="AG923" t="s">
        <v>63</v>
      </c>
      <c r="AH923" s="11" t="str">
        <f t="shared" si="17"/>
        <v>mailto: soilterrain@victoria1.gov.bc.ca</v>
      </c>
    </row>
    <row r="924" spans="1:34">
      <c r="A924" t="s">
        <v>2258</v>
      </c>
      <c r="B924" t="s">
        <v>56</v>
      </c>
      <c r="C924" s="10" t="s">
        <v>165</v>
      </c>
      <c r="D924" t="s">
        <v>58</v>
      </c>
      <c r="E924" t="s">
        <v>497</v>
      </c>
      <c r="F924" t="s">
        <v>2259</v>
      </c>
      <c r="G924">
        <v>50000</v>
      </c>
      <c r="H924">
        <v>1979</v>
      </c>
      <c r="I924" t="s">
        <v>58</v>
      </c>
      <c r="J924" t="s">
        <v>58</v>
      </c>
      <c r="K924" t="s">
        <v>58</v>
      </c>
      <c r="L924" t="s">
        <v>58</v>
      </c>
      <c r="M924" t="s">
        <v>58</v>
      </c>
      <c r="N924" t="s">
        <v>61</v>
      </c>
      <c r="Q924" t="s">
        <v>58</v>
      </c>
      <c r="R924" s="11" t="str">
        <f>HYPERLINK("\\imagefiles.bcgov\imagery\scanned_maps\moe_terrain_maps\Scanned_T_maps_all\I12\I12-3028","\\imagefiles.bcgov\imagery\scanned_maps\moe_terrain_maps\Scanned_T_maps_all\I12\I12-3028")</f>
        <v>\\imagefiles.bcgov\imagery\scanned_maps\moe_terrain_maps\Scanned_T_maps_all\I12\I12-3028</v>
      </c>
      <c r="S924" t="s">
        <v>62</v>
      </c>
      <c r="T924" s="11" t="str">
        <f>HYPERLINK("http://www.env.gov.bc.ca/esd/distdata/ecosystems/TEI_Scanned_Maps/I12/I12-3028","http://www.env.gov.bc.ca/esd/distdata/ecosystems/TEI_Scanned_Maps/I12/I12-3028")</f>
        <v>http://www.env.gov.bc.ca/esd/distdata/ecosystems/TEI_Scanned_Maps/I12/I12-3028</v>
      </c>
      <c r="U924" t="s">
        <v>58</v>
      </c>
      <c r="V924" t="s">
        <v>58</v>
      </c>
      <c r="W924" t="s">
        <v>58</v>
      </c>
      <c r="X924" t="s">
        <v>58</v>
      </c>
      <c r="Y924" t="s">
        <v>58</v>
      </c>
      <c r="Z924" t="s">
        <v>58</v>
      </c>
      <c r="AA924" t="s">
        <v>58</v>
      </c>
      <c r="AC924" t="s">
        <v>58</v>
      </c>
      <c r="AE924" t="s">
        <v>58</v>
      </c>
      <c r="AG924" t="s">
        <v>63</v>
      </c>
      <c r="AH924" s="11" t="str">
        <f t="shared" si="17"/>
        <v>mailto: soilterrain@victoria1.gov.bc.ca</v>
      </c>
    </row>
    <row r="925" spans="1:34">
      <c r="A925" t="s">
        <v>2260</v>
      </c>
      <c r="B925" t="s">
        <v>56</v>
      </c>
      <c r="C925" s="10" t="s">
        <v>1246</v>
      </c>
      <c r="D925" t="s">
        <v>58</v>
      </c>
      <c r="E925" t="s">
        <v>497</v>
      </c>
      <c r="F925" t="s">
        <v>2261</v>
      </c>
      <c r="G925">
        <v>50000</v>
      </c>
      <c r="H925">
        <v>1979</v>
      </c>
      <c r="I925" t="s">
        <v>58</v>
      </c>
      <c r="J925" t="s">
        <v>58</v>
      </c>
      <c r="K925" t="s">
        <v>58</v>
      </c>
      <c r="L925" t="s">
        <v>58</v>
      </c>
      <c r="M925" t="s">
        <v>58</v>
      </c>
      <c r="N925" t="s">
        <v>61</v>
      </c>
      <c r="Q925" t="s">
        <v>58</v>
      </c>
      <c r="R925" s="11" t="str">
        <f>HYPERLINK("\\imagefiles.bcgov\imagery\scanned_maps\moe_terrain_maps\Scanned_T_maps_all\I12\I12-3029","\\imagefiles.bcgov\imagery\scanned_maps\moe_terrain_maps\Scanned_T_maps_all\I12\I12-3029")</f>
        <v>\\imagefiles.bcgov\imagery\scanned_maps\moe_terrain_maps\Scanned_T_maps_all\I12\I12-3029</v>
      </c>
      <c r="S925" t="s">
        <v>62</v>
      </c>
      <c r="T925" s="11" t="str">
        <f>HYPERLINK("http://www.env.gov.bc.ca/esd/distdata/ecosystems/TEI_Scanned_Maps/I12/I12-3029","http://www.env.gov.bc.ca/esd/distdata/ecosystems/TEI_Scanned_Maps/I12/I12-3029")</f>
        <v>http://www.env.gov.bc.ca/esd/distdata/ecosystems/TEI_Scanned_Maps/I12/I12-3029</v>
      </c>
      <c r="U925" t="s">
        <v>58</v>
      </c>
      <c r="V925" t="s">
        <v>58</v>
      </c>
      <c r="W925" t="s">
        <v>58</v>
      </c>
      <c r="X925" t="s">
        <v>58</v>
      </c>
      <c r="Y925" t="s">
        <v>58</v>
      </c>
      <c r="Z925" t="s">
        <v>58</v>
      </c>
      <c r="AA925" t="s">
        <v>58</v>
      </c>
      <c r="AC925" t="s">
        <v>58</v>
      </c>
      <c r="AE925" t="s">
        <v>58</v>
      </c>
      <c r="AG925" t="s">
        <v>63</v>
      </c>
      <c r="AH925" s="11" t="str">
        <f t="shared" si="17"/>
        <v>mailto: soilterrain@victoria1.gov.bc.ca</v>
      </c>
    </row>
    <row r="926" spans="1:34">
      <c r="A926" t="s">
        <v>2262</v>
      </c>
      <c r="B926" t="s">
        <v>56</v>
      </c>
      <c r="C926" s="10" t="s">
        <v>1248</v>
      </c>
      <c r="D926" t="s">
        <v>58</v>
      </c>
      <c r="E926" t="s">
        <v>497</v>
      </c>
      <c r="F926" t="s">
        <v>2263</v>
      </c>
      <c r="G926">
        <v>50000</v>
      </c>
      <c r="H926">
        <v>1979</v>
      </c>
      <c r="I926" t="s">
        <v>58</v>
      </c>
      <c r="J926" t="s">
        <v>58</v>
      </c>
      <c r="K926" t="s">
        <v>58</v>
      </c>
      <c r="L926" t="s">
        <v>58</v>
      </c>
      <c r="M926" t="s">
        <v>58</v>
      </c>
      <c r="N926" t="s">
        <v>61</v>
      </c>
      <c r="Q926" t="s">
        <v>58</v>
      </c>
      <c r="R926" s="11" t="str">
        <f>HYPERLINK("\\imagefiles.bcgov\imagery\scanned_maps\moe_terrain_maps\Scanned_T_maps_all\I12\I12-3030","\\imagefiles.bcgov\imagery\scanned_maps\moe_terrain_maps\Scanned_T_maps_all\I12\I12-3030")</f>
        <v>\\imagefiles.bcgov\imagery\scanned_maps\moe_terrain_maps\Scanned_T_maps_all\I12\I12-3030</v>
      </c>
      <c r="S926" t="s">
        <v>62</v>
      </c>
      <c r="T926" s="11" t="str">
        <f>HYPERLINK("http://www.env.gov.bc.ca/esd/distdata/ecosystems/TEI_Scanned_Maps/I12/I12-3030","http://www.env.gov.bc.ca/esd/distdata/ecosystems/TEI_Scanned_Maps/I12/I12-3030")</f>
        <v>http://www.env.gov.bc.ca/esd/distdata/ecosystems/TEI_Scanned_Maps/I12/I12-3030</v>
      </c>
      <c r="U926" t="s">
        <v>58</v>
      </c>
      <c r="V926" t="s">
        <v>58</v>
      </c>
      <c r="W926" t="s">
        <v>58</v>
      </c>
      <c r="X926" t="s">
        <v>58</v>
      </c>
      <c r="Y926" t="s">
        <v>58</v>
      </c>
      <c r="Z926" t="s">
        <v>58</v>
      </c>
      <c r="AA926" t="s">
        <v>58</v>
      </c>
      <c r="AC926" t="s">
        <v>58</v>
      </c>
      <c r="AE926" t="s">
        <v>58</v>
      </c>
      <c r="AG926" t="s">
        <v>63</v>
      </c>
      <c r="AH926" s="11" t="str">
        <f t="shared" si="17"/>
        <v>mailto: soilterrain@victoria1.gov.bc.ca</v>
      </c>
    </row>
    <row r="927" spans="1:34">
      <c r="A927" t="s">
        <v>2264</v>
      </c>
      <c r="B927" t="s">
        <v>56</v>
      </c>
      <c r="C927" s="10" t="s">
        <v>1250</v>
      </c>
      <c r="D927" t="s">
        <v>58</v>
      </c>
      <c r="E927" t="s">
        <v>497</v>
      </c>
      <c r="F927" t="s">
        <v>2265</v>
      </c>
      <c r="G927">
        <v>50000</v>
      </c>
      <c r="H927">
        <v>1979</v>
      </c>
      <c r="I927" t="s">
        <v>58</v>
      </c>
      <c r="J927" t="s">
        <v>58</v>
      </c>
      <c r="K927" t="s">
        <v>58</v>
      </c>
      <c r="L927" t="s">
        <v>58</v>
      </c>
      <c r="M927" t="s">
        <v>58</v>
      </c>
      <c r="N927" t="s">
        <v>61</v>
      </c>
      <c r="Q927" t="s">
        <v>58</v>
      </c>
      <c r="R927" s="11" t="str">
        <f>HYPERLINK("\\imagefiles.bcgov\imagery\scanned_maps\moe_terrain_maps\Scanned_T_maps_all\I12\I12-3031","\\imagefiles.bcgov\imagery\scanned_maps\moe_terrain_maps\Scanned_T_maps_all\I12\I12-3031")</f>
        <v>\\imagefiles.bcgov\imagery\scanned_maps\moe_terrain_maps\Scanned_T_maps_all\I12\I12-3031</v>
      </c>
      <c r="S927" t="s">
        <v>62</v>
      </c>
      <c r="T927" s="11" t="str">
        <f>HYPERLINK("http://www.env.gov.bc.ca/esd/distdata/ecosystems/TEI_Scanned_Maps/I12/I12-3031","http://www.env.gov.bc.ca/esd/distdata/ecosystems/TEI_Scanned_Maps/I12/I12-3031")</f>
        <v>http://www.env.gov.bc.ca/esd/distdata/ecosystems/TEI_Scanned_Maps/I12/I12-3031</v>
      </c>
      <c r="U927" t="s">
        <v>58</v>
      </c>
      <c r="V927" t="s">
        <v>58</v>
      </c>
      <c r="W927" t="s">
        <v>58</v>
      </c>
      <c r="X927" t="s">
        <v>58</v>
      </c>
      <c r="Y927" t="s">
        <v>58</v>
      </c>
      <c r="Z927" t="s">
        <v>58</v>
      </c>
      <c r="AA927" t="s">
        <v>58</v>
      </c>
      <c r="AC927" t="s">
        <v>58</v>
      </c>
      <c r="AE927" t="s">
        <v>58</v>
      </c>
      <c r="AG927" t="s">
        <v>63</v>
      </c>
      <c r="AH927" s="11" t="str">
        <f t="shared" si="17"/>
        <v>mailto: soilterrain@victoria1.gov.bc.ca</v>
      </c>
    </row>
    <row r="928" spans="1:34">
      <c r="A928" t="s">
        <v>2266</v>
      </c>
      <c r="B928" t="s">
        <v>56</v>
      </c>
      <c r="C928" s="10" t="s">
        <v>170</v>
      </c>
      <c r="D928" t="s">
        <v>58</v>
      </c>
      <c r="E928" t="s">
        <v>497</v>
      </c>
      <c r="F928" t="s">
        <v>2267</v>
      </c>
      <c r="G928">
        <v>50000</v>
      </c>
      <c r="H928">
        <v>1979</v>
      </c>
      <c r="I928" t="s">
        <v>58</v>
      </c>
      <c r="J928" t="s">
        <v>58</v>
      </c>
      <c r="K928" t="s">
        <v>58</v>
      </c>
      <c r="L928" t="s">
        <v>58</v>
      </c>
      <c r="M928" t="s">
        <v>58</v>
      </c>
      <c r="N928" t="s">
        <v>61</v>
      </c>
      <c r="Q928" t="s">
        <v>58</v>
      </c>
      <c r="R928" s="11" t="str">
        <f>HYPERLINK("\\imagefiles.bcgov\imagery\scanned_maps\moe_terrain_maps\Scanned_T_maps_all\I12\I12-3032","\\imagefiles.bcgov\imagery\scanned_maps\moe_terrain_maps\Scanned_T_maps_all\I12\I12-3032")</f>
        <v>\\imagefiles.bcgov\imagery\scanned_maps\moe_terrain_maps\Scanned_T_maps_all\I12\I12-3032</v>
      </c>
      <c r="S928" t="s">
        <v>62</v>
      </c>
      <c r="T928" s="11" t="str">
        <f>HYPERLINK("http://www.env.gov.bc.ca/esd/distdata/ecosystems/TEI_Scanned_Maps/I12/I12-3032","http://www.env.gov.bc.ca/esd/distdata/ecosystems/TEI_Scanned_Maps/I12/I12-3032")</f>
        <v>http://www.env.gov.bc.ca/esd/distdata/ecosystems/TEI_Scanned_Maps/I12/I12-3032</v>
      </c>
      <c r="U928" t="s">
        <v>58</v>
      </c>
      <c r="V928" t="s">
        <v>58</v>
      </c>
      <c r="W928" t="s">
        <v>58</v>
      </c>
      <c r="X928" t="s">
        <v>58</v>
      </c>
      <c r="Y928" t="s">
        <v>58</v>
      </c>
      <c r="Z928" t="s">
        <v>58</v>
      </c>
      <c r="AA928" t="s">
        <v>58</v>
      </c>
      <c r="AC928" t="s">
        <v>58</v>
      </c>
      <c r="AE928" t="s">
        <v>58</v>
      </c>
      <c r="AG928" t="s">
        <v>63</v>
      </c>
      <c r="AH928" s="11" t="str">
        <f t="shared" si="17"/>
        <v>mailto: soilterrain@victoria1.gov.bc.ca</v>
      </c>
    </row>
    <row r="929" spans="1:34">
      <c r="A929" t="s">
        <v>2268</v>
      </c>
      <c r="B929" t="s">
        <v>56</v>
      </c>
      <c r="C929" s="10" t="s">
        <v>635</v>
      </c>
      <c r="D929" t="s">
        <v>58</v>
      </c>
      <c r="E929" t="s">
        <v>497</v>
      </c>
      <c r="F929" t="s">
        <v>2269</v>
      </c>
      <c r="G929">
        <v>50000</v>
      </c>
      <c r="H929">
        <v>1979</v>
      </c>
      <c r="I929" t="s">
        <v>58</v>
      </c>
      <c r="J929" t="s">
        <v>58</v>
      </c>
      <c r="K929" t="s">
        <v>58</v>
      </c>
      <c r="L929" t="s">
        <v>58</v>
      </c>
      <c r="M929" t="s">
        <v>58</v>
      </c>
      <c r="N929" t="s">
        <v>61</v>
      </c>
      <c r="Q929" t="s">
        <v>58</v>
      </c>
      <c r="R929" s="11" t="str">
        <f>HYPERLINK("\\imagefiles.bcgov\imagery\scanned_maps\moe_terrain_maps\Scanned_T_maps_all\I12\I12-3033","\\imagefiles.bcgov\imagery\scanned_maps\moe_terrain_maps\Scanned_T_maps_all\I12\I12-3033")</f>
        <v>\\imagefiles.bcgov\imagery\scanned_maps\moe_terrain_maps\Scanned_T_maps_all\I12\I12-3033</v>
      </c>
      <c r="S929" t="s">
        <v>62</v>
      </c>
      <c r="T929" s="11" t="str">
        <f>HYPERLINK("http://www.env.gov.bc.ca/esd/distdata/ecosystems/TEI_Scanned_Maps/I12/I12-3033","http://www.env.gov.bc.ca/esd/distdata/ecosystems/TEI_Scanned_Maps/I12/I12-3033")</f>
        <v>http://www.env.gov.bc.ca/esd/distdata/ecosystems/TEI_Scanned_Maps/I12/I12-3033</v>
      </c>
      <c r="U929" t="s">
        <v>58</v>
      </c>
      <c r="V929" t="s">
        <v>58</v>
      </c>
      <c r="W929" t="s">
        <v>58</v>
      </c>
      <c r="X929" t="s">
        <v>58</v>
      </c>
      <c r="Y929" t="s">
        <v>58</v>
      </c>
      <c r="Z929" t="s">
        <v>58</v>
      </c>
      <c r="AA929" t="s">
        <v>58</v>
      </c>
      <c r="AC929" t="s">
        <v>58</v>
      </c>
      <c r="AE929" t="s">
        <v>58</v>
      </c>
      <c r="AG929" t="s">
        <v>63</v>
      </c>
      <c r="AH929" s="11" t="str">
        <f t="shared" si="17"/>
        <v>mailto: soilterrain@victoria1.gov.bc.ca</v>
      </c>
    </row>
    <row r="930" spans="1:34">
      <c r="A930" t="s">
        <v>2270</v>
      </c>
      <c r="B930" t="s">
        <v>56</v>
      </c>
      <c r="C930" s="10" t="s">
        <v>185</v>
      </c>
      <c r="D930" t="s">
        <v>58</v>
      </c>
      <c r="E930" t="s">
        <v>497</v>
      </c>
      <c r="F930" t="s">
        <v>2271</v>
      </c>
      <c r="G930">
        <v>50000</v>
      </c>
      <c r="H930">
        <v>1979</v>
      </c>
      <c r="I930" t="s">
        <v>58</v>
      </c>
      <c r="J930" t="s">
        <v>58</v>
      </c>
      <c r="K930" t="s">
        <v>58</v>
      </c>
      <c r="L930" t="s">
        <v>58</v>
      </c>
      <c r="M930" t="s">
        <v>58</v>
      </c>
      <c r="N930" t="s">
        <v>61</v>
      </c>
      <c r="Q930" t="s">
        <v>58</v>
      </c>
      <c r="R930" s="11" t="str">
        <f>HYPERLINK("\\imagefiles.bcgov\imagery\scanned_maps\moe_terrain_maps\Scanned_T_maps_all\I12\I12-3034","\\imagefiles.bcgov\imagery\scanned_maps\moe_terrain_maps\Scanned_T_maps_all\I12\I12-3034")</f>
        <v>\\imagefiles.bcgov\imagery\scanned_maps\moe_terrain_maps\Scanned_T_maps_all\I12\I12-3034</v>
      </c>
      <c r="S930" t="s">
        <v>62</v>
      </c>
      <c r="T930" s="11" t="str">
        <f>HYPERLINK("http://www.env.gov.bc.ca/esd/distdata/ecosystems/TEI_Scanned_Maps/I12/I12-3034","http://www.env.gov.bc.ca/esd/distdata/ecosystems/TEI_Scanned_Maps/I12/I12-3034")</f>
        <v>http://www.env.gov.bc.ca/esd/distdata/ecosystems/TEI_Scanned_Maps/I12/I12-3034</v>
      </c>
      <c r="U930" t="s">
        <v>58</v>
      </c>
      <c r="V930" t="s">
        <v>58</v>
      </c>
      <c r="W930" t="s">
        <v>58</v>
      </c>
      <c r="X930" t="s">
        <v>58</v>
      </c>
      <c r="Y930" t="s">
        <v>58</v>
      </c>
      <c r="Z930" t="s">
        <v>58</v>
      </c>
      <c r="AA930" t="s">
        <v>58</v>
      </c>
      <c r="AC930" t="s">
        <v>58</v>
      </c>
      <c r="AE930" t="s">
        <v>58</v>
      </c>
      <c r="AG930" t="s">
        <v>63</v>
      </c>
      <c r="AH930" s="11" t="str">
        <f t="shared" si="17"/>
        <v>mailto: soilterrain@victoria1.gov.bc.ca</v>
      </c>
    </row>
    <row r="931" spans="1:34">
      <c r="A931" t="s">
        <v>2272</v>
      </c>
      <c r="B931" t="s">
        <v>56</v>
      </c>
      <c r="C931" s="10" t="s">
        <v>192</v>
      </c>
      <c r="D931" t="s">
        <v>58</v>
      </c>
      <c r="E931" t="s">
        <v>497</v>
      </c>
      <c r="F931" t="s">
        <v>2273</v>
      </c>
      <c r="G931">
        <v>50000</v>
      </c>
      <c r="H931">
        <v>1979</v>
      </c>
      <c r="I931" t="s">
        <v>58</v>
      </c>
      <c r="J931" t="s">
        <v>58</v>
      </c>
      <c r="K931" t="s">
        <v>58</v>
      </c>
      <c r="L931" t="s">
        <v>58</v>
      </c>
      <c r="M931" t="s">
        <v>58</v>
      </c>
      <c r="N931" t="s">
        <v>61</v>
      </c>
      <c r="Q931" t="s">
        <v>58</v>
      </c>
      <c r="R931" s="11" t="str">
        <f>HYPERLINK("\\imagefiles.bcgov\imagery\scanned_maps\moe_terrain_maps\Scanned_T_maps_all\I12\I12-3035","\\imagefiles.bcgov\imagery\scanned_maps\moe_terrain_maps\Scanned_T_maps_all\I12\I12-3035")</f>
        <v>\\imagefiles.bcgov\imagery\scanned_maps\moe_terrain_maps\Scanned_T_maps_all\I12\I12-3035</v>
      </c>
      <c r="S931" t="s">
        <v>62</v>
      </c>
      <c r="T931" s="11" t="str">
        <f>HYPERLINK("http://www.env.gov.bc.ca/esd/distdata/ecosystems/TEI_Scanned_Maps/I12/I12-3035","http://www.env.gov.bc.ca/esd/distdata/ecosystems/TEI_Scanned_Maps/I12/I12-3035")</f>
        <v>http://www.env.gov.bc.ca/esd/distdata/ecosystems/TEI_Scanned_Maps/I12/I12-3035</v>
      </c>
      <c r="U931" t="s">
        <v>58</v>
      </c>
      <c r="V931" t="s">
        <v>58</v>
      </c>
      <c r="W931" t="s">
        <v>58</v>
      </c>
      <c r="X931" t="s">
        <v>58</v>
      </c>
      <c r="Y931" t="s">
        <v>58</v>
      </c>
      <c r="Z931" t="s">
        <v>58</v>
      </c>
      <c r="AA931" t="s">
        <v>58</v>
      </c>
      <c r="AC931" t="s">
        <v>58</v>
      </c>
      <c r="AE931" t="s">
        <v>58</v>
      </c>
      <c r="AG931" t="s">
        <v>63</v>
      </c>
      <c r="AH931" s="11" t="str">
        <f t="shared" si="17"/>
        <v>mailto: soilterrain@victoria1.gov.bc.ca</v>
      </c>
    </row>
    <row r="932" spans="1:34">
      <c r="A932" t="s">
        <v>2274</v>
      </c>
      <c r="B932" t="s">
        <v>56</v>
      </c>
      <c r="C932" s="10" t="s">
        <v>173</v>
      </c>
      <c r="D932" t="s">
        <v>58</v>
      </c>
      <c r="E932" t="s">
        <v>497</v>
      </c>
      <c r="F932" t="s">
        <v>2275</v>
      </c>
      <c r="G932">
        <v>50000</v>
      </c>
      <c r="H932">
        <v>1979</v>
      </c>
      <c r="I932" t="s">
        <v>58</v>
      </c>
      <c r="J932" t="s">
        <v>58</v>
      </c>
      <c r="K932" t="s">
        <v>58</v>
      </c>
      <c r="L932" t="s">
        <v>58</v>
      </c>
      <c r="M932" t="s">
        <v>58</v>
      </c>
      <c r="N932" t="s">
        <v>61</v>
      </c>
      <c r="Q932" t="s">
        <v>58</v>
      </c>
      <c r="R932" s="11" t="str">
        <f>HYPERLINK("\\imagefiles.bcgov\imagery\scanned_maps\moe_terrain_maps\Scanned_T_maps_all\I12\I12-3036","\\imagefiles.bcgov\imagery\scanned_maps\moe_terrain_maps\Scanned_T_maps_all\I12\I12-3036")</f>
        <v>\\imagefiles.bcgov\imagery\scanned_maps\moe_terrain_maps\Scanned_T_maps_all\I12\I12-3036</v>
      </c>
      <c r="S932" t="s">
        <v>62</v>
      </c>
      <c r="T932" s="11" t="str">
        <f>HYPERLINK("http://www.env.gov.bc.ca/esd/distdata/ecosystems/TEI_Scanned_Maps/I12/I12-3036","http://www.env.gov.bc.ca/esd/distdata/ecosystems/TEI_Scanned_Maps/I12/I12-3036")</f>
        <v>http://www.env.gov.bc.ca/esd/distdata/ecosystems/TEI_Scanned_Maps/I12/I12-3036</v>
      </c>
      <c r="U932" t="s">
        <v>58</v>
      </c>
      <c r="V932" t="s">
        <v>58</v>
      </c>
      <c r="W932" t="s">
        <v>58</v>
      </c>
      <c r="X932" t="s">
        <v>58</v>
      </c>
      <c r="Y932" t="s">
        <v>58</v>
      </c>
      <c r="Z932" t="s">
        <v>58</v>
      </c>
      <c r="AA932" t="s">
        <v>58</v>
      </c>
      <c r="AC932" t="s">
        <v>58</v>
      </c>
      <c r="AE932" t="s">
        <v>58</v>
      </c>
      <c r="AG932" t="s">
        <v>63</v>
      </c>
      <c r="AH932" s="11" t="str">
        <f t="shared" si="17"/>
        <v>mailto: soilterrain@victoria1.gov.bc.ca</v>
      </c>
    </row>
    <row r="933" spans="1:34">
      <c r="A933" t="s">
        <v>2276</v>
      </c>
      <c r="B933" t="s">
        <v>56</v>
      </c>
      <c r="C933" s="10" t="s">
        <v>176</v>
      </c>
      <c r="D933" t="s">
        <v>58</v>
      </c>
      <c r="E933" t="s">
        <v>497</v>
      </c>
      <c r="F933" t="s">
        <v>2277</v>
      </c>
      <c r="G933">
        <v>50000</v>
      </c>
      <c r="H933">
        <v>1979</v>
      </c>
      <c r="I933" t="s">
        <v>58</v>
      </c>
      <c r="J933" t="s">
        <v>58</v>
      </c>
      <c r="K933" t="s">
        <v>58</v>
      </c>
      <c r="L933" t="s">
        <v>58</v>
      </c>
      <c r="M933" t="s">
        <v>58</v>
      </c>
      <c r="N933" t="s">
        <v>61</v>
      </c>
      <c r="Q933" t="s">
        <v>58</v>
      </c>
      <c r="R933" s="11" t="str">
        <f>HYPERLINK("\\imagefiles.bcgov\imagery\scanned_maps\moe_terrain_maps\Scanned_T_maps_all\I12\I12-3037","\\imagefiles.bcgov\imagery\scanned_maps\moe_terrain_maps\Scanned_T_maps_all\I12\I12-3037")</f>
        <v>\\imagefiles.bcgov\imagery\scanned_maps\moe_terrain_maps\Scanned_T_maps_all\I12\I12-3037</v>
      </c>
      <c r="S933" t="s">
        <v>62</v>
      </c>
      <c r="T933" s="11" t="str">
        <f>HYPERLINK("http://www.env.gov.bc.ca/esd/distdata/ecosystems/TEI_Scanned_Maps/I12/I12-3037","http://www.env.gov.bc.ca/esd/distdata/ecosystems/TEI_Scanned_Maps/I12/I12-3037")</f>
        <v>http://www.env.gov.bc.ca/esd/distdata/ecosystems/TEI_Scanned_Maps/I12/I12-3037</v>
      </c>
      <c r="U933" t="s">
        <v>58</v>
      </c>
      <c r="V933" t="s">
        <v>58</v>
      </c>
      <c r="W933" t="s">
        <v>58</v>
      </c>
      <c r="X933" t="s">
        <v>58</v>
      </c>
      <c r="Y933" t="s">
        <v>58</v>
      </c>
      <c r="Z933" t="s">
        <v>58</v>
      </c>
      <c r="AA933" t="s">
        <v>58</v>
      </c>
      <c r="AC933" t="s">
        <v>58</v>
      </c>
      <c r="AE933" t="s">
        <v>58</v>
      </c>
      <c r="AG933" t="s">
        <v>63</v>
      </c>
      <c r="AH933" s="11" t="str">
        <f t="shared" si="17"/>
        <v>mailto: soilterrain@victoria1.gov.bc.ca</v>
      </c>
    </row>
    <row r="934" spans="1:34">
      <c r="A934" t="s">
        <v>2278</v>
      </c>
      <c r="B934" t="s">
        <v>56</v>
      </c>
      <c r="C934" s="10" t="s">
        <v>182</v>
      </c>
      <c r="D934" t="s">
        <v>58</v>
      </c>
      <c r="E934" t="s">
        <v>497</v>
      </c>
      <c r="F934" t="s">
        <v>2279</v>
      </c>
      <c r="G934">
        <v>50000</v>
      </c>
      <c r="H934">
        <v>1979</v>
      </c>
      <c r="I934" t="s">
        <v>58</v>
      </c>
      <c r="J934" t="s">
        <v>58</v>
      </c>
      <c r="K934" t="s">
        <v>58</v>
      </c>
      <c r="L934" t="s">
        <v>58</v>
      </c>
      <c r="M934" t="s">
        <v>58</v>
      </c>
      <c r="N934" t="s">
        <v>61</v>
      </c>
      <c r="Q934" t="s">
        <v>58</v>
      </c>
      <c r="R934" s="11" t="str">
        <f>HYPERLINK("\\imagefiles.bcgov\imagery\scanned_maps\moe_terrain_maps\Scanned_T_maps_all\I12\I12-3038","\\imagefiles.bcgov\imagery\scanned_maps\moe_terrain_maps\Scanned_T_maps_all\I12\I12-3038")</f>
        <v>\\imagefiles.bcgov\imagery\scanned_maps\moe_terrain_maps\Scanned_T_maps_all\I12\I12-3038</v>
      </c>
      <c r="S934" t="s">
        <v>62</v>
      </c>
      <c r="T934" s="11" t="str">
        <f>HYPERLINK("http://www.env.gov.bc.ca/esd/distdata/ecosystems/TEI_Scanned_Maps/I12/I12-3038","http://www.env.gov.bc.ca/esd/distdata/ecosystems/TEI_Scanned_Maps/I12/I12-3038")</f>
        <v>http://www.env.gov.bc.ca/esd/distdata/ecosystems/TEI_Scanned_Maps/I12/I12-3038</v>
      </c>
      <c r="U934" t="s">
        <v>58</v>
      </c>
      <c r="V934" t="s">
        <v>58</v>
      </c>
      <c r="W934" t="s">
        <v>58</v>
      </c>
      <c r="X934" t="s">
        <v>58</v>
      </c>
      <c r="Y934" t="s">
        <v>58</v>
      </c>
      <c r="Z934" t="s">
        <v>58</v>
      </c>
      <c r="AA934" t="s">
        <v>58</v>
      </c>
      <c r="AC934" t="s">
        <v>58</v>
      </c>
      <c r="AE934" t="s">
        <v>58</v>
      </c>
      <c r="AG934" t="s">
        <v>63</v>
      </c>
      <c r="AH934" s="11" t="str">
        <f t="shared" si="17"/>
        <v>mailto: soilterrain@victoria1.gov.bc.ca</v>
      </c>
    </row>
    <row r="935" spans="1:34">
      <c r="A935" t="s">
        <v>2280</v>
      </c>
      <c r="B935" t="s">
        <v>56</v>
      </c>
      <c r="C935" s="10" t="s">
        <v>1261</v>
      </c>
      <c r="D935" t="s">
        <v>58</v>
      </c>
      <c r="E935" t="s">
        <v>497</v>
      </c>
      <c r="F935" t="s">
        <v>2281</v>
      </c>
      <c r="G935">
        <v>50000</v>
      </c>
      <c r="H935">
        <v>1979</v>
      </c>
      <c r="I935" t="s">
        <v>58</v>
      </c>
      <c r="J935" t="s">
        <v>58</v>
      </c>
      <c r="K935" t="s">
        <v>58</v>
      </c>
      <c r="L935" t="s">
        <v>58</v>
      </c>
      <c r="M935" t="s">
        <v>58</v>
      </c>
      <c r="N935" t="s">
        <v>61</v>
      </c>
      <c r="Q935" t="s">
        <v>58</v>
      </c>
      <c r="R935" s="11" t="str">
        <f>HYPERLINK("\\imagefiles.bcgov\imagery\scanned_maps\moe_terrain_maps\Scanned_T_maps_all\I12\I12-3039","\\imagefiles.bcgov\imagery\scanned_maps\moe_terrain_maps\Scanned_T_maps_all\I12\I12-3039")</f>
        <v>\\imagefiles.bcgov\imagery\scanned_maps\moe_terrain_maps\Scanned_T_maps_all\I12\I12-3039</v>
      </c>
      <c r="S935" t="s">
        <v>62</v>
      </c>
      <c r="T935" s="11" t="str">
        <f>HYPERLINK("http://www.env.gov.bc.ca/esd/distdata/ecosystems/TEI_Scanned_Maps/I12/I12-3039","http://www.env.gov.bc.ca/esd/distdata/ecosystems/TEI_Scanned_Maps/I12/I12-3039")</f>
        <v>http://www.env.gov.bc.ca/esd/distdata/ecosystems/TEI_Scanned_Maps/I12/I12-3039</v>
      </c>
      <c r="U935" t="s">
        <v>58</v>
      </c>
      <c r="V935" t="s">
        <v>58</v>
      </c>
      <c r="W935" t="s">
        <v>58</v>
      </c>
      <c r="X935" t="s">
        <v>58</v>
      </c>
      <c r="Y935" t="s">
        <v>58</v>
      </c>
      <c r="Z935" t="s">
        <v>58</v>
      </c>
      <c r="AA935" t="s">
        <v>58</v>
      </c>
      <c r="AC935" t="s">
        <v>58</v>
      </c>
      <c r="AE935" t="s">
        <v>58</v>
      </c>
      <c r="AG935" t="s">
        <v>63</v>
      </c>
      <c r="AH935" s="11" t="str">
        <f t="shared" si="17"/>
        <v>mailto: soilterrain@victoria1.gov.bc.ca</v>
      </c>
    </row>
    <row r="936" spans="1:34">
      <c r="A936" t="s">
        <v>2282</v>
      </c>
      <c r="B936" t="s">
        <v>56</v>
      </c>
      <c r="C936" s="10" t="s">
        <v>739</v>
      </c>
      <c r="D936" t="s">
        <v>58</v>
      </c>
      <c r="E936" t="s">
        <v>497</v>
      </c>
      <c r="F936" t="s">
        <v>2283</v>
      </c>
      <c r="G936">
        <v>50000</v>
      </c>
      <c r="H936">
        <v>1979</v>
      </c>
      <c r="I936" t="s">
        <v>58</v>
      </c>
      <c r="J936" t="s">
        <v>58</v>
      </c>
      <c r="K936" t="s">
        <v>58</v>
      </c>
      <c r="L936" t="s">
        <v>58</v>
      </c>
      <c r="M936" t="s">
        <v>58</v>
      </c>
      <c r="N936" t="s">
        <v>61</v>
      </c>
      <c r="Q936" t="s">
        <v>58</v>
      </c>
      <c r="R936" s="11" t="str">
        <f>HYPERLINK("\\imagefiles.bcgov\imagery\scanned_maps\moe_terrain_maps\Scanned_T_maps_all\I12\I12-3040","\\imagefiles.bcgov\imagery\scanned_maps\moe_terrain_maps\Scanned_T_maps_all\I12\I12-3040")</f>
        <v>\\imagefiles.bcgov\imagery\scanned_maps\moe_terrain_maps\Scanned_T_maps_all\I12\I12-3040</v>
      </c>
      <c r="S936" t="s">
        <v>62</v>
      </c>
      <c r="T936" s="11" t="str">
        <f>HYPERLINK("http://www.env.gov.bc.ca/esd/distdata/ecosystems/TEI_Scanned_Maps/I12/I12-3040","http://www.env.gov.bc.ca/esd/distdata/ecosystems/TEI_Scanned_Maps/I12/I12-3040")</f>
        <v>http://www.env.gov.bc.ca/esd/distdata/ecosystems/TEI_Scanned_Maps/I12/I12-3040</v>
      </c>
      <c r="U936" t="s">
        <v>58</v>
      </c>
      <c r="V936" t="s">
        <v>58</v>
      </c>
      <c r="W936" t="s">
        <v>58</v>
      </c>
      <c r="X936" t="s">
        <v>58</v>
      </c>
      <c r="Y936" t="s">
        <v>58</v>
      </c>
      <c r="Z936" t="s">
        <v>58</v>
      </c>
      <c r="AA936" t="s">
        <v>58</v>
      </c>
      <c r="AC936" t="s">
        <v>58</v>
      </c>
      <c r="AE936" t="s">
        <v>58</v>
      </c>
      <c r="AG936" t="s">
        <v>63</v>
      </c>
      <c r="AH936" s="11" t="str">
        <f t="shared" si="17"/>
        <v>mailto: soilterrain@victoria1.gov.bc.ca</v>
      </c>
    </row>
    <row r="937" spans="1:34">
      <c r="A937" t="s">
        <v>2284</v>
      </c>
      <c r="B937" t="s">
        <v>56</v>
      </c>
      <c r="C937" s="10" t="s">
        <v>1269</v>
      </c>
      <c r="D937" t="s">
        <v>58</v>
      </c>
      <c r="E937" t="s">
        <v>497</v>
      </c>
      <c r="F937" t="s">
        <v>2285</v>
      </c>
      <c r="G937">
        <v>50000</v>
      </c>
      <c r="H937">
        <v>1979</v>
      </c>
      <c r="I937" t="s">
        <v>58</v>
      </c>
      <c r="J937" t="s">
        <v>58</v>
      </c>
      <c r="K937" t="s">
        <v>58</v>
      </c>
      <c r="L937" t="s">
        <v>58</v>
      </c>
      <c r="M937" t="s">
        <v>58</v>
      </c>
      <c r="N937" t="s">
        <v>61</v>
      </c>
      <c r="Q937" t="s">
        <v>58</v>
      </c>
      <c r="R937" s="11" t="str">
        <f>HYPERLINK("\\imagefiles.bcgov\imagery\scanned_maps\moe_terrain_maps\Scanned_T_maps_all\I12\I12-3041","\\imagefiles.bcgov\imagery\scanned_maps\moe_terrain_maps\Scanned_T_maps_all\I12\I12-3041")</f>
        <v>\\imagefiles.bcgov\imagery\scanned_maps\moe_terrain_maps\Scanned_T_maps_all\I12\I12-3041</v>
      </c>
      <c r="S937" t="s">
        <v>62</v>
      </c>
      <c r="T937" s="11" t="str">
        <f>HYPERLINK("http://www.env.gov.bc.ca/esd/distdata/ecosystems/TEI_Scanned_Maps/I12/I12-3041","http://www.env.gov.bc.ca/esd/distdata/ecosystems/TEI_Scanned_Maps/I12/I12-3041")</f>
        <v>http://www.env.gov.bc.ca/esd/distdata/ecosystems/TEI_Scanned_Maps/I12/I12-3041</v>
      </c>
      <c r="U937" t="s">
        <v>58</v>
      </c>
      <c r="V937" t="s">
        <v>58</v>
      </c>
      <c r="W937" t="s">
        <v>58</v>
      </c>
      <c r="X937" t="s">
        <v>58</v>
      </c>
      <c r="Y937" t="s">
        <v>58</v>
      </c>
      <c r="Z937" t="s">
        <v>58</v>
      </c>
      <c r="AA937" t="s">
        <v>58</v>
      </c>
      <c r="AC937" t="s">
        <v>58</v>
      </c>
      <c r="AE937" t="s">
        <v>58</v>
      </c>
      <c r="AG937" t="s">
        <v>63</v>
      </c>
      <c r="AH937" s="11" t="str">
        <f t="shared" si="17"/>
        <v>mailto: soilterrain@victoria1.gov.bc.ca</v>
      </c>
    </row>
    <row r="938" spans="1:34">
      <c r="A938" t="s">
        <v>2286</v>
      </c>
      <c r="B938" t="s">
        <v>56</v>
      </c>
      <c r="C938" s="10" t="s">
        <v>1271</v>
      </c>
      <c r="D938" t="s">
        <v>58</v>
      </c>
      <c r="E938" t="s">
        <v>497</v>
      </c>
      <c r="F938" t="s">
        <v>2287</v>
      </c>
      <c r="G938">
        <v>50000</v>
      </c>
      <c r="H938">
        <v>1979</v>
      </c>
      <c r="I938" t="s">
        <v>58</v>
      </c>
      <c r="J938" t="s">
        <v>58</v>
      </c>
      <c r="K938" t="s">
        <v>58</v>
      </c>
      <c r="L938" t="s">
        <v>58</v>
      </c>
      <c r="M938" t="s">
        <v>58</v>
      </c>
      <c r="N938" t="s">
        <v>61</v>
      </c>
      <c r="Q938" t="s">
        <v>58</v>
      </c>
      <c r="R938" s="11" t="str">
        <f>HYPERLINK("\\imagefiles.bcgov\imagery\scanned_maps\moe_terrain_maps\Scanned_T_maps_all\I12\I12-3042","\\imagefiles.bcgov\imagery\scanned_maps\moe_terrain_maps\Scanned_T_maps_all\I12\I12-3042")</f>
        <v>\\imagefiles.bcgov\imagery\scanned_maps\moe_terrain_maps\Scanned_T_maps_all\I12\I12-3042</v>
      </c>
      <c r="S938" t="s">
        <v>62</v>
      </c>
      <c r="T938" s="11" t="str">
        <f>HYPERLINK("http://www.env.gov.bc.ca/esd/distdata/ecosystems/TEI_Scanned_Maps/I12/I12-3042","http://www.env.gov.bc.ca/esd/distdata/ecosystems/TEI_Scanned_Maps/I12/I12-3042")</f>
        <v>http://www.env.gov.bc.ca/esd/distdata/ecosystems/TEI_Scanned_Maps/I12/I12-3042</v>
      </c>
      <c r="U938" t="s">
        <v>58</v>
      </c>
      <c r="V938" t="s">
        <v>58</v>
      </c>
      <c r="W938" t="s">
        <v>58</v>
      </c>
      <c r="X938" t="s">
        <v>58</v>
      </c>
      <c r="Y938" t="s">
        <v>58</v>
      </c>
      <c r="Z938" t="s">
        <v>58</v>
      </c>
      <c r="AA938" t="s">
        <v>58</v>
      </c>
      <c r="AC938" t="s">
        <v>58</v>
      </c>
      <c r="AE938" t="s">
        <v>58</v>
      </c>
      <c r="AG938" t="s">
        <v>63</v>
      </c>
      <c r="AH938" s="11" t="str">
        <f t="shared" si="17"/>
        <v>mailto: soilterrain@victoria1.gov.bc.ca</v>
      </c>
    </row>
    <row r="939" spans="1:34">
      <c r="A939" t="s">
        <v>2288</v>
      </c>
      <c r="B939" t="s">
        <v>56</v>
      </c>
      <c r="C939" s="10" t="s">
        <v>1273</v>
      </c>
      <c r="D939" t="s">
        <v>58</v>
      </c>
      <c r="E939" t="s">
        <v>497</v>
      </c>
      <c r="F939" t="s">
        <v>2289</v>
      </c>
      <c r="G939">
        <v>50000</v>
      </c>
      <c r="H939">
        <v>1979</v>
      </c>
      <c r="I939" t="s">
        <v>58</v>
      </c>
      <c r="J939" t="s">
        <v>58</v>
      </c>
      <c r="K939" t="s">
        <v>58</v>
      </c>
      <c r="L939" t="s">
        <v>58</v>
      </c>
      <c r="M939" t="s">
        <v>58</v>
      </c>
      <c r="N939" t="s">
        <v>61</v>
      </c>
      <c r="Q939" t="s">
        <v>58</v>
      </c>
      <c r="R939" s="11" t="str">
        <f>HYPERLINK("\\imagefiles.bcgov\imagery\scanned_maps\moe_terrain_maps\Scanned_T_maps_all\I12\I12-3043","\\imagefiles.bcgov\imagery\scanned_maps\moe_terrain_maps\Scanned_T_maps_all\I12\I12-3043")</f>
        <v>\\imagefiles.bcgov\imagery\scanned_maps\moe_terrain_maps\Scanned_T_maps_all\I12\I12-3043</v>
      </c>
      <c r="S939" t="s">
        <v>62</v>
      </c>
      <c r="T939" s="11" t="str">
        <f>HYPERLINK("http://www.env.gov.bc.ca/esd/distdata/ecosystems/TEI_Scanned_Maps/I12/I12-3043","http://www.env.gov.bc.ca/esd/distdata/ecosystems/TEI_Scanned_Maps/I12/I12-3043")</f>
        <v>http://www.env.gov.bc.ca/esd/distdata/ecosystems/TEI_Scanned_Maps/I12/I12-3043</v>
      </c>
      <c r="U939" t="s">
        <v>58</v>
      </c>
      <c r="V939" t="s">
        <v>58</v>
      </c>
      <c r="W939" t="s">
        <v>58</v>
      </c>
      <c r="X939" t="s">
        <v>58</v>
      </c>
      <c r="Y939" t="s">
        <v>58</v>
      </c>
      <c r="Z939" t="s">
        <v>58</v>
      </c>
      <c r="AA939" t="s">
        <v>58</v>
      </c>
      <c r="AC939" t="s">
        <v>58</v>
      </c>
      <c r="AE939" t="s">
        <v>58</v>
      </c>
      <c r="AG939" t="s">
        <v>63</v>
      </c>
      <c r="AH939" s="11" t="str">
        <f t="shared" si="17"/>
        <v>mailto: soilterrain@victoria1.gov.bc.ca</v>
      </c>
    </row>
    <row r="940" spans="1:34">
      <c r="A940" t="s">
        <v>2290</v>
      </c>
      <c r="B940" t="s">
        <v>56</v>
      </c>
      <c r="C940" s="10" t="s">
        <v>2291</v>
      </c>
      <c r="D940" t="s">
        <v>58</v>
      </c>
      <c r="E940" t="s">
        <v>497</v>
      </c>
      <c r="F940" t="s">
        <v>2292</v>
      </c>
      <c r="G940">
        <v>50000</v>
      </c>
      <c r="H940">
        <v>1979</v>
      </c>
      <c r="I940" t="s">
        <v>58</v>
      </c>
      <c r="J940" t="s">
        <v>58</v>
      </c>
      <c r="K940" t="s">
        <v>58</v>
      </c>
      <c r="L940" t="s">
        <v>58</v>
      </c>
      <c r="M940" t="s">
        <v>58</v>
      </c>
      <c r="N940" t="s">
        <v>61</v>
      </c>
      <c r="Q940" t="s">
        <v>58</v>
      </c>
      <c r="R940" s="11" t="str">
        <f>HYPERLINK("\\imagefiles.bcgov\imagery\scanned_maps\moe_terrain_maps\Scanned_T_maps_all\I12\I12-3044","\\imagefiles.bcgov\imagery\scanned_maps\moe_terrain_maps\Scanned_T_maps_all\I12\I12-3044")</f>
        <v>\\imagefiles.bcgov\imagery\scanned_maps\moe_terrain_maps\Scanned_T_maps_all\I12\I12-3044</v>
      </c>
      <c r="S940" t="s">
        <v>62</v>
      </c>
      <c r="T940" s="11" t="str">
        <f>HYPERLINK("http://www.env.gov.bc.ca/esd/distdata/ecosystems/TEI_Scanned_Maps/I12/I12-3044","http://www.env.gov.bc.ca/esd/distdata/ecosystems/TEI_Scanned_Maps/I12/I12-3044")</f>
        <v>http://www.env.gov.bc.ca/esd/distdata/ecosystems/TEI_Scanned_Maps/I12/I12-3044</v>
      </c>
      <c r="U940" t="s">
        <v>58</v>
      </c>
      <c r="V940" t="s">
        <v>58</v>
      </c>
      <c r="W940" t="s">
        <v>58</v>
      </c>
      <c r="X940" t="s">
        <v>58</v>
      </c>
      <c r="Y940" t="s">
        <v>58</v>
      </c>
      <c r="Z940" t="s">
        <v>58</v>
      </c>
      <c r="AA940" t="s">
        <v>58</v>
      </c>
      <c r="AC940" t="s">
        <v>58</v>
      </c>
      <c r="AE940" t="s">
        <v>58</v>
      </c>
      <c r="AG940" t="s">
        <v>63</v>
      </c>
      <c r="AH940" s="11" t="str">
        <f t="shared" si="17"/>
        <v>mailto: soilterrain@victoria1.gov.bc.ca</v>
      </c>
    </row>
    <row r="941" spans="1:34">
      <c r="A941" t="s">
        <v>2293</v>
      </c>
      <c r="B941" t="s">
        <v>56</v>
      </c>
      <c r="C941" s="10" t="s">
        <v>2294</v>
      </c>
      <c r="D941" t="s">
        <v>58</v>
      </c>
      <c r="E941" t="s">
        <v>497</v>
      </c>
      <c r="F941" t="s">
        <v>2295</v>
      </c>
      <c r="G941">
        <v>50000</v>
      </c>
      <c r="H941">
        <v>1979</v>
      </c>
      <c r="I941" t="s">
        <v>58</v>
      </c>
      <c r="J941" t="s">
        <v>58</v>
      </c>
      <c r="K941" t="s">
        <v>58</v>
      </c>
      <c r="L941" t="s">
        <v>58</v>
      </c>
      <c r="M941" t="s">
        <v>58</v>
      </c>
      <c r="N941" t="s">
        <v>61</v>
      </c>
      <c r="Q941" t="s">
        <v>58</v>
      </c>
      <c r="R941" s="11" t="str">
        <f>HYPERLINK("\\imagefiles.bcgov\imagery\scanned_maps\moe_terrain_maps\Scanned_T_maps_all\I12\I12-3045","\\imagefiles.bcgov\imagery\scanned_maps\moe_terrain_maps\Scanned_T_maps_all\I12\I12-3045")</f>
        <v>\\imagefiles.bcgov\imagery\scanned_maps\moe_terrain_maps\Scanned_T_maps_all\I12\I12-3045</v>
      </c>
      <c r="S941" t="s">
        <v>62</v>
      </c>
      <c r="T941" s="11" t="str">
        <f>HYPERLINK("http://www.env.gov.bc.ca/esd/distdata/ecosystems/TEI_Scanned_Maps/I12/I12-3045","http://www.env.gov.bc.ca/esd/distdata/ecosystems/TEI_Scanned_Maps/I12/I12-3045")</f>
        <v>http://www.env.gov.bc.ca/esd/distdata/ecosystems/TEI_Scanned_Maps/I12/I12-3045</v>
      </c>
      <c r="U941" t="s">
        <v>58</v>
      </c>
      <c r="V941" t="s">
        <v>58</v>
      </c>
      <c r="W941" t="s">
        <v>58</v>
      </c>
      <c r="X941" t="s">
        <v>58</v>
      </c>
      <c r="Y941" t="s">
        <v>58</v>
      </c>
      <c r="Z941" t="s">
        <v>58</v>
      </c>
      <c r="AA941" t="s">
        <v>58</v>
      </c>
      <c r="AC941" t="s">
        <v>58</v>
      </c>
      <c r="AE941" t="s">
        <v>58</v>
      </c>
      <c r="AG941" t="s">
        <v>63</v>
      </c>
      <c r="AH941" s="11" t="str">
        <f t="shared" si="17"/>
        <v>mailto: soilterrain@victoria1.gov.bc.ca</v>
      </c>
    </row>
    <row r="942" spans="1:34">
      <c r="A942" t="s">
        <v>2296</v>
      </c>
      <c r="B942" t="s">
        <v>56</v>
      </c>
      <c r="C942" s="10" t="s">
        <v>2297</v>
      </c>
      <c r="D942" t="s">
        <v>58</v>
      </c>
      <c r="E942" t="s">
        <v>497</v>
      </c>
      <c r="F942" t="s">
        <v>2298</v>
      </c>
      <c r="G942">
        <v>50000</v>
      </c>
      <c r="H942">
        <v>1979</v>
      </c>
      <c r="I942" t="s">
        <v>58</v>
      </c>
      <c r="J942" t="s">
        <v>58</v>
      </c>
      <c r="K942" t="s">
        <v>58</v>
      </c>
      <c r="L942" t="s">
        <v>58</v>
      </c>
      <c r="M942" t="s">
        <v>58</v>
      </c>
      <c r="N942" t="s">
        <v>61</v>
      </c>
      <c r="Q942" t="s">
        <v>58</v>
      </c>
      <c r="R942" s="11" t="str">
        <f>HYPERLINK("\\imagefiles.bcgov\imagery\scanned_maps\moe_terrain_maps\Scanned_T_maps_all\I12\I12-3046","\\imagefiles.bcgov\imagery\scanned_maps\moe_terrain_maps\Scanned_T_maps_all\I12\I12-3046")</f>
        <v>\\imagefiles.bcgov\imagery\scanned_maps\moe_terrain_maps\Scanned_T_maps_all\I12\I12-3046</v>
      </c>
      <c r="S942" t="s">
        <v>62</v>
      </c>
      <c r="T942" s="11" t="str">
        <f>HYPERLINK("http://www.env.gov.bc.ca/esd/distdata/ecosystems/TEI_Scanned_Maps/I12/I12-3046","http://www.env.gov.bc.ca/esd/distdata/ecosystems/TEI_Scanned_Maps/I12/I12-3046")</f>
        <v>http://www.env.gov.bc.ca/esd/distdata/ecosystems/TEI_Scanned_Maps/I12/I12-3046</v>
      </c>
      <c r="U942" t="s">
        <v>58</v>
      </c>
      <c r="V942" t="s">
        <v>58</v>
      </c>
      <c r="W942" t="s">
        <v>58</v>
      </c>
      <c r="X942" t="s">
        <v>58</v>
      </c>
      <c r="Y942" t="s">
        <v>58</v>
      </c>
      <c r="Z942" t="s">
        <v>58</v>
      </c>
      <c r="AA942" t="s">
        <v>58</v>
      </c>
      <c r="AC942" t="s">
        <v>58</v>
      </c>
      <c r="AE942" t="s">
        <v>58</v>
      </c>
      <c r="AG942" t="s">
        <v>63</v>
      </c>
      <c r="AH942" s="11" t="str">
        <f t="shared" si="17"/>
        <v>mailto: soilterrain@victoria1.gov.bc.ca</v>
      </c>
    </row>
    <row r="943" spans="1:34">
      <c r="A943" t="s">
        <v>2299</v>
      </c>
      <c r="B943" t="s">
        <v>56</v>
      </c>
      <c r="C943" s="10" t="s">
        <v>240</v>
      </c>
      <c r="D943" t="s">
        <v>58</v>
      </c>
      <c r="E943" t="s">
        <v>497</v>
      </c>
      <c r="F943" t="s">
        <v>2300</v>
      </c>
      <c r="G943">
        <v>50000</v>
      </c>
      <c r="H943">
        <v>1979</v>
      </c>
      <c r="I943" t="s">
        <v>58</v>
      </c>
      <c r="J943" t="s">
        <v>58</v>
      </c>
      <c r="K943" t="s">
        <v>58</v>
      </c>
      <c r="L943" t="s">
        <v>58</v>
      </c>
      <c r="M943" t="s">
        <v>58</v>
      </c>
      <c r="N943" t="s">
        <v>61</v>
      </c>
      <c r="Q943" t="s">
        <v>58</v>
      </c>
      <c r="R943" s="11" t="str">
        <f>HYPERLINK("\\imagefiles.bcgov\imagery\scanned_maps\moe_terrain_maps\Scanned_T_maps_all\I12\I12-3047","\\imagefiles.bcgov\imagery\scanned_maps\moe_terrain_maps\Scanned_T_maps_all\I12\I12-3047")</f>
        <v>\\imagefiles.bcgov\imagery\scanned_maps\moe_terrain_maps\Scanned_T_maps_all\I12\I12-3047</v>
      </c>
      <c r="S943" t="s">
        <v>62</v>
      </c>
      <c r="T943" s="11" t="str">
        <f>HYPERLINK("http://www.env.gov.bc.ca/esd/distdata/ecosystems/TEI_Scanned_Maps/I12/I12-3047","http://www.env.gov.bc.ca/esd/distdata/ecosystems/TEI_Scanned_Maps/I12/I12-3047")</f>
        <v>http://www.env.gov.bc.ca/esd/distdata/ecosystems/TEI_Scanned_Maps/I12/I12-3047</v>
      </c>
      <c r="U943" t="s">
        <v>58</v>
      </c>
      <c r="V943" t="s">
        <v>58</v>
      </c>
      <c r="W943" t="s">
        <v>58</v>
      </c>
      <c r="X943" t="s">
        <v>58</v>
      </c>
      <c r="Y943" t="s">
        <v>58</v>
      </c>
      <c r="Z943" t="s">
        <v>58</v>
      </c>
      <c r="AA943" t="s">
        <v>58</v>
      </c>
      <c r="AC943" t="s">
        <v>58</v>
      </c>
      <c r="AE943" t="s">
        <v>58</v>
      </c>
      <c r="AG943" t="s">
        <v>63</v>
      </c>
      <c r="AH943" s="11" t="str">
        <f t="shared" si="17"/>
        <v>mailto: soilterrain@victoria1.gov.bc.ca</v>
      </c>
    </row>
    <row r="944" spans="1:34">
      <c r="A944" t="s">
        <v>2301</v>
      </c>
      <c r="B944" t="s">
        <v>56</v>
      </c>
      <c r="C944" s="10" t="s">
        <v>1321</v>
      </c>
      <c r="D944" t="s">
        <v>58</v>
      </c>
      <c r="E944" t="s">
        <v>497</v>
      </c>
      <c r="F944" t="s">
        <v>2302</v>
      </c>
      <c r="G944">
        <v>50000</v>
      </c>
      <c r="H944">
        <v>1979</v>
      </c>
      <c r="I944" t="s">
        <v>58</v>
      </c>
      <c r="J944" t="s">
        <v>58</v>
      </c>
      <c r="K944" t="s">
        <v>58</v>
      </c>
      <c r="L944" t="s">
        <v>58</v>
      </c>
      <c r="M944" t="s">
        <v>58</v>
      </c>
      <c r="N944" t="s">
        <v>61</v>
      </c>
      <c r="Q944" t="s">
        <v>58</v>
      </c>
      <c r="R944" s="11" t="str">
        <f>HYPERLINK("\\imagefiles.bcgov\imagery\scanned_maps\moe_terrain_maps\Scanned_T_maps_all\I12\I12-3048","\\imagefiles.bcgov\imagery\scanned_maps\moe_terrain_maps\Scanned_T_maps_all\I12\I12-3048")</f>
        <v>\\imagefiles.bcgov\imagery\scanned_maps\moe_terrain_maps\Scanned_T_maps_all\I12\I12-3048</v>
      </c>
      <c r="S944" t="s">
        <v>62</v>
      </c>
      <c r="T944" s="11" t="str">
        <f>HYPERLINK("http://www.env.gov.bc.ca/esd/distdata/ecosystems/TEI_Scanned_Maps/I12/I12-3048","http://www.env.gov.bc.ca/esd/distdata/ecosystems/TEI_Scanned_Maps/I12/I12-3048")</f>
        <v>http://www.env.gov.bc.ca/esd/distdata/ecosystems/TEI_Scanned_Maps/I12/I12-3048</v>
      </c>
      <c r="U944" t="s">
        <v>58</v>
      </c>
      <c r="V944" t="s">
        <v>58</v>
      </c>
      <c r="W944" t="s">
        <v>58</v>
      </c>
      <c r="X944" t="s">
        <v>58</v>
      </c>
      <c r="Y944" t="s">
        <v>58</v>
      </c>
      <c r="Z944" t="s">
        <v>58</v>
      </c>
      <c r="AA944" t="s">
        <v>58</v>
      </c>
      <c r="AC944" t="s">
        <v>58</v>
      </c>
      <c r="AE944" t="s">
        <v>58</v>
      </c>
      <c r="AG944" t="s">
        <v>63</v>
      </c>
      <c r="AH944" s="11" t="str">
        <f t="shared" si="17"/>
        <v>mailto: soilterrain@victoria1.gov.bc.ca</v>
      </c>
    </row>
    <row r="945" spans="1:34">
      <c r="A945" t="s">
        <v>2303</v>
      </c>
      <c r="B945" t="s">
        <v>56</v>
      </c>
      <c r="C945" s="10" t="s">
        <v>1323</v>
      </c>
      <c r="D945" t="s">
        <v>58</v>
      </c>
      <c r="E945" t="s">
        <v>497</v>
      </c>
      <c r="F945" t="s">
        <v>2304</v>
      </c>
      <c r="G945">
        <v>50000</v>
      </c>
      <c r="H945">
        <v>1979</v>
      </c>
      <c r="I945" t="s">
        <v>58</v>
      </c>
      <c r="J945" t="s">
        <v>58</v>
      </c>
      <c r="K945" t="s">
        <v>58</v>
      </c>
      <c r="L945" t="s">
        <v>58</v>
      </c>
      <c r="M945" t="s">
        <v>58</v>
      </c>
      <c r="N945" t="s">
        <v>61</v>
      </c>
      <c r="Q945" t="s">
        <v>58</v>
      </c>
      <c r="R945" s="11" t="str">
        <f>HYPERLINK("\\imagefiles.bcgov\imagery\scanned_maps\moe_terrain_maps\Scanned_T_maps_all\I12\I12-3049","\\imagefiles.bcgov\imagery\scanned_maps\moe_terrain_maps\Scanned_T_maps_all\I12\I12-3049")</f>
        <v>\\imagefiles.bcgov\imagery\scanned_maps\moe_terrain_maps\Scanned_T_maps_all\I12\I12-3049</v>
      </c>
      <c r="S945" t="s">
        <v>62</v>
      </c>
      <c r="T945" s="11" t="str">
        <f>HYPERLINK("http://www.env.gov.bc.ca/esd/distdata/ecosystems/TEI_Scanned_Maps/I12/I12-3049","http://www.env.gov.bc.ca/esd/distdata/ecosystems/TEI_Scanned_Maps/I12/I12-3049")</f>
        <v>http://www.env.gov.bc.ca/esd/distdata/ecosystems/TEI_Scanned_Maps/I12/I12-3049</v>
      </c>
      <c r="U945" t="s">
        <v>58</v>
      </c>
      <c r="V945" t="s">
        <v>58</v>
      </c>
      <c r="W945" t="s">
        <v>58</v>
      </c>
      <c r="X945" t="s">
        <v>58</v>
      </c>
      <c r="Y945" t="s">
        <v>58</v>
      </c>
      <c r="Z945" t="s">
        <v>58</v>
      </c>
      <c r="AA945" t="s">
        <v>58</v>
      </c>
      <c r="AC945" t="s">
        <v>58</v>
      </c>
      <c r="AE945" t="s">
        <v>58</v>
      </c>
      <c r="AG945" t="s">
        <v>63</v>
      </c>
      <c r="AH945" s="11" t="str">
        <f t="shared" si="17"/>
        <v>mailto: soilterrain@victoria1.gov.bc.ca</v>
      </c>
    </row>
    <row r="946" spans="1:34">
      <c r="A946" t="s">
        <v>2305</v>
      </c>
      <c r="B946" t="s">
        <v>56</v>
      </c>
      <c r="C946" s="10" t="s">
        <v>1325</v>
      </c>
      <c r="D946" t="s">
        <v>58</v>
      </c>
      <c r="E946" t="s">
        <v>497</v>
      </c>
      <c r="F946" t="s">
        <v>2306</v>
      </c>
      <c r="G946">
        <v>50000</v>
      </c>
      <c r="H946">
        <v>1979</v>
      </c>
      <c r="I946" t="s">
        <v>58</v>
      </c>
      <c r="J946" t="s">
        <v>58</v>
      </c>
      <c r="K946" t="s">
        <v>58</v>
      </c>
      <c r="L946" t="s">
        <v>58</v>
      </c>
      <c r="M946" t="s">
        <v>58</v>
      </c>
      <c r="N946" t="s">
        <v>61</v>
      </c>
      <c r="Q946" t="s">
        <v>58</v>
      </c>
      <c r="R946" s="11" t="str">
        <f>HYPERLINK("\\imagefiles.bcgov\imagery\scanned_maps\moe_terrain_maps\Scanned_T_maps_all\I12\I12-3050","\\imagefiles.bcgov\imagery\scanned_maps\moe_terrain_maps\Scanned_T_maps_all\I12\I12-3050")</f>
        <v>\\imagefiles.bcgov\imagery\scanned_maps\moe_terrain_maps\Scanned_T_maps_all\I12\I12-3050</v>
      </c>
      <c r="S946" t="s">
        <v>62</v>
      </c>
      <c r="T946" s="11" t="str">
        <f>HYPERLINK("http://www.env.gov.bc.ca/esd/distdata/ecosystems/TEI_Scanned_Maps/I12/I12-3050","http://www.env.gov.bc.ca/esd/distdata/ecosystems/TEI_Scanned_Maps/I12/I12-3050")</f>
        <v>http://www.env.gov.bc.ca/esd/distdata/ecosystems/TEI_Scanned_Maps/I12/I12-3050</v>
      </c>
      <c r="U946" t="s">
        <v>58</v>
      </c>
      <c r="V946" t="s">
        <v>58</v>
      </c>
      <c r="W946" t="s">
        <v>58</v>
      </c>
      <c r="X946" t="s">
        <v>58</v>
      </c>
      <c r="Y946" t="s">
        <v>58</v>
      </c>
      <c r="Z946" t="s">
        <v>58</v>
      </c>
      <c r="AA946" t="s">
        <v>58</v>
      </c>
      <c r="AC946" t="s">
        <v>58</v>
      </c>
      <c r="AE946" t="s">
        <v>58</v>
      </c>
      <c r="AG946" t="s">
        <v>63</v>
      </c>
      <c r="AH946" s="11" t="str">
        <f t="shared" si="17"/>
        <v>mailto: soilterrain@victoria1.gov.bc.ca</v>
      </c>
    </row>
    <row r="947" spans="1:34">
      <c r="A947" t="s">
        <v>2307</v>
      </c>
      <c r="B947" t="s">
        <v>56</v>
      </c>
      <c r="C947" s="10" t="s">
        <v>1327</v>
      </c>
      <c r="D947" t="s">
        <v>58</v>
      </c>
      <c r="E947" t="s">
        <v>497</v>
      </c>
      <c r="F947" t="s">
        <v>2308</v>
      </c>
      <c r="G947">
        <v>50000</v>
      </c>
      <c r="H947">
        <v>1979</v>
      </c>
      <c r="I947" t="s">
        <v>58</v>
      </c>
      <c r="J947" t="s">
        <v>58</v>
      </c>
      <c r="K947" t="s">
        <v>58</v>
      </c>
      <c r="L947" t="s">
        <v>58</v>
      </c>
      <c r="M947" t="s">
        <v>58</v>
      </c>
      <c r="N947" t="s">
        <v>61</v>
      </c>
      <c r="Q947" t="s">
        <v>58</v>
      </c>
      <c r="R947" s="11" t="str">
        <f>HYPERLINK("\\imagefiles.bcgov\imagery\scanned_maps\moe_terrain_maps\Scanned_T_maps_all\I12\I12-3051","\\imagefiles.bcgov\imagery\scanned_maps\moe_terrain_maps\Scanned_T_maps_all\I12\I12-3051")</f>
        <v>\\imagefiles.bcgov\imagery\scanned_maps\moe_terrain_maps\Scanned_T_maps_all\I12\I12-3051</v>
      </c>
      <c r="S947" t="s">
        <v>62</v>
      </c>
      <c r="T947" s="11" t="str">
        <f>HYPERLINK("http://www.env.gov.bc.ca/esd/distdata/ecosystems/TEI_Scanned_Maps/I12/I12-3051","http://www.env.gov.bc.ca/esd/distdata/ecosystems/TEI_Scanned_Maps/I12/I12-3051")</f>
        <v>http://www.env.gov.bc.ca/esd/distdata/ecosystems/TEI_Scanned_Maps/I12/I12-3051</v>
      </c>
      <c r="U947" t="s">
        <v>58</v>
      </c>
      <c r="V947" t="s">
        <v>58</v>
      </c>
      <c r="W947" t="s">
        <v>58</v>
      </c>
      <c r="X947" t="s">
        <v>58</v>
      </c>
      <c r="Y947" t="s">
        <v>58</v>
      </c>
      <c r="Z947" t="s">
        <v>58</v>
      </c>
      <c r="AA947" t="s">
        <v>58</v>
      </c>
      <c r="AC947" t="s">
        <v>58</v>
      </c>
      <c r="AE947" t="s">
        <v>58</v>
      </c>
      <c r="AG947" t="s">
        <v>63</v>
      </c>
      <c r="AH947" s="11" t="str">
        <f t="shared" si="17"/>
        <v>mailto: soilterrain@victoria1.gov.bc.ca</v>
      </c>
    </row>
    <row r="948" spans="1:34">
      <c r="A948" t="s">
        <v>2309</v>
      </c>
      <c r="B948" t="s">
        <v>56</v>
      </c>
      <c r="C948" s="10" t="s">
        <v>591</v>
      </c>
      <c r="D948" t="s">
        <v>58</v>
      </c>
      <c r="E948" t="s">
        <v>497</v>
      </c>
      <c r="F948" t="s">
        <v>2310</v>
      </c>
      <c r="G948">
        <v>50000</v>
      </c>
      <c r="H948">
        <v>1979</v>
      </c>
      <c r="I948" t="s">
        <v>58</v>
      </c>
      <c r="J948" t="s">
        <v>58</v>
      </c>
      <c r="K948" t="s">
        <v>58</v>
      </c>
      <c r="L948" t="s">
        <v>58</v>
      </c>
      <c r="M948" t="s">
        <v>58</v>
      </c>
      <c r="N948" t="s">
        <v>61</v>
      </c>
      <c r="Q948" t="s">
        <v>58</v>
      </c>
      <c r="R948" s="11" t="str">
        <f>HYPERLINK("\\imagefiles.bcgov\imagery\scanned_maps\moe_terrain_maps\Scanned_T_maps_all\I12\I12-3052","\\imagefiles.bcgov\imagery\scanned_maps\moe_terrain_maps\Scanned_T_maps_all\I12\I12-3052")</f>
        <v>\\imagefiles.bcgov\imagery\scanned_maps\moe_terrain_maps\Scanned_T_maps_all\I12\I12-3052</v>
      </c>
      <c r="S948" t="s">
        <v>62</v>
      </c>
      <c r="T948" s="11" t="str">
        <f>HYPERLINK("http://www.env.gov.bc.ca/esd/distdata/ecosystems/TEI_Scanned_Maps/I12/I12-3052","http://www.env.gov.bc.ca/esd/distdata/ecosystems/TEI_Scanned_Maps/I12/I12-3052")</f>
        <v>http://www.env.gov.bc.ca/esd/distdata/ecosystems/TEI_Scanned_Maps/I12/I12-3052</v>
      </c>
      <c r="U948" t="s">
        <v>58</v>
      </c>
      <c r="V948" t="s">
        <v>58</v>
      </c>
      <c r="W948" t="s">
        <v>58</v>
      </c>
      <c r="X948" t="s">
        <v>58</v>
      </c>
      <c r="Y948" t="s">
        <v>58</v>
      </c>
      <c r="Z948" t="s">
        <v>58</v>
      </c>
      <c r="AA948" t="s">
        <v>58</v>
      </c>
      <c r="AC948" t="s">
        <v>58</v>
      </c>
      <c r="AE948" t="s">
        <v>58</v>
      </c>
      <c r="AG948" t="s">
        <v>63</v>
      </c>
      <c r="AH948" s="11" t="str">
        <f t="shared" si="17"/>
        <v>mailto: soilterrain@victoria1.gov.bc.ca</v>
      </c>
    </row>
    <row r="949" spans="1:34">
      <c r="A949" t="s">
        <v>2311</v>
      </c>
      <c r="B949" t="s">
        <v>56</v>
      </c>
      <c r="C949" s="10" t="s">
        <v>594</v>
      </c>
      <c r="D949" t="s">
        <v>58</v>
      </c>
      <c r="E949" t="s">
        <v>497</v>
      </c>
      <c r="F949" t="s">
        <v>2312</v>
      </c>
      <c r="G949">
        <v>50000</v>
      </c>
      <c r="H949">
        <v>1979</v>
      </c>
      <c r="I949" t="s">
        <v>58</v>
      </c>
      <c r="J949" t="s">
        <v>58</v>
      </c>
      <c r="K949" t="s">
        <v>58</v>
      </c>
      <c r="L949" t="s">
        <v>58</v>
      </c>
      <c r="M949" t="s">
        <v>58</v>
      </c>
      <c r="N949" t="s">
        <v>61</v>
      </c>
      <c r="Q949" t="s">
        <v>58</v>
      </c>
      <c r="R949" s="11" t="str">
        <f>HYPERLINK("\\imagefiles.bcgov\imagery\scanned_maps\moe_terrain_maps\Scanned_T_maps_all\I12\I12-3053","\\imagefiles.bcgov\imagery\scanned_maps\moe_terrain_maps\Scanned_T_maps_all\I12\I12-3053")</f>
        <v>\\imagefiles.bcgov\imagery\scanned_maps\moe_terrain_maps\Scanned_T_maps_all\I12\I12-3053</v>
      </c>
      <c r="S949" t="s">
        <v>62</v>
      </c>
      <c r="T949" s="11" t="str">
        <f>HYPERLINK("http://www.env.gov.bc.ca/esd/distdata/ecosystems/TEI_Scanned_Maps/I12/I12-3053","http://www.env.gov.bc.ca/esd/distdata/ecosystems/TEI_Scanned_Maps/I12/I12-3053")</f>
        <v>http://www.env.gov.bc.ca/esd/distdata/ecosystems/TEI_Scanned_Maps/I12/I12-3053</v>
      </c>
      <c r="U949" t="s">
        <v>58</v>
      </c>
      <c r="V949" t="s">
        <v>58</v>
      </c>
      <c r="W949" t="s">
        <v>58</v>
      </c>
      <c r="X949" t="s">
        <v>58</v>
      </c>
      <c r="Y949" t="s">
        <v>58</v>
      </c>
      <c r="Z949" t="s">
        <v>58</v>
      </c>
      <c r="AA949" t="s">
        <v>58</v>
      </c>
      <c r="AC949" t="s">
        <v>58</v>
      </c>
      <c r="AE949" t="s">
        <v>58</v>
      </c>
      <c r="AG949" t="s">
        <v>63</v>
      </c>
      <c r="AH949" s="11" t="str">
        <f t="shared" si="17"/>
        <v>mailto: soilterrain@victoria1.gov.bc.ca</v>
      </c>
    </row>
    <row r="950" spans="1:34">
      <c r="A950" t="s">
        <v>2313</v>
      </c>
      <c r="B950" t="s">
        <v>56</v>
      </c>
      <c r="C950" s="10" t="s">
        <v>1149</v>
      </c>
      <c r="D950" t="s">
        <v>58</v>
      </c>
      <c r="E950" t="s">
        <v>497</v>
      </c>
      <c r="F950" t="s">
        <v>2314</v>
      </c>
      <c r="G950">
        <v>50000</v>
      </c>
      <c r="H950">
        <v>1979</v>
      </c>
      <c r="I950" t="s">
        <v>58</v>
      </c>
      <c r="J950" t="s">
        <v>58</v>
      </c>
      <c r="K950" t="s">
        <v>58</v>
      </c>
      <c r="L950" t="s">
        <v>58</v>
      </c>
      <c r="M950" t="s">
        <v>58</v>
      </c>
      <c r="N950" t="s">
        <v>61</v>
      </c>
      <c r="Q950" t="s">
        <v>58</v>
      </c>
      <c r="R950" s="11" t="str">
        <f>HYPERLINK("\\imagefiles.bcgov\imagery\scanned_maps\moe_terrain_maps\Scanned_T_maps_all\I13\I13-3054","\\imagefiles.bcgov\imagery\scanned_maps\moe_terrain_maps\Scanned_T_maps_all\I13\I13-3054")</f>
        <v>\\imagefiles.bcgov\imagery\scanned_maps\moe_terrain_maps\Scanned_T_maps_all\I13\I13-3054</v>
      </c>
      <c r="S950" t="s">
        <v>62</v>
      </c>
      <c r="T950" s="11" t="str">
        <f>HYPERLINK("http://www.env.gov.bc.ca/esd/distdata/ecosystems/TEI_Scanned_Maps/I13/I13-3054","http://www.env.gov.bc.ca/esd/distdata/ecosystems/TEI_Scanned_Maps/I13/I13-3054")</f>
        <v>http://www.env.gov.bc.ca/esd/distdata/ecosystems/TEI_Scanned_Maps/I13/I13-3054</v>
      </c>
      <c r="U950" t="s">
        <v>58</v>
      </c>
      <c r="V950" t="s">
        <v>58</v>
      </c>
      <c r="W950" t="s">
        <v>58</v>
      </c>
      <c r="X950" t="s">
        <v>58</v>
      </c>
      <c r="Y950" t="s">
        <v>58</v>
      </c>
      <c r="Z950" t="s">
        <v>58</v>
      </c>
      <c r="AA950" t="s">
        <v>58</v>
      </c>
      <c r="AC950" t="s">
        <v>58</v>
      </c>
      <c r="AE950" t="s">
        <v>58</v>
      </c>
      <c r="AG950" t="s">
        <v>63</v>
      </c>
      <c r="AH950" s="11" t="str">
        <f t="shared" si="17"/>
        <v>mailto: soilterrain@victoria1.gov.bc.ca</v>
      </c>
    </row>
    <row r="951" spans="1:34">
      <c r="A951" t="s">
        <v>2315</v>
      </c>
      <c r="B951" t="s">
        <v>56</v>
      </c>
      <c r="C951" s="10" t="s">
        <v>1151</v>
      </c>
      <c r="D951" t="s">
        <v>58</v>
      </c>
      <c r="E951" t="s">
        <v>497</v>
      </c>
      <c r="F951" t="s">
        <v>2316</v>
      </c>
      <c r="G951">
        <v>50000</v>
      </c>
      <c r="H951">
        <v>1979</v>
      </c>
      <c r="I951" t="s">
        <v>58</v>
      </c>
      <c r="J951" t="s">
        <v>58</v>
      </c>
      <c r="K951" t="s">
        <v>58</v>
      </c>
      <c r="L951" t="s">
        <v>58</v>
      </c>
      <c r="M951" t="s">
        <v>58</v>
      </c>
      <c r="N951" t="s">
        <v>61</v>
      </c>
      <c r="Q951" t="s">
        <v>58</v>
      </c>
      <c r="R951" s="11" t="str">
        <f>HYPERLINK("\\imagefiles.bcgov\imagery\scanned_maps\moe_terrain_maps\Scanned_T_maps_all\I13\I13-3055","\\imagefiles.bcgov\imagery\scanned_maps\moe_terrain_maps\Scanned_T_maps_all\I13\I13-3055")</f>
        <v>\\imagefiles.bcgov\imagery\scanned_maps\moe_terrain_maps\Scanned_T_maps_all\I13\I13-3055</v>
      </c>
      <c r="S951" t="s">
        <v>62</v>
      </c>
      <c r="T951" s="11" t="str">
        <f>HYPERLINK("http://www.env.gov.bc.ca/esd/distdata/ecosystems/TEI_Scanned_Maps/I13/I13-3055","http://www.env.gov.bc.ca/esd/distdata/ecosystems/TEI_Scanned_Maps/I13/I13-3055")</f>
        <v>http://www.env.gov.bc.ca/esd/distdata/ecosystems/TEI_Scanned_Maps/I13/I13-3055</v>
      </c>
      <c r="U951" t="s">
        <v>58</v>
      </c>
      <c r="V951" t="s">
        <v>58</v>
      </c>
      <c r="W951" t="s">
        <v>58</v>
      </c>
      <c r="X951" t="s">
        <v>58</v>
      </c>
      <c r="Y951" t="s">
        <v>58</v>
      </c>
      <c r="Z951" t="s">
        <v>58</v>
      </c>
      <c r="AA951" t="s">
        <v>58</v>
      </c>
      <c r="AC951" t="s">
        <v>58</v>
      </c>
      <c r="AE951" t="s">
        <v>58</v>
      </c>
      <c r="AG951" t="s">
        <v>63</v>
      </c>
      <c r="AH951" s="11" t="str">
        <f t="shared" si="17"/>
        <v>mailto: soilterrain@victoria1.gov.bc.ca</v>
      </c>
    </row>
    <row r="952" spans="1:34">
      <c r="A952" t="s">
        <v>2317</v>
      </c>
      <c r="B952" t="s">
        <v>56</v>
      </c>
      <c r="C952" s="10" t="s">
        <v>1165</v>
      </c>
      <c r="D952" t="s">
        <v>58</v>
      </c>
      <c r="E952" t="s">
        <v>497</v>
      </c>
      <c r="F952" t="s">
        <v>2318</v>
      </c>
      <c r="G952">
        <v>50000</v>
      </c>
      <c r="H952">
        <v>1979</v>
      </c>
      <c r="I952" t="s">
        <v>58</v>
      </c>
      <c r="J952" t="s">
        <v>58</v>
      </c>
      <c r="K952" t="s">
        <v>58</v>
      </c>
      <c r="L952" t="s">
        <v>58</v>
      </c>
      <c r="M952" t="s">
        <v>58</v>
      </c>
      <c r="N952" t="s">
        <v>61</v>
      </c>
      <c r="Q952" t="s">
        <v>58</v>
      </c>
      <c r="R952" s="11" t="str">
        <f>HYPERLINK("\\imagefiles.bcgov\imagery\scanned_maps\moe_terrain_maps\Scanned_T_maps_all\I13\I13-3056","\\imagefiles.bcgov\imagery\scanned_maps\moe_terrain_maps\Scanned_T_maps_all\I13\I13-3056")</f>
        <v>\\imagefiles.bcgov\imagery\scanned_maps\moe_terrain_maps\Scanned_T_maps_all\I13\I13-3056</v>
      </c>
      <c r="S952" t="s">
        <v>62</v>
      </c>
      <c r="T952" s="11" t="str">
        <f>HYPERLINK("http://www.env.gov.bc.ca/esd/distdata/ecosystems/TEI_Scanned_Maps/I13/I13-3056","http://www.env.gov.bc.ca/esd/distdata/ecosystems/TEI_Scanned_Maps/I13/I13-3056")</f>
        <v>http://www.env.gov.bc.ca/esd/distdata/ecosystems/TEI_Scanned_Maps/I13/I13-3056</v>
      </c>
      <c r="U952" t="s">
        <v>58</v>
      </c>
      <c r="V952" t="s">
        <v>58</v>
      </c>
      <c r="W952" t="s">
        <v>58</v>
      </c>
      <c r="X952" t="s">
        <v>58</v>
      </c>
      <c r="Y952" t="s">
        <v>58</v>
      </c>
      <c r="Z952" t="s">
        <v>58</v>
      </c>
      <c r="AA952" t="s">
        <v>58</v>
      </c>
      <c r="AC952" t="s">
        <v>58</v>
      </c>
      <c r="AE952" t="s">
        <v>58</v>
      </c>
      <c r="AG952" t="s">
        <v>63</v>
      </c>
      <c r="AH952" s="11" t="str">
        <f t="shared" si="17"/>
        <v>mailto: soilterrain@victoria1.gov.bc.ca</v>
      </c>
    </row>
    <row r="953" spans="1:34">
      <c r="A953" t="s">
        <v>2319</v>
      </c>
      <c r="B953" t="s">
        <v>56</v>
      </c>
      <c r="C953" s="10" t="s">
        <v>1167</v>
      </c>
      <c r="D953" t="s">
        <v>58</v>
      </c>
      <c r="E953" t="s">
        <v>497</v>
      </c>
      <c r="F953" t="s">
        <v>2320</v>
      </c>
      <c r="G953">
        <v>50000</v>
      </c>
      <c r="H953">
        <v>1979</v>
      </c>
      <c r="I953" t="s">
        <v>58</v>
      </c>
      <c r="J953" t="s">
        <v>58</v>
      </c>
      <c r="K953" t="s">
        <v>58</v>
      </c>
      <c r="L953" t="s">
        <v>58</v>
      </c>
      <c r="M953" t="s">
        <v>58</v>
      </c>
      <c r="N953" t="s">
        <v>61</v>
      </c>
      <c r="Q953" t="s">
        <v>58</v>
      </c>
      <c r="R953" s="11" t="str">
        <f>HYPERLINK("\\imagefiles.bcgov\imagery\scanned_maps\moe_terrain_maps\Scanned_T_maps_all\I13\I13-3057","\\imagefiles.bcgov\imagery\scanned_maps\moe_terrain_maps\Scanned_T_maps_all\I13\I13-3057")</f>
        <v>\\imagefiles.bcgov\imagery\scanned_maps\moe_terrain_maps\Scanned_T_maps_all\I13\I13-3057</v>
      </c>
      <c r="S953" t="s">
        <v>62</v>
      </c>
      <c r="T953" s="11" t="str">
        <f>HYPERLINK("http://www.env.gov.bc.ca/esd/distdata/ecosystems/TEI_Scanned_Maps/I13/I13-3057","http://www.env.gov.bc.ca/esd/distdata/ecosystems/TEI_Scanned_Maps/I13/I13-3057")</f>
        <v>http://www.env.gov.bc.ca/esd/distdata/ecosystems/TEI_Scanned_Maps/I13/I13-3057</v>
      </c>
      <c r="U953" t="s">
        <v>58</v>
      </c>
      <c r="V953" t="s">
        <v>58</v>
      </c>
      <c r="W953" t="s">
        <v>58</v>
      </c>
      <c r="X953" t="s">
        <v>58</v>
      </c>
      <c r="Y953" t="s">
        <v>58</v>
      </c>
      <c r="Z953" t="s">
        <v>58</v>
      </c>
      <c r="AA953" t="s">
        <v>58</v>
      </c>
      <c r="AC953" t="s">
        <v>58</v>
      </c>
      <c r="AE953" t="s">
        <v>58</v>
      </c>
      <c r="AG953" t="s">
        <v>63</v>
      </c>
      <c r="AH953" s="11" t="str">
        <f t="shared" si="17"/>
        <v>mailto: soilterrain@victoria1.gov.bc.ca</v>
      </c>
    </row>
    <row r="954" spans="1:34">
      <c r="A954" t="s">
        <v>2321</v>
      </c>
      <c r="B954" t="s">
        <v>56</v>
      </c>
      <c r="C954" s="10" t="s">
        <v>1169</v>
      </c>
      <c r="D954" t="s">
        <v>58</v>
      </c>
      <c r="E954" t="s">
        <v>497</v>
      </c>
      <c r="F954" t="s">
        <v>2322</v>
      </c>
      <c r="G954">
        <v>50000</v>
      </c>
      <c r="H954">
        <v>1979</v>
      </c>
      <c r="I954" t="s">
        <v>58</v>
      </c>
      <c r="J954" t="s">
        <v>58</v>
      </c>
      <c r="K954" t="s">
        <v>58</v>
      </c>
      <c r="L954" t="s">
        <v>58</v>
      </c>
      <c r="M954" t="s">
        <v>58</v>
      </c>
      <c r="N954" t="s">
        <v>61</v>
      </c>
      <c r="Q954" t="s">
        <v>58</v>
      </c>
      <c r="R954" s="11" t="str">
        <f>HYPERLINK("\\imagefiles.bcgov\imagery\scanned_maps\moe_terrain_maps\Scanned_T_maps_all\I13\I13-3058","\\imagefiles.bcgov\imagery\scanned_maps\moe_terrain_maps\Scanned_T_maps_all\I13\I13-3058")</f>
        <v>\\imagefiles.bcgov\imagery\scanned_maps\moe_terrain_maps\Scanned_T_maps_all\I13\I13-3058</v>
      </c>
      <c r="S954" t="s">
        <v>62</v>
      </c>
      <c r="T954" s="11" t="str">
        <f>HYPERLINK("http://www.env.gov.bc.ca/esd/distdata/ecosystems/TEI_Scanned_Maps/I13/I13-3058","http://www.env.gov.bc.ca/esd/distdata/ecosystems/TEI_Scanned_Maps/I13/I13-3058")</f>
        <v>http://www.env.gov.bc.ca/esd/distdata/ecosystems/TEI_Scanned_Maps/I13/I13-3058</v>
      </c>
      <c r="U954" t="s">
        <v>58</v>
      </c>
      <c r="V954" t="s">
        <v>58</v>
      </c>
      <c r="W954" t="s">
        <v>58</v>
      </c>
      <c r="X954" t="s">
        <v>58</v>
      </c>
      <c r="Y954" t="s">
        <v>58</v>
      </c>
      <c r="Z954" t="s">
        <v>58</v>
      </c>
      <c r="AA954" t="s">
        <v>58</v>
      </c>
      <c r="AC954" t="s">
        <v>58</v>
      </c>
      <c r="AE954" t="s">
        <v>58</v>
      </c>
      <c r="AG954" t="s">
        <v>63</v>
      </c>
      <c r="AH954" s="11" t="str">
        <f t="shared" si="17"/>
        <v>mailto: soilterrain@victoria1.gov.bc.ca</v>
      </c>
    </row>
    <row r="955" spans="1:34">
      <c r="A955" t="s">
        <v>2323</v>
      </c>
      <c r="B955" t="s">
        <v>56</v>
      </c>
      <c r="C955" s="10" t="s">
        <v>927</v>
      </c>
      <c r="D955" t="s">
        <v>58</v>
      </c>
      <c r="E955" t="s">
        <v>497</v>
      </c>
      <c r="F955" t="s">
        <v>2324</v>
      </c>
      <c r="G955">
        <v>50000</v>
      </c>
      <c r="H955">
        <v>1979</v>
      </c>
      <c r="I955" t="s">
        <v>58</v>
      </c>
      <c r="J955" t="s">
        <v>58</v>
      </c>
      <c r="K955" t="s">
        <v>58</v>
      </c>
      <c r="L955" t="s">
        <v>58</v>
      </c>
      <c r="M955" t="s">
        <v>58</v>
      </c>
      <c r="N955" t="s">
        <v>61</v>
      </c>
      <c r="Q955" t="s">
        <v>58</v>
      </c>
      <c r="R955" s="11" t="str">
        <f>HYPERLINK("\\imagefiles.bcgov\imagery\scanned_maps\moe_terrain_maps\Scanned_T_maps_all\I13\I13-3059","\\imagefiles.bcgov\imagery\scanned_maps\moe_terrain_maps\Scanned_T_maps_all\I13\I13-3059")</f>
        <v>\\imagefiles.bcgov\imagery\scanned_maps\moe_terrain_maps\Scanned_T_maps_all\I13\I13-3059</v>
      </c>
      <c r="S955" t="s">
        <v>62</v>
      </c>
      <c r="T955" s="11" t="str">
        <f>HYPERLINK("http://www.env.gov.bc.ca/esd/distdata/ecosystems/TEI_Scanned_Maps/I13/I13-3059","http://www.env.gov.bc.ca/esd/distdata/ecosystems/TEI_Scanned_Maps/I13/I13-3059")</f>
        <v>http://www.env.gov.bc.ca/esd/distdata/ecosystems/TEI_Scanned_Maps/I13/I13-3059</v>
      </c>
      <c r="U955" t="s">
        <v>58</v>
      </c>
      <c r="V955" t="s">
        <v>58</v>
      </c>
      <c r="W955" t="s">
        <v>58</v>
      </c>
      <c r="X955" t="s">
        <v>58</v>
      </c>
      <c r="Y955" t="s">
        <v>58</v>
      </c>
      <c r="Z955" t="s">
        <v>58</v>
      </c>
      <c r="AA955" t="s">
        <v>58</v>
      </c>
      <c r="AC955" t="s">
        <v>58</v>
      </c>
      <c r="AE955" t="s">
        <v>58</v>
      </c>
      <c r="AG955" t="s">
        <v>63</v>
      </c>
      <c r="AH955" s="11" t="str">
        <f t="shared" si="17"/>
        <v>mailto: soilterrain@victoria1.gov.bc.ca</v>
      </c>
    </row>
    <row r="956" spans="1:34">
      <c r="A956" t="s">
        <v>2325</v>
      </c>
      <c r="B956" t="s">
        <v>56</v>
      </c>
      <c r="C956" s="10" t="s">
        <v>1179</v>
      </c>
      <c r="D956" t="s">
        <v>58</v>
      </c>
      <c r="E956" t="s">
        <v>497</v>
      </c>
      <c r="F956" t="s">
        <v>2326</v>
      </c>
      <c r="G956">
        <v>50000</v>
      </c>
      <c r="H956">
        <v>1979</v>
      </c>
      <c r="I956" t="s">
        <v>58</v>
      </c>
      <c r="J956" t="s">
        <v>58</v>
      </c>
      <c r="K956" t="s">
        <v>58</v>
      </c>
      <c r="L956" t="s">
        <v>58</v>
      </c>
      <c r="M956" t="s">
        <v>58</v>
      </c>
      <c r="N956" t="s">
        <v>61</v>
      </c>
      <c r="Q956" t="s">
        <v>58</v>
      </c>
      <c r="R956" s="11" t="str">
        <f>HYPERLINK("\\imagefiles.bcgov\imagery\scanned_maps\moe_terrain_maps\Scanned_T_maps_all\I13\I13-3060","\\imagefiles.bcgov\imagery\scanned_maps\moe_terrain_maps\Scanned_T_maps_all\I13\I13-3060")</f>
        <v>\\imagefiles.bcgov\imagery\scanned_maps\moe_terrain_maps\Scanned_T_maps_all\I13\I13-3060</v>
      </c>
      <c r="S956" t="s">
        <v>62</v>
      </c>
      <c r="T956" s="11" t="str">
        <f>HYPERLINK("http://www.env.gov.bc.ca/esd/distdata/ecosystems/TEI_Scanned_Maps/I13/I13-3060","http://www.env.gov.bc.ca/esd/distdata/ecosystems/TEI_Scanned_Maps/I13/I13-3060")</f>
        <v>http://www.env.gov.bc.ca/esd/distdata/ecosystems/TEI_Scanned_Maps/I13/I13-3060</v>
      </c>
      <c r="U956" t="s">
        <v>58</v>
      </c>
      <c r="V956" t="s">
        <v>58</v>
      </c>
      <c r="W956" t="s">
        <v>58</v>
      </c>
      <c r="X956" t="s">
        <v>58</v>
      </c>
      <c r="Y956" t="s">
        <v>58</v>
      </c>
      <c r="Z956" t="s">
        <v>58</v>
      </c>
      <c r="AA956" t="s">
        <v>58</v>
      </c>
      <c r="AC956" t="s">
        <v>58</v>
      </c>
      <c r="AE956" t="s">
        <v>58</v>
      </c>
      <c r="AG956" t="s">
        <v>63</v>
      </c>
      <c r="AH956" s="11" t="str">
        <f t="shared" si="17"/>
        <v>mailto: soilterrain@victoria1.gov.bc.ca</v>
      </c>
    </row>
    <row r="957" spans="1:34">
      <c r="A957" t="s">
        <v>2327</v>
      </c>
      <c r="B957" t="s">
        <v>56</v>
      </c>
      <c r="C957" s="10" t="s">
        <v>933</v>
      </c>
      <c r="D957" t="s">
        <v>58</v>
      </c>
      <c r="E957" t="s">
        <v>497</v>
      </c>
      <c r="F957" t="s">
        <v>2328</v>
      </c>
      <c r="G957">
        <v>50000</v>
      </c>
      <c r="H957">
        <v>1979</v>
      </c>
      <c r="I957" t="s">
        <v>58</v>
      </c>
      <c r="J957" t="s">
        <v>58</v>
      </c>
      <c r="K957" t="s">
        <v>58</v>
      </c>
      <c r="L957" t="s">
        <v>58</v>
      </c>
      <c r="M957" t="s">
        <v>58</v>
      </c>
      <c r="N957" t="s">
        <v>61</v>
      </c>
      <c r="Q957" t="s">
        <v>58</v>
      </c>
      <c r="R957" s="11" t="str">
        <f>HYPERLINK("\\imagefiles.bcgov\imagery\scanned_maps\moe_terrain_maps\Scanned_T_maps_all\I13\I13-3061","\\imagefiles.bcgov\imagery\scanned_maps\moe_terrain_maps\Scanned_T_maps_all\I13\I13-3061")</f>
        <v>\\imagefiles.bcgov\imagery\scanned_maps\moe_terrain_maps\Scanned_T_maps_all\I13\I13-3061</v>
      </c>
      <c r="S957" t="s">
        <v>62</v>
      </c>
      <c r="T957" s="11" t="str">
        <f>HYPERLINK("http://www.env.gov.bc.ca/esd/distdata/ecosystems/TEI_Scanned_Maps/I13/I13-3061","http://www.env.gov.bc.ca/esd/distdata/ecosystems/TEI_Scanned_Maps/I13/I13-3061")</f>
        <v>http://www.env.gov.bc.ca/esd/distdata/ecosystems/TEI_Scanned_Maps/I13/I13-3061</v>
      </c>
      <c r="U957" t="s">
        <v>58</v>
      </c>
      <c r="V957" t="s">
        <v>58</v>
      </c>
      <c r="W957" t="s">
        <v>58</v>
      </c>
      <c r="X957" t="s">
        <v>58</v>
      </c>
      <c r="Y957" t="s">
        <v>58</v>
      </c>
      <c r="Z957" t="s">
        <v>58</v>
      </c>
      <c r="AA957" t="s">
        <v>58</v>
      </c>
      <c r="AC957" t="s">
        <v>58</v>
      </c>
      <c r="AE957" t="s">
        <v>58</v>
      </c>
      <c r="AG957" t="s">
        <v>63</v>
      </c>
      <c r="AH957" s="11" t="str">
        <f t="shared" si="17"/>
        <v>mailto: soilterrain@victoria1.gov.bc.ca</v>
      </c>
    </row>
    <row r="958" spans="1:34">
      <c r="A958" t="s">
        <v>2329</v>
      </c>
      <c r="B958" t="s">
        <v>56</v>
      </c>
      <c r="C958" s="10" t="s">
        <v>1189</v>
      </c>
      <c r="D958" t="s">
        <v>58</v>
      </c>
      <c r="E958" t="s">
        <v>497</v>
      </c>
      <c r="F958" t="s">
        <v>2330</v>
      </c>
      <c r="G958">
        <v>50000</v>
      </c>
      <c r="H958">
        <v>1979</v>
      </c>
      <c r="I958" t="s">
        <v>58</v>
      </c>
      <c r="J958" t="s">
        <v>58</v>
      </c>
      <c r="K958" t="s">
        <v>58</v>
      </c>
      <c r="L958" t="s">
        <v>58</v>
      </c>
      <c r="M958" t="s">
        <v>58</v>
      </c>
      <c r="N958" t="s">
        <v>61</v>
      </c>
      <c r="Q958" t="s">
        <v>58</v>
      </c>
      <c r="R958" s="11" t="str">
        <f>HYPERLINK("\\imagefiles.bcgov\imagery\scanned_maps\moe_terrain_maps\Scanned_T_maps_all\I13\I13-3062","\\imagefiles.bcgov\imagery\scanned_maps\moe_terrain_maps\Scanned_T_maps_all\I13\I13-3062")</f>
        <v>\\imagefiles.bcgov\imagery\scanned_maps\moe_terrain_maps\Scanned_T_maps_all\I13\I13-3062</v>
      </c>
      <c r="S958" t="s">
        <v>62</v>
      </c>
      <c r="T958" s="11" t="str">
        <f>HYPERLINK("http://www.env.gov.bc.ca/esd/distdata/ecosystems/TEI_Scanned_Maps/I13/I13-3062","http://www.env.gov.bc.ca/esd/distdata/ecosystems/TEI_Scanned_Maps/I13/I13-3062")</f>
        <v>http://www.env.gov.bc.ca/esd/distdata/ecosystems/TEI_Scanned_Maps/I13/I13-3062</v>
      </c>
      <c r="U958" t="s">
        <v>58</v>
      </c>
      <c r="V958" t="s">
        <v>58</v>
      </c>
      <c r="W958" t="s">
        <v>58</v>
      </c>
      <c r="X958" t="s">
        <v>58</v>
      </c>
      <c r="Y958" t="s">
        <v>58</v>
      </c>
      <c r="Z958" t="s">
        <v>58</v>
      </c>
      <c r="AA958" t="s">
        <v>58</v>
      </c>
      <c r="AC958" t="s">
        <v>58</v>
      </c>
      <c r="AE958" t="s">
        <v>58</v>
      </c>
      <c r="AG958" t="s">
        <v>63</v>
      </c>
      <c r="AH958" s="11" t="str">
        <f t="shared" si="17"/>
        <v>mailto: soilterrain@victoria1.gov.bc.ca</v>
      </c>
    </row>
    <row r="959" spans="1:34">
      <c r="A959" t="s">
        <v>2331</v>
      </c>
      <c r="B959" t="s">
        <v>56</v>
      </c>
      <c r="C959" s="10" t="s">
        <v>1191</v>
      </c>
      <c r="D959" t="s">
        <v>58</v>
      </c>
      <c r="E959" t="s">
        <v>497</v>
      </c>
      <c r="F959" t="s">
        <v>2332</v>
      </c>
      <c r="G959">
        <v>50000</v>
      </c>
      <c r="H959">
        <v>1979</v>
      </c>
      <c r="I959" t="s">
        <v>58</v>
      </c>
      <c r="J959" t="s">
        <v>58</v>
      </c>
      <c r="K959" t="s">
        <v>58</v>
      </c>
      <c r="L959" t="s">
        <v>58</v>
      </c>
      <c r="M959" t="s">
        <v>58</v>
      </c>
      <c r="N959" t="s">
        <v>61</v>
      </c>
      <c r="Q959" t="s">
        <v>58</v>
      </c>
      <c r="R959" s="11" t="str">
        <f>HYPERLINK("\\imagefiles.bcgov\imagery\scanned_maps\moe_terrain_maps\Scanned_T_maps_all\I13\I13-3063","\\imagefiles.bcgov\imagery\scanned_maps\moe_terrain_maps\Scanned_T_maps_all\I13\I13-3063")</f>
        <v>\\imagefiles.bcgov\imagery\scanned_maps\moe_terrain_maps\Scanned_T_maps_all\I13\I13-3063</v>
      </c>
      <c r="S959" t="s">
        <v>62</v>
      </c>
      <c r="T959" s="11" t="str">
        <f>HYPERLINK("http://www.env.gov.bc.ca/esd/distdata/ecosystems/TEI_Scanned_Maps/I13/I13-3063","http://www.env.gov.bc.ca/esd/distdata/ecosystems/TEI_Scanned_Maps/I13/I13-3063")</f>
        <v>http://www.env.gov.bc.ca/esd/distdata/ecosystems/TEI_Scanned_Maps/I13/I13-3063</v>
      </c>
      <c r="U959" t="s">
        <v>58</v>
      </c>
      <c r="V959" t="s">
        <v>58</v>
      </c>
      <c r="W959" t="s">
        <v>58</v>
      </c>
      <c r="X959" t="s">
        <v>58</v>
      </c>
      <c r="Y959" t="s">
        <v>58</v>
      </c>
      <c r="Z959" t="s">
        <v>58</v>
      </c>
      <c r="AA959" t="s">
        <v>58</v>
      </c>
      <c r="AC959" t="s">
        <v>58</v>
      </c>
      <c r="AE959" t="s">
        <v>58</v>
      </c>
      <c r="AG959" t="s">
        <v>63</v>
      </c>
      <c r="AH959" s="11" t="str">
        <f t="shared" si="17"/>
        <v>mailto: soilterrain@victoria1.gov.bc.ca</v>
      </c>
    </row>
    <row r="960" spans="1:34">
      <c r="A960" t="s">
        <v>2333</v>
      </c>
      <c r="B960" t="s">
        <v>56</v>
      </c>
      <c r="C960" s="10" t="s">
        <v>1195</v>
      </c>
      <c r="D960" t="s">
        <v>58</v>
      </c>
      <c r="E960" t="s">
        <v>497</v>
      </c>
      <c r="F960" t="s">
        <v>2334</v>
      </c>
      <c r="G960">
        <v>50000</v>
      </c>
      <c r="H960">
        <v>1979</v>
      </c>
      <c r="I960" t="s">
        <v>58</v>
      </c>
      <c r="J960" t="s">
        <v>58</v>
      </c>
      <c r="K960" t="s">
        <v>58</v>
      </c>
      <c r="L960" t="s">
        <v>58</v>
      </c>
      <c r="M960" t="s">
        <v>58</v>
      </c>
      <c r="N960" t="s">
        <v>61</v>
      </c>
      <c r="Q960" t="s">
        <v>58</v>
      </c>
      <c r="R960" s="11" t="str">
        <f>HYPERLINK("\\imagefiles.bcgov\imagery\scanned_maps\moe_terrain_maps\Scanned_T_maps_all\I13\I13-3064","\\imagefiles.bcgov\imagery\scanned_maps\moe_terrain_maps\Scanned_T_maps_all\I13\I13-3064")</f>
        <v>\\imagefiles.bcgov\imagery\scanned_maps\moe_terrain_maps\Scanned_T_maps_all\I13\I13-3064</v>
      </c>
      <c r="S960" t="s">
        <v>62</v>
      </c>
      <c r="T960" s="11" t="str">
        <f>HYPERLINK("http://www.env.gov.bc.ca/esd/distdata/ecosystems/TEI_Scanned_Maps/I13/I13-3064","http://www.env.gov.bc.ca/esd/distdata/ecosystems/TEI_Scanned_Maps/I13/I13-3064")</f>
        <v>http://www.env.gov.bc.ca/esd/distdata/ecosystems/TEI_Scanned_Maps/I13/I13-3064</v>
      </c>
      <c r="U960" t="s">
        <v>58</v>
      </c>
      <c r="V960" t="s">
        <v>58</v>
      </c>
      <c r="W960" t="s">
        <v>58</v>
      </c>
      <c r="X960" t="s">
        <v>58</v>
      </c>
      <c r="Y960" t="s">
        <v>58</v>
      </c>
      <c r="Z960" t="s">
        <v>58</v>
      </c>
      <c r="AA960" t="s">
        <v>58</v>
      </c>
      <c r="AC960" t="s">
        <v>58</v>
      </c>
      <c r="AE960" t="s">
        <v>58</v>
      </c>
      <c r="AG960" t="s">
        <v>63</v>
      </c>
      <c r="AH960" s="11" t="str">
        <f t="shared" si="17"/>
        <v>mailto: soilterrain@victoria1.gov.bc.ca</v>
      </c>
    </row>
    <row r="961" spans="1:34">
      <c r="A961" t="s">
        <v>2335</v>
      </c>
      <c r="B961" t="s">
        <v>56</v>
      </c>
      <c r="C961" s="10" t="s">
        <v>2297</v>
      </c>
      <c r="D961" t="s">
        <v>58</v>
      </c>
      <c r="E961" t="s">
        <v>497</v>
      </c>
      <c r="F961" t="s">
        <v>2336</v>
      </c>
      <c r="G961">
        <v>50000</v>
      </c>
      <c r="H961">
        <v>1979</v>
      </c>
      <c r="I961" t="s">
        <v>58</v>
      </c>
      <c r="J961" t="s">
        <v>58</v>
      </c>
      <c r="K961" t="s">
        <v>58</v>
      </c>
      <c r="L961" t="s">
        <v>58</v>
      </c>
      <c r="M961" t="s">
        <v>58</v>
      </c>
      <c r="N961" t="s">
        <v>61</v>
      </c>
      <c r="Q961" t="s">
        <v>58</v>
      </c>
      <c r="R961" s="11" t="str">
        <f>HYPERLINK("\\imagefiles.bcgov\imagery\scanned_maps\moe_terrain_maps\Scanned_T_maps_all\I13\I13-3065","\\imagefiles.bcgov\imagery\scanned_maps\moe_terrain_maps\Scanned_T_maps_all\I13\I13-3065")</f>
        <v>\\imagefiles.bcgov\imagery\scanned_maps\moe_terrain_maps\Scanned_T_maps_all\I13\I13-3065</v>
      </c>
      <c r="S961" t="s">
        <v>62</v>
      </c>
      <c r="T961" s="11" t="str">
        <f>HYPERLINK("http://www.env.gov.bc.ca/esd/distdata/ecosystems/TEI_Scanned_Maps/I13/I13-3065","http://www.env.gov.bc.ca/esd/distdata/ecosystems/TEI_Scanned_Maps/I13/I13-3065")</f>
        <v>http://www.env.gov.bc.ca/esd/distdata/ecosystems/TEI_Scanned_Maps/I13/I13-3065</v>
      </c>
      <c r="U961" t="s">
        <v>58</v>
      </c>
      <c r="V961" t="s">
        <v>58</v>
      </c>
      <c r="W961" t="s">
        <v>58</v>
      </c>
      <c r="X961" t="s">
        <v>58</v>
      </c>
      <c r="Y961" t="s">
        <v>58</v>
      </c>
      <c r="Z961" t="s">
        <v>58</v>
      </c>
      <c r="AA961" t="s">
        <v>58</v>
      </c>
      <c r="AC961" t="s">
        <v>58</v>
      </c>
      <c r="AE961" t="s">
        <v>58</v>
      </c>
      <c r="AG961" t="s">
        <v>63</v>
      </c>
      <c r="AH961" s="11" t="str">
        <f t="shared" si="17"/>
        <v>mailto: soilterrain@victoria1.gov.bc.ca</v>
      </c>
    </row>
    <row r="962" spans="1:34">
      <c r="A962" t="s">
        <v>2337</v>
      </c>
      <c r="B962" t="s">
        <v>56</v>
      </c>
      <c r="C962" s="10" t="s">
        <v>1283</v>
      </c>
      <c r="D962" t="s">
        <v>58</v>
      </c>
      <c r="E962" t="s">
        <v>497</v>
      </c>
      <c r="F962" t="s">
        <v>2338</v>
      </c>
      <c r="G962">
        <v>50000</v>
      </c>
      <c r="H962">
        <v>1979</v>
      </c>
      <c r="I962" t="s">
        <v>58</v>
      </c>
      <c r="J962" t="s">
        <v>58</v>
      </c>
      <c r="K962" t="s">
        <v>58</v>
      </c>
      <c r="L962" t="s">
        <v>58</v>
      </c>
      <c r="M962" t="s">
        <v>58</v>
      </c>
      <c r="N962" t="s">
        <v>61</v>
      </c>
      <c r="Q962" t="s">
        <v>58</v>
      </c>
      <c r="R962" s="11" t="str">
        <f>HYPERLINK("\\imagefiles.bcgov\imagery\scanned_maps\moe_terrain_maps\Scanned_T_maps_all\I13\I13-3066","\\imagefiles.bcgov\imagery\scanned_maps\moe_terrain_maps\Scanned_T_maps_all\I13\I13-3066")</f>
        <v>\\imagefiles.bcgov\imagery\scanned_maps\moe_terrain_maps\Scanned_T_maps_all\I13\I13-3066</v>
      </c>
      <c r="S962" t="s">
        <v>62</v>
      </c>
      <c r="T962" s="11" t="str">
        <f>HYPERLINK("http://www.env.gov.bc.ca/esd/distdata/ecosystems/TEI_Scanned_Maps/I13/I13-3066","http://www.env.gov.bc.ca/esd/distdata/ecosystems/TEI_Scanned_Maps/I13/I13-3066")</f>
        <v>http://www.env.gov.bc.ca/esd/distdata/ecosystems/TEI_Scanned_Maps/I13/I13-3066</v>
      </c>
      <c r="U962" t="s">
        <v>58</v>
      </c>
      <c r="V962" t="s">
        <v>58</v>
      </c>
      <c r="W962" t="s">
        <v>58</v>
      </c>
      <c r="X962" t="s">
        <v>58</v>
      </c>
      <c r="Y962" t="s">
        <v>58</v>
      </c>
      <c r="Z962" t="s">
        <v>58</v>
      </c>
      <c r="AA962" t="s">
        <v>58</v>
      </c>
      <c r="AC962" t="s">
        <v>58</v>
      </c>
      <c r="AE962" t="s">
        <v>58</v>
      </c>
      <c r="AG962" t="s">
        <v>63</v>
      </c>
      <c r="AH962" s="11" t="str">
        <f t="shared" ref="AH962:AH1025" si="18">HYPERLINK("mailto: soilterrain@victoria1.gov.bc.ca","mailto: soilterrain@victoria1.gov.bc.ca")</f>
        <v>mailto: soilterrain@victoria1.gov.bc.ca</v>
      </c>
    </row>
    <row r="963" spans="1:34">
      <c r="A963" t="s">
        <v>2339</v>
      </c>
      <c r="B963" t="s">
        <v>56</v>
      </c>
      <c r="C963" s="10" t="s">
        <v>1285</v>
      </c>
      <c r="D963" t="s">
        <v>58</v>
      </c>
      <c r="E963" t="s">
        <v>497</v>
      </c>
      <c r="F963" t="s">
        <v>2340</v>
      </c>
      <c r="G963">
        <v>50000</v>
      </c>
      <c r="H963">
        <v>1979</v>
      </c>
      <c r="I963" t="s">
        <v>58</v>
      </c>
      <c r="J963" t="s">
        <v>58</v>
      </c>
      <c r="K963" t="s">
        <v>58</v>
      </c>
      <c r="L963" t="s">
        <v>58</v>
      </c>
      <c r="M963" t="s">
        <v>58</v>
      </c>
      <c r="N963" t="s">
        <v>61</v>
      </c>
      <c r="Q963" t="s">
        <v>58</v>
      </c>
      <c r="R963" s="11" t="str">
        <f>HYPERLINK("\\imagefiles.bcgov\imagery\scanned_maps\moe_terrain_maps\Scanned_T_maps_all\I13\I13-3067","\\imagefiles.bcgov\imagery\scanned_maps\moe_terrain_maps\Scanned_T_maps_all\I13\I13-3067")</f>
        <v>\\imagefiles.bcgov\imagery\scanned_maps\moe_terrain_maps\Scanned_T_maps_all\I13\I13-3067</v>
      </c>
      <c r="S963" t="s">
        <v>62</v>
      </c>
      <c r="T963" s="11" t="str">
        <f>HYPERLINK("http://www.env.gov.bc.ca/esd/distdata/ecosystems/TEI_Scanned_Maps/I13/I13-3067","http://www.env.gov.bc.ca/esd/distdata/ecosystems/TEI_Scanned_Maps/I13/I13-3067")</f>
        <v>http://www.env.gov.bc.ca/esd/distdata/ecosystems/TEI_Scanned_Maps/I13/I13-3067</v>
      </c>
      <c r="U963" t="s">
        <v>58</v>
      </c>
      <c r="V963" t="s">
        <v>58</v>
      </c>
      <c r="W963" t="s">
        <v>58</v>
      </c>
      <c r="X963" t="s">
        <v>58</v>
      </c>
      <c r="Y963" t="s">
        <v>58</v>
      </c>
      <c r="Z963" t="s">
        <v>58</v>
      </c>
      <c r="AA963" t="s">
        <v>58</v>
      </c>
      <c r="AC963" t="s">
        <v>58</v>
      </c>
      <c r="AE963" t="s">
        <v>58</v>
      </c>
      <c r="AG963" t="s">
        <v>63</v>
      </c>
      <c r="AH963" s="11" t="str">
        <f t="shared" si="18"/>
        <v>mailto: soilterrain@victoria1.gov.bc.ca</v>
      </c>
    </row>
    <row r="964" spans="1:34">
      <c r="A964" t="s">
        <v>2341</v>
      </c>
      <c r="B964" t="s">
        <v>56</v>
      </c>
      <c r="C964" s="10" t="s">
        <v>1287</v>
      </c>
      <c r="D964" t="s">
        <v>58</v>
      </c>
      <c r="E964" t="s">
        <v>497</v>
      </c>
      <c r="F964" t="s">
        <v>2342</v>
      </c>
      <c r="G964">
        <v>50000</v>
      </c>
      <c r="H964">
        <v>1979</v>
      </c>
      <c r="I964" t="s">
        <v>58</v>
      </c>
      <c r="J964" t="s">
        <v>58</v>
      </c>
      <c r="K964" t="s">
        <v>58</v>
      </c>
      <c r="L964" t="s">
        <v>58</v>
      </c>
      <c r="M964" t="s">
        <v>58</v>
      </c>
      <c r="N964" t="s">
        <v>61</v>
      </c>
      <c r="Q964" t="s">
        <v>58</v>
      </c>
      <c r="R964" s="11" t="str">
        <f>HYPERLINK("\\imagefiles.bcgov\imagery\scanned_maps\moe_terrain_maps\Scanned_T_maps_all\I13\I13-3068","\\imagefiles.bcgov\imagery\scanned_maps\moe_terrain_maps\Scanned_T_maps_all\I13\I13-3068")</f>
        <v>\\imagefiles.bcgov\imagery\scanned_maps\moe_terrain_maps\Scanned_T_maps_all\I13\I13-3068</v>
      </c>
      <c r="S964" t="s">
        <v>62</v>
      </c>
      <c r="T964" s="11" t="str">
        <f>HYPERLINK("http://www.env.gov.bc.ca/esd/distdata/ecosystems/TEI_Scanned_Maps/I13/I13-3068","http://www.env.gov.bc.ca/esd/distdata/ecosystems/TEI_Scanned_Maps/I13/I13-3068")</f>
        <v>http://www.env.gov.bc.ca/esd/distdata/ecosystems/TEI_Scanned_Maps/I13/I13-3068</v>
      </c>
      <c r="U964" t="s">
        <v>58</v>
      </c>
      <c r="V964" t="s">
        <v>58</v>
      </c>
      <c r="W964" t="s">
        <v>58</v>
      </c>
      <c r="X964" t="s">
        <v>58</v>
      </c>
      <c r="Y964" t="s">
        <v>58</v>
      </c>
      <c r="Z964" t="s">
        <v>58</v>
      </c>
      <c r="AA964" t="s">
        <v>58</v>
      </c>
      <c r="AC964" t="s">
        <v>58</v>
      </c>
      <c r="AE964" t="s">
        <v>58</v>
      </c>
      <c r="AG964" t="s">
        <v>63</v>
      </c>
      <c r="AH964" s="11" t="str">
        <f t="shared" si="18"/>
        <v>mailto: soilterrain@victoria1.gov.bc.ca</v>
      </c>
    </row>
    <row r="965" spans="1:34">
      <c r="A965" t="s">
        <v>2343</v>
      </c>
      <c r="B965" t="s">
        <v>56</v>
      </c>
      <c r="C965" s="10" t="s">
        <v>1289</v>
      </c>
      <c r="D965" t="s">
        <v>58</v>
      </c>
      <c r="E965" t="s">
        <v>497</v>
      </c>
      <c r="F965" t="s">
        <v>2344</v>
      </c>
      <c r="G965">
        <v>50000</v>
      </c>
      <c r="H965">
        <v>1979</v>
      </c>
      <c r="I965" t="s">
        <v>58</v>
      </c>
      <c r="J965" t="s">
        <v>58</v>
      </c>
      <c r="K965" t="s">
        <v>58</v>
      </c>
      <c r="L965" t="s">
        <v>58</v>
      </c>
      <c r="M965" t="s">
        <v>58</v>
      </c>
      <c r="N965" t="s">
        <v>61</v>
      </c>
      <c r="Q965" t="s">
        <v>58</v>
      </c>
      <c r="R965" s="11" t="str">
        <f>HYPERLINK("\\imagefiles.bcgov\imagery\scanned_maps\moe_terrain_maps\Scanned_T_maps_all\I13\I13-3069","\\imagefiles.bcgov\imagery\scanned_maps\moe_terrain_maps\Scanned_T_maps_all\I13\I13-3069")</f>
        <v>\\imagefiles.bcgov\imagery\scanned_maps\moe_terrain_maps\Scanned_T_maps_all\I13\I13-3069</v>
      </c>
      <c r="S965" t="s">
        <v>62</v>
      </c>
      <c r="T965" s="11" t="str">
        <f>HYPERLINK("http://www.env.gov.bc.ca/esd/distdata/ecosystems/TEI_Scanned_Maps/I13/I13-3069","http://www.env.gov.bc.ca/esd/distdata/ecosystems/TEI_Scanned_Maps/I13/I13-3069")</f>
        <v>http://www.env.gov.bc.ca/esd/distdata/ecosystems/TEI_Scanned_Maps/I13/I13-3069</v>
      </c>
      <c r="U965" t="s">
        <v>58</v>
      </c>
      <c r="V965" t="s">
        <v>58</v>
      </c>
      <c r="W965" t="s">
        <v>58</v>
      </c>
      <c r="X965" t="s">
        <v>58</v>
      </c>
      <c r="Y965" t="s">
        <v>58</v>
      </c>
      <c r="Z965" t="s">
        <v>58</v>
      </c>
      <c r="AA965" t="s">
        <v>58</v>
      </c>
      <c r="AC965" t="s">
        <v>58</v>
      </c>
      <c r="AE965" t="s">
        <v>58</v>
      </c>
      <c r="AG965" t="s">
        <v>63</v>
      </c>
      <c r="AH965" s="11" t="str">
        <f t="shared" si="18"/>
        <v>mailto: soilterrain@victoria1.gov.bc.ca</v>
      </c>
    </row>
    <row r="966" spans="1:34">
      <c r="A966" t="s">
        <v>2345</v>
      </c>
      <c r="B966" t="s">
        <v>56</v>
      </c>
      <c r="C966" s="10" t="s">
        <v>1291</v>
      </c>
      <c r="D966" t="s">
        <v>58</v>
      </c>
      <c r="E966" t="s">
        <v>497</v>
      </c>
      <c r="F966" t="s">
        <v>2346</v>
      </c>
      <c r="G966">
        <v>50000</v>
      </c>
      <c r="H966">
        <v>1979</v>
      </c>
      <c r="I966" t="s">
        <v>58</v>
      </c>
      <c r="J966" t="s">
        <v>58</v>
      </c>
      <c r="K966" t="s">
        <v>58</v>
      </c>
      <c r="L966" t="s">
        <v>58</v>
      </c>
      <c r="M966" t="s">
        <v>58</v>
      </c>
      <c r="N966" t="s">
        <v>61</v>
      </c>
      <c r="Q966" t="s">
        <v>58</v>
      </c>
      <c r="R966" s="11" t="str">
        <f>HYPERLINK("\\imagefiles.bcgov\imagery\scanned_maps\moe_terrain_maps\Scanned_T_maps_all\I13\I13-3070","\\imagefiles.bcgov\imagery\scanned_maps\moe_terrain_maps\Scanned_T_maps_all\I13\I13-3070")</f>
        <v>\\imagefiles.bcgov\imagery\scanned_maps\moe_terrain_maps\Scanned_T_maps_all\I13\I13-3070</v>
      </c>
      <c r="S966" t="s">
        <v>62</v>
      </c>
      <c r="T966" s="11" t="str">
        <f>HYPERLINK("http://www.env.gov.bc.ca/esd/distdata/ecosystems/TEI_Scanned_Maps/I13/I13-3070","http://www.env.gov.bc.ca/esd/distdata/ecosystems/TEI_Scanned_Maps/I13/I13-3070")</f>
        <v>http://www.env.gov.bc.ca/esd/distdata/ecosystems/TEI_Scanned_Maps/I13/I13-3070</v>
      </c>
      <c r="U966" t="s">
        <v>58</v>
      </c>
      <c r="V966" t="s">
        <v>58</v>
      </c>
      <c r="W966" t="s">
        <v>58</v>
      </c>
      <c r="X966" t="s">
        <v>58</v>
      </c>
      <c r="Y966" t="s">
        <v>58</v>
      </c>
      <c r="Z966" t="s">
        <v>58</v>
      </c>
      <c r="AA966" t="s">
        <v>58</v>
      </c>
      <c r="AC966" t="s">
        <v>58</v>
      </c>
      <c r="AE966" t="s">
        <v>58</v>
      </c>
      <c r="AG966" t="s">
        <v>63</v>
      </c>
      <c r="AH966" s="11" t="str">
        <f t="shared" si="18"/>
        <v>mailto: soilterrain@victoria1.gov.bc.ca</v>
      </c>
    </row>
    <row r="967" spans="1:34">
      <c r="A967" t="s">
        <v>2347</v>
      </c>
      <c r="B967" t="s">
        <v>56</v>
      </c>
      <c r="C967" s="10" t="s">
        <v>1293</v>
      </c>
      <c r="D967" t="s">
        <v>58</v>
      </c>
      <c r="E967" t="s">
        <v>497</v>
      </c>
      <c r="F967" t="s">
        <v>2348</v>
      </c>
      <c r="G967">
        <v>50000</v>
      </c>
      <c r="H967">
        <v>1979</v>
      </c>
      <c r="I967" t="s">
        <v>58</v>
      </c>
      <c r="J967" t="s">
        <v>58</v>
      </c>
      <c r="K967" t="s">
        <v>58</v>
      </c>
      <c r="L967" t="s">
        <v>58</v>
      </c>
      <c r="M967" t="s">
        <v>58</v>
      </c>
      <c r="N967" t="s">
        <v>61</v>
      </c>
      <c r="Q967" t="s">
        <v>58</v>
      </c>
      <c r="R967" s="11" t="str">
        <f>HYPERLINK("\\imagefiles.bcgov\imagery\scanned_maps\moe_terrain_maps\Scanned_T_maps_all\I13\I13-3071","\\imagefiles.bcgov\imagery\scanned_maps\moe_terrain_maps\Scanned_T_maps_all\I13\I13-3071")</f>
        <v>\\imagefiles.bcgov\imagery\scanned_maps\moe_terrain_maps\Scanned_T_maps_all\I13\I13-3071</v>
      </c>
      <c r="S967" t="s">
        <v>62</v>
      </c>
      <c r="T967" s="11" t="str">
        <f>HYPERLINK("http://www.env.gov.bc.ca/esd/distdata/ecosystems/TEI_Scanned_Maps/I13/I13-3071","http://www.env.gov.bc.ca/esd/distdata/ecosystems/TEI_Scanned_Maps/I13/I13-3071")</f>
        <v>http://www.env.gov.bc.ca/esd/distdata/ecosystems/TEI_Scanned_Maps/I13/I13-3071</v>
      </c>
      <c r="U967" t="s">
        <v>58</v>
      </c>
      <c r="V967" t="s">
        <v>58</v>
      </c>
      <c r="W967" t="s">
        <v>58</v>
      </c>
      <c r="X967" t="s">
        <v>58</v>
      </c>
      <c r="Y967" t="s">
        <v>58</v>
      </c>
      <c r="Z967" t="s">
        <v>58</v>
      </c>
      <c r="AA967" t="s">
        <v>58</v>
      </c>
      <c r="AC967" t="s">
        <v>58</v>
      </c>
      <c r="AE967" t="s">
        <v>58</v>
      </c>
      <c r="AG967" t="s">
        <v>63</v>
      </c>
      <c r="AH967" s="11" t="str">
        <f t="shared" si="18"/>
        <v>mailto: soilterrain@victoria1.gov.bc.ca</v>
      </c>
    </row>
    <row r="968" spans="1:34">
      <c r="A968" t="s">
        <v>2349</v>
      </c>
      <c r="B968" t="s">
        <v>56</v>
      </c>
      <c r="C968" s="10" t="s">
        <v>1295</v>
      </c>
      <c r="D968" t="s">
        <v>58</v>
      </c>
      <c r="E968" t="s">
        <v>497</v>
      </c>
      <c r="F968" t="s">
        <v>2350</v>
      </c>
      <c r="G968">
        <v>50000</v>
      </c>
      <c r="H968">
        <v>1979</v>
      </c>
      <c r="I968" t="s">
        <v>58</v>
      </c>
      <c r="J968" t="s">
        <v>58</v>
      </c>
      <c r="K968" t="s">
        <v>58</v>
      </c>
      <c r="L968" t="s">
        <v>58</v>
      </c>
      <c r="M968" t="s">
        <v>58</v>
      </c>
      <c r="N968" t="s">
        <v>61</v>
      </c>
      <c r="Q968" t="s">
        <v>58</v>
      </c>
      <c r="R968" s="11" t="str">
        <f>HYPERLINK("\\imagefiles.bcgov\imagery\scanned_maps\moe_terrain_maps\Scanned_T_maps_all\I13\I13-3072","\\imagefiles.bcgov\imagery\scanned_maps\moe_terrain_maps\Scanned_T_maps_all\I13\I13-3072")</f>
        <v>\\imagefiles.bcgov\imagery\scanned_maps\moe_terrain_maps\Scanned_T_maps_all\I13\I13-3072</v>
      </c>
      <c r="S968" t="s">
        <v>62</v>
      </c>
      <c r="T968" s="11" t="str">
        <f>HYPERLINK("http://www.env.gov.bc.ca/esd/distdata/ecosystems/TEI_Scanned_Maps/I13/I13-3072","http://www.env.gov.bc.ca/esd/distdata/ecosystems/TEI_Scanned_Maps/I13/I13-3072")</f>
        <v>http://www.env.gov.bc.ca/esd/distdata/ecosystems/TEI_Scanned_Maps/I13/I13-3072</v>
      </c>
      <c r="U968" t="s">
        <v>58</v>
      </c>
      <c r="V968" t="s">
        <v>58</v>
      </c>
      <c r="W968" t="s">
        <v>58</v>
      </c>
      <c r="X968" t="s">
        <v>58</v>
      </c>
      <c r="Y968" t="s">
        <v>58</v>
      </c>
      <c r="Z968" t="s">
        <v>58</v>
      </c>
      <c r="AA968" t="s">
        <v>58</v>
      </c>
      <c r="AC968" t="s">
        <v>58</v>
      </c>
      <c r="AE968" t="s">
        <v>58</v>
      </c>
      <c r="AG968" t="s">
        <v>63</v>
      </c>
      <c r="AH968" s="11" t="str">
        <f t="shared" si="18"/>
        <v>mailto: soilterrain@victoria1.gov.bc.ca</v>
      </c>
    </row>
    <row r="969" spans="1:34">
      <c r="A969" t="s">
        <v>2351</v>
      </c>
      <c r="B969" t="s">
        <v>56</v>
      </c>
      <c r="C969" s="10" t="s">
        <v>1297</v>
      </c>
      <c r="D969" t="s">
        <v>58</v>
      </c>
      <c r="E969" t="s">
        <v>497</v>
      </c>
      <c r="F969" t="s">
        <v>2352</v>
      </c>
      <c r="G969">
        <v>50000</v>
      </c>
      <c r="H969">
        <v>1979</v>
      </c>
      <c r="I969" t="s">
        <v>58</v>
      </c>
      <c r="J969" t="s">
        <v>58</v>
      </c>
      <c r="K969" t="s">
        <v>58</v>
      </c>
      <c r="L969" t="s">
        <v>58</v>
      </c>
      <c r="M969" t="s">
        <v>58</v>
      </c>
      <c r="N969" t="s">
        <v>61</v>
      </c>
      <c r="Q969" t="s">
        <v>58</v>
      </c>
      <c r="R969" s="11" t="str">
        <f>HYPERLINK("\\imagefiles.bcgov\imagery\scanned_maps\moe_terrain_maps\Scanned_T_maps_all\I13\I13-3073","\\imagefiles.bcgov\imagery\scanned_maps\moe_terrain_maps\Scanned_T_maps_all\I13\I13-3073")</f>
        <v>\\imagefiles.bcgov\imagery\scanned_maps\moe_terrain_maps\Scanned_T_maps_all\I13\I13-3073</v>
      </c>
      <c r="S969" t="s">
        <v>62</v>
      </c>
      <c r="T969" s="11" t="str">
        <f>HYPERLINK("http://www.env.gov.bc.ca/esd/distdata/ecosystems/TEI_Scanned_Maps/I13/I13-3073","http://www.env.gov.bc.ca/esd/distdata/ecosystems/TEI_Scanned_Maps/I13/I13-3073")</f>
        <v>http://www.env.gov.bc.ca/esd/distdata/ecosystems/TEI_Scanned_Maps/I13/I13-3073</v>
      </c>
      <c r="U969" t="s">
        <v>58</v>
      </c>
      <c r="V969" t="s">
        <v>58</v>
      </c>
      <c r="W969" t="s">
        <v>58</v>
      </c>
      <c r="X969" t="s">
        <v>58</v>
      </c>
      <c r="Y969" t="s">
        <v>58</v>
      </c>
      <c r="Z969" t="s">
        <v>58</v>
      </c>
      <c r="AA969" t="s">
        <v>58</v>
      </c>
      <c r="AC969" t="s">
        <v>58</v>
      </c>
      <c r="AE969" t="s">
        <v>58</v>
      </c>
      <c r="AG969" t="s">
        <v>63</v>
      </c>
      <c r="AH969" s="11" t="str">
        <f t="shared" si="18"/>
        <v>mailto: soilterrain@victoria1.gov.bc.ca</v>
      </c>
    </row>
    <row r="970" spans="1:34">
      <c r="A970" t="s">
        <v>2353</v>
      </c>
      <c r="B970" t="s">
        <v>56</v>
      </c>
      <c r="C970" s="10" t="s">
        <v>1299</v>
      </c>
      <c r="D970" t="s">
        <v>58</v>
      </c>
      <c r="E970" t="s">
        <v>497</v>
      </c>
      <c r="F970" t="s">
        <v>2354</v>
      </c>
      <c r="G970">
        <v>50000</v>
      </c>
      <c r="H970">
        <v>1979</v>
      </c>
      <c r="I970" t="s">
        <v>58</v>
      </c>
      <c r="J970" t="s">
        <v>58</v>
      </c>
      <c r="K970" t="s">
        <v>58</v>
      </c>
      <c r="L970" t="s">
        <v>58</v>
      </c>
      <c r="M970" t="s">
        <v>58</v>
      </c>
      <c r="N970" t="s">
        <v>61</v>
      </c>
      <c r="Q970" t="s">
        <v>58</v>
      </c>
      <c r="R970" s="11" t="str">
        <f>HYPERLINK("\\imagefiles.bcgov\imagery\scanned_maps\moe_terrain_maps\Scanned_T_maps_all\I13\I13-3074","\\imagefiles.bcgov\imagery\scanned_maps\moe_terrain_maps\Scanned_T_maps_all\I13\I13-3074")</f>
        <v>\\imagefiles.bcgov\imagery\scanned_maps\moe_terrain_maps\Scanned_T_maps_all\I13\I13-3074</v>
      </c>
      <c r="S970" t="s">
        <v>62</v>
      </c>
      <c r="T970" s="11" t="str">
        <f>HYPERLINK("http://www.env.gov.bc.ca/esd/distdata/ecosystems/TEI_Scanned_Maps/I13/I13-3074","http://www.env.gov.bc.ca/esd/distdata/ecosystems/TEI_Scanned_Maps/I13/I13-3074")</f>
        <v>http://www.env.gov.bc.ca/esd/distdata/ecosystems/TEI_Scanned_Maps/I13/I13-3074</v>
      </c>
      <c r="U970" t="s">
        <v>58</v>
      </c>
      <c r="V970" t="s">
        <v>58</v>
      </c>
      <c r="W970" t="s">
        <v>58</v>
      </c>
      <c r="X970" t="s">
        <v>58</v>
      </c>
      <c r="Y970" t="s">
        <v>58</v>
      </c>
      <c r="Z970" t="s">
        <v>58</v>
      </c>
      <c r="AA970" t="s">
        <v>58</v>
      </c>
      <c r="AC970" t="s">
        <v>58</v>
      </c>
      <c r="AE970" t="s">
        <v>58</v>
      </c>
      <c r="AG970" t="s">
        <v>63</v>
      </c>
      <c r="AH970" s="11" t="str">
        <f t="shared" si="18"/>
        <v>mailto: soilterrain@victoria1.gov.bc.ca</v>
      </c>
    </row>
    <row r="971" spans="1:34">
      <c r="A971" t="s">
        <v>2355</v>
      </c>
      <c r="B971" t="s">
        <v>56</v>
      </c>
      <c r="C971" s="10" t="s">
        <v>1301</v>
      </c>
      <c r="D971" t="s">
        <v>58</v>
      </c>
      <c r="E971" t="s">
        <v>497</v>
      </c>
      <c r="F971" t="s">
        <v>2356</v>
      </c>
      <c r="G971">
        <v>50000</v>
      </c>
      <c r="H971">
        <v>1979</v>
      </c>
      <c r="I971" t="s">
        <v>58</v>
      </c>
      <c r="J971" t="s">
        <v>58</v>
      </c>
      <c r="K971" t="s">
        <v>58</v>
      </c>
      <c r="L971" t="s">
        <v>58</v>
      </c>
      <c r="M971" t="s">
        <v>58</v>
      </c>
      <c r="N971" t="s">
        <v>61</v>
      </c>
      <c r="Q971" t="s">
        <v>58</v>
      </c>
      <c r="R971" s="11" t="str">
        <f>HYPERLINK("\\imagefiles.bcgov\imagery\scanned_maps\moe_terrain_maps\Scanned_T_maps_all\I13\I13-3075","\\imagefiles.bcgov\imagery\scanned_maps\moe_terrain_maps\Scanned_T_maps_all\I13\I13-3075")</f>
        <v>\\imagefiles.bcgov\imagery\scanned_maps\moe_terrain_maps\Scanned_T_maps_all\I13\I13-3075</v>
      </c>
      <c r="S971" t="s">
        <v>62</v>
      </c>
      <c r="T971" s="11" t="str">
        <f>HYPERLINK("http://www.env.gov.bc.ca/esd/distdata/ecosystems/TEI_Scanned_Maps/I13/I13-3075","http://www.env.gov.bc.ca/esd/distdata/ecosystems/TEI_Scanned_Maps/I13/I13-3075")</f>
        <v>http://www.env.gov.bc.ca/esd/distdata/ecosystems/TEI_Scanned_Maps/I13/I13-3075</v>
      </c>
      <c r="U971" t="s">
        <v>58</v>
      </c>
      <c r="V971" t="s">
        <v>58</v>
      </c>
      <c r="W971" t="s">
        <v>58</v>
      </c>
      <c r="X971" t="s">
        <v>58</v>
      </c>
      <c r="Y971" t="s">
        <v>58</v>
      </c>
      <c r="Z971" t="s">
        <v>58</v>
      </c>
      <c r="AA971" t="s">
        <v>58</v>
      </c>
      <c r="AC971" t="s">
        <v>58</v>
      </c>
      <c r="AE971" t="s">
        <v>58</v>
      </c>
      <c r="AG971" t="s">
        <v>63</v>
      </c>
      <c r="AH971" s="11" t="str">
        <f t="shared" si="18"/>
        <v>mailto: soilterrain@victoria1.gov.bc.ca</v>
      </c>
    </row>
    <row r="972" spans="1:34">
      <c r="A972" t="s">
        <v>2357</v>
      </c>
      <c r="B972" t="s">
        <v>56</v>
      </c>
      <c r="C972" s="10" t="s">
        <v>716</v>
      </c>
      <c r="D972" t="s">
        <v>58</v>
      </c>
      <c r="E972" t="s">
        <v>497</v>
      </c>
      <c r="F972" t="s">
        <v>2358</v>
      </c>
      <c r="G972">
        <v>50000</v>
      </c>
      <c r="H972">
        <v>1979</v>
      </c>
      <c r="I972" t="s">
        <v>58</v>
      </c>
      <c r="J972" t="s">
        <v>58</v>
      </c>
      <c r="K972" t="s">
        <v>58</v>
      </c>
      <c r="L972" t="s">
        <v>58</v>
      </c>
      <c r="M972" t="s">
        <v>58</v>
      </c>
      <c r="N972" t="s">
        <v>61</v>
      </c>
      <c r="Q972" t="s">
        <v>58</v>
      </c>
      <c r="R972" s="11" t="str">
        <f>HYPERLINK("\\imagefiles.bcgov\imagery\scanned_maps\moe_terrain_maps\Scanned_T_maps_all\I13\I13-3076","\\imagefiles.bcgov\imagery\scanned_maps\moe_terrain_maps\Scanned_T_maps_all\I13\I13-3076")</f>
        <v>\\imagefiles.bcgov\imagery\scanned_maps\moe_terrain_maps\Scanned_T_maps_all\I13\I13-3076</v>
      </c>
      <c r="S972" t="s">
        <v>62</v>
      </c>
      <c r="T972" s="11" t="str">
        <f>HYPERLINK("http://www.env.gov.bc.ca/esd/distdata/ecosystems/TEI_Scanned_Maps/I13/I13-3076","http://www.env.gov.bc.ca/esd/distdata/ecosystems/TEI_Scanned_Maps/I13/I13-3076")</f>
        <v>http://www.env.gov.bc.ca/esd/distdata/ecosystems/TEI_Scanned_Maps/I13/I13-3076</v>
      </c>
      <c r="U972" t="s">
        <v>58</v>
      </c>
      <c r="V972" t="s">
        <v>58</v>
      </c>
      <c r="W972" t="s">
        <v>58</v>
      </c>
      <c r="X972" t="s">
        <v>58</v>
      </c>
      <c r="Y972" t="s">
        <v>58</v>
      </c>
      <c r="Z972" t="s">
        <v>58</v>
      </c>
      <c r="AA972" t="s">
        <v>58</v>
      </c>
      <c r="AC972" t="s">
        <v>58</v>
      </c>
      <c r="AE972" t="s">
        <v>58</v>
      </c>
      <c r="AG972" t="s">
        <v>63</v>
      </c>
      <c r="AH972" s="11" t="str">
        <f t="shared" si="18"/>
        <v>mailto: soilterrain@victoria1.gov.bc.ca</v>
      </c>
    </row>
    <row r="973" spans="1:34">
      <c r="A973" t="s">
        <v>2359</v>
      </c>
      <c r="B973" t="s">
        <v>56</v>
      </c>
      <c r="C973" s="10" t="s">
        <v>1304</v>
      </c>
      <c r="D973" t="s">
        <v>58</v>
      </c>
      <c r="E973" t="s">
        <v>497</v>
      </c>
      <c r="F973" t="s">
        <v>2360</v>
      </c>
      <c r="G973">
        <v>50000</v>
      </c>
      <c r="H973">
        <v>1979</v>
      </c>
      <c r="I973" t="s">
        <v>58</v>
      </c>
      <c r="J973" t="s">
        <v>58</v>
      </c>
      <c r="K973" t="s">
        <v>58</v>
      </c>
      <c r="L973" t="s">
        <v>58</v>
      </c>
      <c r="M973" t="s">
        <v>58</v>
      </c>
      <c r="N973" t="s">
        <v>61</v>
      </c>
      <c r="Q973" t="s">
        <v>58</v>
      </c>
      <c r="R973" s="11" t="str">
        <f>HYPERLINK("\\imagefiles.bcgov\imagery\scanned_maps\moe_terrain_maps\Scanned_T_maps_all\I13\I13-3077","\\imagefiles.bcgov\imagery\scanned_maps\moe_terrain_maps\Scanned_T_maps_all\I13\I13-3077")</f>
        <v>\\imagefiles.bcgov\imagery\scanned_maps\moe_terrain_maps\Scanned_T_maps_all\I13\I13-3077</v>
      </c>
      <c r="S973" t="s">
        <v>62</v>
      </c>
      <c r="T973" s="11" t="str">
        <f>HYPERLINK("http://www.env.gov.bc.ca/esd/distdata/ecosystems/TEI_Scanned_Maps/I13/I13-3077","http://www.env.gov.bc.ca/esd/distdata/ecosystems/TEI_Scanned_Maps/I13/I13-3077")</f>
        <v>http://www.env.gov.bc.ca/esd/distdata/ecosystems/TEI_Scanned_Maps/I13/I13-3077</v>
      </c>
      <c r="U973" t="s">
        <v>58</v>
      </c>
      <c r="V973" t="s">
        <v>58</v>
      </c>
      <c r="W973" t="s">
        <v>58</v>
      </c>
      <c r="X973" t="s">
        <v>58</v>
      </c>
      <c r="Y973" t="s">
        <v>58</v>
      </c>
      <c r="Z973" t="s">
        <v>58</v>
      </c>
      <c r="AA973" t="s">
        <v>58</v>
      </c>
      <c r="AC973" t="s">
        <v>58</v>
      </c>
      <c r="AE973" t="s">
        <v>58</v>
      </c>
      <c r="AG973" t="s">
        <v>63</v>
      </c>
      <c r="AH973" s="11" t="str">
        <f t="shared" si="18"/>
        <v>mailto: soilterrain@victoria1.gov.bc.ca</v>
      </c>
    </row>
    <row r="974" spans="1:34">
      <c r="A974" t="s">
        <v>2361</v>
      </c>
      <c r="B974" t="s">
        <v>56</v>
      </c>
      <c r="C974" s="10" t="s">
        <v>1306</v>
      </c>
      <c r="D974" t="s">
        <v>58</v>
      </c>
      <c r="E974" t="s">
        <v>497</v>
      </c>
      <c r="F974" t="s">
        <v>2362</v>
      </c>
      <c r="G974">
        <v>50000</v>
      </c>
      <c r="H974">
        <v>1979</v>
      </c>
      <c r="I974" t="s">
        <v>58</v>
      </c>
      <c r="J974" t="s">
        <v>58</v>
      </c>
      <c r="K974" t="s">
        <v>58</v>
      </c>
      <c r="L974" t="s">
        <v>58</v>
      </c>
      <c r="M974" t="s">
        <v>58</v>
      </c>
      <c r="N974" t="s">
        <v>61</v>
      </c>
      <c r="Q974" t="s">
        <v>58</v>
      </c>
      <c r="R974" s="11" t="str">
        <f>HYPERLINK("\\imagefiles.bcgov\imagery\scanned_maps\moe_terrain_maps\Scanned_T_maps_all\I13\I13-3078","\\imagefiles.bcgov\imagery\scanned_maps\moe_terrain_maps\Scanned_T_maps_all\I13\I13-3078")</f>
        <v>\\imagefiles.bcgov\imagery\scanned_maps\moe_terrain_maps\Scanned_T_maps_all\I13\I13-3078</v>
      </c>
      <c r="S974" t="s">
        <v>62</v>
      </c>
      <c r="T974" s="11" t="str">
        <f>HYPERLINK("http://www.env.gov.bc.ca/esd/distdata/ecosystems/TEI_Scanned_Maps/I13/I13-3078","http://www.env.gov.bc.ca/esd/distdata/ecosystems/TEI_Scanned_Maps/I13/I13-3078")</f>
        <v>http://www.env.gov.bc.ca/esd/distdata/ecosystems/TEI_Scanned_Maps/I13/I13-3078</v>
      </c>
      <c r="U974" t="s">
        <v>58</v>
      </c>
      <c r="V974" t="s">
        <v>58</v>
      </c>
      <c r="W974" t="s">
        <v>58</v>
      </c>
      <c r="X974" t="s">
        <v>58</v>
      </c>
      <c r="Y974" t="s">
        <v>58</v>
      </c>
      <c r="Z974" t="s">
        <v>58</v>
      </c>
      <c r="AA974" t="s">
        <v>58</v>
      </c>
      <c r="AC974" t="s">
        <v>58</v>
      </c>
      <c r="AE974" t="s">
        <v>58</v>
      </c>
      <c r="AG974" t="s">
        <v>63</v>
      </c>
      <c r="AH974" s="11" t="str">
        <f t="shared" si="18"/>
        <v>mailto: soilterrain@victoria1.gov.bc.ca</v>
      </c>
    </row>
    <row r="975" spans="1:34">
      <c r="A975" t="s">
        <v>2363</v>
      </c>
      <c r="B975" t="s">
        <v>56</v>
      </c>
      <c r="C975" s="10" t="s">
        <v>1308</v>
      </c>
      <c r="D975" t="s">
        <v>58</v>
      </c>
      <c r="E975" t="s">
        <v>497</v>
      </c>
      <c r="F975" t="s">
        <v>2364</v>
      </c>
      <c r="G975">
        <v>50000</v>
      </c>
      <c r="H975">
        <v>1979</v>
      </c>
      <c r="I975" t="s">
        <v>58</v>
      </c>
      <c r="J975" t="s">
        <v>58</v>
      </c>
      <c r="K975" t="s">
        <v>58</v>
      </c>
      <c r="L975" t="s">
        <v>58</v>
      </c>
      <c r="M975" t="s">
        <v>58</v>
      </c>
      <c r="N975" t="s">
        <v>61</v>
      </c>
      <c r="Q975" t="s">
        <v>58</v>
      </c>
      <c r="R975" s="11" t="str">
        <f>HYPERLINK("\\imagefiles.bcgov\imagery\scanned_maps\moe_terrain_maps\Scanned_T_maps_all\I13\I13-3079","\\imagefiles.bcgov\imagery\scanned_maps\moe_terrain_maps\Scanned_T_maps_all\I13\I13-3079")</f>
        <v>\\imagefiles.bcgov\imagery\scanned_maps\moe_terrain_maps\Scanned_T_maps_all\I13\I13-3079</v>
      </c>
      <c r="S975" t="s">
        <v>62</v>
      </c>
      <c r="T975" s="11" t="str">
        <f>HYPERLINK("http://www.env.gov.bc.ca/esd/distdata/ecosystems/TEI_Scanned_Maps/I13/I13-3079","http://www.env.gov.bc.ca/esd/distdata/ecosystems/TEI_Scanned_Maps/I13/I13-3079")</f>
        <v>http://www.env.gov.bc.ca/esd/distdata/ecosystems/TEI_Scanned_Maps/I13/I13-3079</v>
      </c>
      <c r="U975" t="s">
        <v>58</v>
      </c>
      <c r="V975" t="s">
        <v>58</v>
      </c>
      <c r="W975" t="s">
        <v>58</v>
      </c>
      <c r="X975" t="s">
        <v>58</v>
      </c>
      <c r="Y975" t="s">
        <v>58</v>
      </c>
      <c r="Z975" t="s">
        <v>58</v>
      </c>
      <c r="AA975" t="s">
        <v>58</v>
      </c>
      <c r="AC975" t="s">
        <v>58</v>
      </c>
      <c r="AE975" t="s">
        <v>58</v>
      </c>
      <c r="AG975" t="s">
        <v>63</v>
      </c>
      <c r="AH975" s="11" t="str">
        <f t="shared" si="18"/>
        <v>mailto: soilterrain@victoria1.gov.bc.ca</v>
      </c>
    </row>
    <row r="976" spans="1:34">
      <c r="A976" t="s">
        <v>2365</v>
      </c>
      <c r="B976" t="s">
        <v>56</v>
      </c>
      <c r="C976" s="10" t="s">
        <v>1310</v>
      </c>
      <c r="D976" t="s">
        <v>58</v>
      </c>
      <c r="E976" t="s">
        <v>497</v>
      </c>
      <c r="F976" t="s">
        <v>2366</v>
      </c>
      <c r="G976">
        <v>50000</v>
      </c>
      <c r="H976">
        <v>1979</v>
      </c>
      <c r="I976" t="s">
        <v>58</v>
      </c>
      <c r="J976" t="s">
        <v>58</v>
      </c>
      <c r="K976" t="s">
        <v>58</v>
      </c>
      <c r="L976" t="s">
        <v>58</v>
      </c>
      <c r="M976" t="s">
        <v>58</v>
      </c>
      <c r="N976" t="s">
        <v>61</v>
      </c>
      <c r="Q976" t="s">
        <v>58</v>
      </c>
      <c r="R976" s="11" t="str">
        <f>HYPERLINK("\\imagefiles.bcgov\imagery\scanned_maps\moe_terrain_maps\Scanned_T_maps_all\I13\I13-3080","\\imagefiles.bcgov\imagery\scanned_maps\moe_terrain_maps\Scanned_T_maps_all\I13\I13-3080")</f>
        <v>\\imagefiles.bcgov\imagery\scanned_maps\moe_terrain_maps\Scanned_T_maps_all\I13\I13-3080</v>
      </c>
      <c r="S976" t="s">
        <v>62</v>
      </c>
      <c r="T976" s="11" t="str">
        <f>HYPERLINK("http://www.env.gov.bc.ca/esd/distdata/ecosystems/TEI_Scanned_Maps/I13/I13-3080","http://www.env.gov.bc.ca/esd/distdata/ecosystems/TEI_Scanned_Maps/I13/I13-3080")</f>
        <v>http://www.env.gov.bc.ca/esd/distdata/ecosystems/TEI_Scanned_Maps/I13/I13-3080</v>
      </c>
      <c r="U976" t="s">
        <v>58</v>
      </c>
      <c r="V976" t="s">
        <v>58</v>
      </c>
      <c r="W976" t="s">
        <v>58</v>
      </c>
      <c r="X976" t="s">
        <v>58</v>
      </c>
      <c r="Y976" t="s">
        <v>58</v>
      </c>
      <c r="Z976" t="s">
        <v>58</v>
      </c>
      <c r="AA976" t="s">
        <v>58</v>
      </c>
      <c r="AC976" t="s">
        <v>58</v>
      </c>
      <c r="AE976" t="s">
        <v>58</v>
      </c>
      <c r="AG976" t="s">
        <v>63</v>
      </c>
      <c r="AH976" s="11" t="str">
        <f t="shared" si="18"/>
        <v>mailto: soilterrain@victoria1.gov.bc.ca</v>
      </c>
    </row>
    <row r="977" spans="1:34">
      <c r="A977" t="s">
        <v>2367</v>
      </c>
      <c r="B977" t="s">
        <v>56</v>
      </c>
      <c r="C977" s="10" t="s">
        <v>1312</v>
      </c>
      <c r="D977" t="s">
        <v>58</v>
      </c>
      <c r="E977" t="s">
        <v>497</v>
      </c>
      <c r="F977" t="s">
        <v>2368</v>
      </c>
      <c r="G977">
        <v>50000</v>
      </c>
      <c r="H977">
        <v>1979</v>
      </c>
      <c r="I977" t="s">
        <v>58</v>
      </c>
      <c r="J977" t="s">
        <v>58</v>
      </c>
      <c r="K977" t="s">
        <v>58</v>
      </c>
      <c r="L977" t="s">
        <v>58</v>
      </c>
      <c r="M977" t="s">
        <v>58</v>
      </c>
      <c r="N977" t="s">
        <v>61</v>
      </c>
      <c r="Q977" t="s">
        <v>58</v>
      </c>
      <c r="R977" s="11" t="str">
        <f>HYPERLINK("\\imagefiles.bcgov\imagery\scanned_maps\moe_terrain_maps\Scanned_T_maps_all\I13\I13-3081","\\imagefiles.bcgov\imagery\scanned_maps\moe_terrain_maps\Scanned_T_maps_all\I13\I13-3081")</f>
        <v>\\imagefiles.bcgov\imagery\scanned_maps\moe_terrain_maps\Scanned_T_maps_all\I13\I13-3081</v>
      </c>
      <c r="S977" t="s">
        <v>62</v>
      </c>
      <c r="T977" s="11" t="str">
        <f>HYPERLINK("http://www.env.gov.bc.ca/esd/distdata/ecosystems/TEI_Scanned_Maps/I13/I13-3081","http://www.env.gov.bc.ca/esd/distdata/ecosystems/TEI_Scanned_Maps/I13/I13-3081")</f>
        <v>http://www.env.gov.bc.ca/esd/distdata/ecosystems/TEI_Scanned_Maps/I13/I13-3081</v>
      </c>
      <c r="U977" t="s">
        <v>58</v>
      </c>
      <c r="V977" t="s">
        <v>58</v>
      </c>
      <c r="W977" t="s">
        <v>58</v>
      </c>
      <c r="X977" t="s">
        <v>58</v>
      </c>
      <c r="Y977" t="s">
        <v>58</v>
      </c>
      <c r="Z977" t="s">
        <v>58</v>
      </c>
      <c r="AA977" t="s">
        <v>58</v>
      </c>
      <c r="AC977" t="s">
        <v>58</v>
      </c>
      <c r="AE977" t="s">
        <v>58</v>
      </c>
      <c r="AG977" t="s">
        <v>63</v>
      </c>
      <c r="AH977" s="11" t="str">
        <f t="shared" si="18"/>
        <v>mailto: soilterrain@victoria1.gov.bc.ca</v>
      </c>
    </row>
    <row r="978" spans="1:34">
      <c r="A978" t="s">
        <v>2369</v>
      </c>
      <c r="B978" t="s">
        <v>56</v>
      </c>
      <c r="C978" s="10" t="s">
        <v>1314</v>
      </c>
      <c r="D978" t="s">
        <v>58</v>
      </c>
      <c r="E978" t="s">
        <v>497</v>
      </c>
      <c r="F978" t="s">
        <v>2370</v>
      </c>
      <c r="G978">
        <v>50000</v>
      </c>
      <c r="H978">
        <v>1979</v>
      </c>
      <c r="I978" t="s">
        <v>58</v>
      </c>
      <c r="J978" t="s">
        <v>58</v>
      </c>
      <c r="K978" t="s">
        <v>58</v>
      </c>
      <c r="L978" t="s">
        <v>58</v>
      </c>
      <c r="M978" t="s">
        <v>58</v>
      </c>
      <c r="N978" t="s">
        <v>61</v>
      </c>
      <c r="Q978" t="s">
        <v>58</v>
      </c>
      <c r="R978" s="11" t="str">
        <f>HYPERLINK("\\imagefiles.bcgov\imagery\scanned_maps\moe_terrain_maps\Scanned_T_maps_all\I13\I13-3082","\\imagefiles.bcgov\imagery\scanned_maps\moe_terrain_maps\Scanned_T_maps_all\I13\I13-3082")</f>
        <v>\\imagefiles.bcgov\imagery\scanned_maps\moe_terrain_maps\Scanned_T_maps_all\I13\I13-3082</v>
      </c>
      <c r="S978" t="s">
        <v>62</v>
      </c>
      <c r="T978" s="11" t="str">
        <f>HYPERLINK("http://www.env.gov.bc.ca/esd/distdata/ecosystems/TEI_Scanned_Maps/I13/I13-3082","http://www.env.gov.bc.ca/esd/distdata/ecosystems/TEI_Scanned_Maps/I13/I13-3082")</f>
        <v>http://www.env.gov.bc.ca/esd/distdata/ecosystems/TEI_Scanned_Maps/I13/I13-3082</v>
      </c>
      <c r="U978" t="s">
        <v>58</v>
      </c>
      <c r="V978" t="s">
        <v>58</v>
      </c>
      <c r="W978" t="s">
        <v>58</v>
      </c>
      <c r="X978" t="s">
        <v>58</v>
      </c>
      <c r="Y978" t="s">
        <v>58</v>
      </c>
      <c r="Z978" t="s">
        <v>58</v>
      </c>
      <c r="AA978" t="s">
        <v>58</v>
      </c>
      <c r="AC978" t="s">
        <v>58</v>
      </c>
      <c r="AE978" t="s">
        <v>58</v>
      </c>
      <c r="AG978" t="s">
        <v>63</v>
      </c>
      <c r="AH978" s="11" t="str">
        <f t="shared" si="18"/>
        <v>mailto: soilterrain@victoria1.gov.bc.ca</v>
      </c>
    </row>
    <row r="979" spans="1:34">
      <c r="A979" t="s">
        <v>2371</v>
      </c>
      <c r="B979" t="s">
        <v>56</v>
      </c>
      <c r="C979" s="10" t="s">
        <v>1316</v>
      </c>
      <c r="D979" t="s">
        <v>58</v>
      </c>
      <c r="E979" t="s">
        <v>497</v>
      </c>
      <c r="F979" t="s">
        <v>2372</v>
      </c>
      <c r="G979">
        <v>50000</v>
      </c>
      <c r="H979">
        <v>1979</v>
      </c>
      <c r="I979" t="s">
        <v>58</v>
      </c>
      <c r="J979" t="s">
        <v>58</v>
      </c>
      <c r="K979" t="s">
        <v>58</v>
      </c>
      <c r="L979" t="s">
        <v>58</v>
      </c>
      <c r="M979" t="s">
        <v>58</v>
      </c>
      <c r="N979" t="s">
        <v>61</v>
      </c>
      <c r="Q979" t="s">
        <v>58</v>
      </c>
      <c r="R979" s="11" t="str">
        <f>HYPERLINK("\\imagefiles.bcgov\imagery\scanned_maps\moe_terrain_maps\Scanned_T_maps_all\I13\I13-3083","\\imagefiles.bcgov\imagery\scanned_maps\moe_terrain_maps\Scanned_T_maps_all\I13\I13-3083")</f>
        <v>\\imagefiles.bcgov\imagery\scanned_maps\moe_terrain_maps\Scanned_T_maps_all\I13\I13-3083</v>
      </c>
      <c r="S979" t="s">
        <v>62</v>
      </c>
      <c r="T979" s="11" t="str">
        <f>HYPERLINK("http://www.env.gov.bc.ca/esd/distdata/ecosystems/TEI_Scanned_Maps/I13/I13-3083","http://www.env.gov.bc.ca/esd/distdata/ecosystems/TEI_Scanned_Maps/I13/I13-3083")</f>
        <v>http://www.env.gov.bc.ca/esd/distdata/ecosystems/TEI_Scanned_Maps/I13/I13-3083</v>
      </c>
      <c r="U979" t="s">
        <v>58</v>
      </c>
      <c r="V979" t="s">
        <v>58</v>
      </c>
      <c r="W979" t="s">
        <v>58</v>
      </c>
      <c r="X979" t="s">
        <v>58</v>
      </c>
      <c r="Y979" t="s">
        <v>58</v>
      </c>
      <c r="Z979" t="s">
        <v>58</v>
      </c>
      <c r="AA979" t="s">
        <v>58</v>
      </c>
      <c r="AC979" t="s">
        <v>58</v>
      </c>
      <c r="AE979" t="s">
        <v>58</v>
      </c>
      <c r="AG979" t="s">
        <v>63</v>
      </c>
      <c r="AH979" s="11" t="str">
        <f t="shared" si="18"/>
        <v>mailto: soilterrain@victoria1.gov.bc.ca</v>
      </c>
    </row>
    <row r="980" spans="1:34">
      <c r="A980" t="s">
        <v>2373</v>
      </c>
      <c r="B980" t="s">
        <v>56</v>
      </c>
      <c r="C980" s="10" t="s">
        <v>1323</v>
      </c>
      <c r="D980" t="s">
        <v>58</v>
      </c>
      <c r="E980" t="s">
        <v>497</v>
      </c>
      <c r="F980" t="s">
        <v>2374</v>
      </c>
      <c r="G980">
        <v>50000</v>
      </c>
      <c r="H980">
        <v>1979</v>
      </c>
      <c r="I980" t="s">
        <v>58</v>
      </c>
      <c r="J980" t="s">
        <v>58</v>
      </c>
      <c r="K980" t="s">
        <v>58</v>
      </c>
      <c r="L980" t="s">
        <v>58</v>
      </c>
      <c r="M980" t="s">
        <v>58</v>
      </c>
      <c r="N980" t="s">
        <v>61</v>
      </c>
      <c r="Q980" t="s">
        <v>58</v>
      </c>
      <c r="R980" s="11" t="str">
        <f>HYPERLINK("\\imagefiles.bcgov\imagery\scanned_maps\moe_terrain_maps\Scanned_T_maps_all\I13\I13-3084","\\imagefiles.bcgov\imagery\scanned_maps\moe_terrain_maps\Scanned_T_maps_all\I13\I13-3084")</f>
        <v>\\imagefiles.bcgov\imagery\scanned_maps\moe_terrain_maps\Scanned_T_maps_all\I13\I13-3084</v>
      </c>
      <c r="S980" t="s">
        <v>62</v>
      </c>
      <c r="T980" s="11" t="str">
        <f>HYPERLINK("http://www.env.gov.bc.ca/esd/distdata/ecosystems/TEI_Scanned_Maps/I13/I13-3084","http://www.env.gov.bc.ca/esd/distdata/ecosystems/TEI_Scanned_Maps/I13/I13-3084")</f>
        <v>http://www.env.gov.bc.ca/esd/distdata/ecosystems/TEI_Scanned_Maps/I13/I13-3084</v>
      </c>
      <c r="U980" t="s">
        <v>58</v>
      </c>
      <c r="V980" t="s">
        <v>58</v>
      </c>
      <c r="W980" t="s">
        <v>58</v>
      </c>
      <c r="X980" t="s">
        <v>58</v>
      </c>
      <c r="Y980" t="s">
        <v>58</v>
      </c>
      <c r="Z980" t="s">
        <v>58</v>
      </c>
      <c r="AA980" t="s">
        <v>58</v>
      </c>
      <c r="AC980" t="s">
        <v>58</v>
      </c>
      <c r="AE980" t="s">
        <v>58</v>
      </c>
      <c r="AG980" t="s">
        <v>63</v>
      </c>
      <c r="AH980" s="11" t="str">
        <f t="shared" si="18"/>
        <v>mailto: soilterrain@victoria1.gov.bc.ca</v>
      </c>
    </row>
    <row r="981" spans="1:34">
      <c r="A981" t="s">
        <v>2375</v>
      </c>
      <c r="B981" t="s">
        <v>56</v>
      </c>
      <c r="C981" s="10" t="s">
        <v>1325</v>
      </c>
      <c r="D981" t="s">
        <v>58</v>
      </c>
      <c r="E981" t="s">
        <v>497</v>
      </c>
      <c r="F981" t="s">
        <v>2376</v>
      </c>
      <c r="G981">
        <v>50000</v>
      </c>
      <c r="H981">
        <v>1979</v>
      </c>
      <c r="I981" t="s">
        <v>58</v>
      </c>
      <c r="J981" t="s">
        <v>58</v>
      </c>
      <c r="K981" t="s">
        <v>58</v>
      </c>
      <c r="L981" t="s">
        <v>58</v>
      </c>
      <c r="M981" t="s">
        <v>58</v>
      </c>
      <c r="N981" t="s">
        <v>61</v>
      </c>
      <c r="Q981" t="s">
        <v>58</v>
      </c>
      <c r="R981" s="11" t="str">
        <f>HYPERLINK("\\imagefiles.bcgov\imagery\scanned_maps\moe_terrain_maps\Scanned_T_maps_all\I13\I13-3085","\\imagefiles.bcgov\imagery\scanned_maps\moe_terrain_maps\Scanned_T_maps_all\I13\I13-3085")</f>
        <v>\\imagefiles.bcgov\imagery\scanned_maps\moe_terrain_maps\Scanned_T_maps_all\I13\I13-3085</v>
      </c>
      <c r="S981" t="s">
        <v>62</v>
      </c>
      <c r="T981" s="11" t="str">
        <f>HYPERLINK("http://www.env.gov.bc.ca/esd/distdata/ecosystems/TEI_Scanned_Maps/I13/I13-3085","http://www.env.gov.bc.ca/esd/distdata/ecosystems/TEI_Scanned_Maps/I13/I13-3085")</f>
        <v>http://www.env.gov.bc.ca/esd/distdata/ecosystems/TEI_Scanned_Maps/I13/I13-3085</v>
      </c>
      <c r="U981" t="s">
        <v>58</v>
      </c>
      <c r="V981" t="s">
        <v>58</v>
      </c>
      <c r="W981" t="s">
        <v>58</v>
      </c>
      <c r="X981" t="s">
        <v>58</v>
      </c>
      <c r="Y981" t="s">
        <v>58</v>
      </c>
      <c r="Z981" t="s">
        <v>58</v>
      </c>
      <c r="AA981" t="s">
        <v>58</v>
      </c>
      <c r="AC981" t="s">
        <v>58</v>
      </c>
      <c r="AE981" t="s">
        <v>58</v>
      </c>
      <c r="AG981" t="s">
        <v>63</v>
      </c>
      <c r="AH981" s="11" t="str">
        <f t="shared" si="18"/>
        <v>mailto: soilterrain@victoria1.gov.bc.ca</v>
      </c>
    </row>
    <row r="982" spans="1:34">
      <c r="A982" t="s">
        <v>2377</v>
      </c>
      <c r="B982" t="s">
        <v>56</v>
      </c>
      <c r="C982" s="10" t="s">
        <v>302</v>
      </c>
      <c r="D982" t="s">
        <v>58</v>
      </c>
      <c r="E982" t="s">
        <v>497</v>
      </c>
      <c r="F982" t="s">
        <v>2378</v>
      </c>
      <c r="G982">
        <v>50000</v>
      </c>
      <c r="H982">
        <v>1979</v>
      </c>
      <c r="I982" t="s">
        <v>58</v>
      </c>
      <c r="J982" t="s">
        <v>58</v>
      </c>
      <c r="K982" t="s">
        <v>58</v>
      </c>
      <c r="L982" t="s">
        <v>58</v>
      </c>
      <c r="M982" t="s">
        <v>58</v>
      </c>
      <c r="N982" t="s">
        <v>61</v>
      </c>
      <c r="Q982" t="s">
        <v>58</v>
      </c>
      <c r="R982" s="11" t="str">
        <f>HYPERLINK("\\imagefiles.bcgov\imagery\scanned_maps\moe_terrain_maps\Scanned_T_maps_all\I13\I13-3086","\\imagefiles.bcgov\imagery\scanned_maps\moe_terrain_maps\Scanned_T_maps_all\I13\I13-3086")</f>
        <v>\\imagefiles.bcgov\imagery\scanned_maps\moe_terrain_maps\Scanned_T_maps_all\I13\I13-3086</v>
      </c>
      <c r="S982" t="s">
        <v>62</v>
      </c>
      <c r="T982" s="11" t="str">
        <f>HYPERLINK("http://www.env.gov.bc.ca/esd/distdata/ecosystems/TEI_Scanned_Maps/I13/I13-3086","http://www.env.gov.bc.ca/esd/distdata/ecosystems/TEI_Scanned_Maps/I13/I13-3086")</f>
        <v>http://www.env.gov.bc.ca/esd/distdata/ecosystems/TEI_Scanned_Maps/I13/I13-3086</v>
      </c>
      <c r="U982" t="s">
        <v>58</v>
      </c>
      <c r="V982" t="s">
        <v>58</v>
      </c>
      <c r="W982" t="s">
        <v>58</v>
      </c>
      <c r="X982" t="s">
        <v>58</v>
      </c>
      <c r="Y982" t="s">
        <v>58</v>
      </c>
      <c r="Z982" t="s">
        <v>58</v>
      </c>
      <c r="AA982" t="s">
        <v>58</v>
      </c>
      <c r="AC982" t="s">
        <v>58</v>
      </c>
      <c r="AE982" t="s">
        <v>58</v>
      </c>
      <c r="AG982" t="s">
        <v>63</v>
      </c>
      <c r="AH982" s="11" t="str">
        <f t="shared" si="18"/>
        <v>mailto: soilterrain@victoria1.gov.bc.ca</v>
      </c>
    </row>
    <row r="983" spans="1:34">
      <c r="A983" t="s">
        <v>2379</v>
      </c>
      <c r="B983" t="s">
        <v>56</v>
      </c>
      <c r="C983" s="10" t="s">
        <v>1347</v>
      </c>
      <c r="D983" t="s">
        <v>58</v>
      </c>
      <c r="E983" t="s">
        <v>497</v>
      </c>
      <c r="F983" t="s">
        <v>2380</v>
      </c>
      <c r="G983">
        <v>50000</v>
      </c>
      <c r="H983">
        <v>1979</v>
      </c>
      <c r="I983" t="s">
        <v>58</v>
      </c>
      <c r="J983" t="s">
        <v>58</v>
      </c>
      <c r="K983" t="s">
        <v>58</v>
      </c>
      <c r="L983" t="s">
        <v>58</v>
      </c>
      <c r="M983" t="s">
        <v>58</v>
      </c>
      <c r="N983" t="s">
        <v>61</v>
      </c>
      <c r="Q983" t="s">
        <v>58</v>
      </c>
      <c r="R983" s="11" t="str">
        <f>HYPERLINK("\\imagefiles.bcgov\imagery\scanned_maps\moe_terrain_maps\Scanned_T_maps_all\I13\I13-3087","\\imagefiles.bcgov\imagery\scanned_maps\moe_terrain_maps\Scanned_T_maps_all\I13\I13-3087")</f>
        <v>\\imagefiles.bcgov\imagery\scanned_maps\moe_terrain_maps\Scanned_T_maps_all\I13\I13-3087</v>
      </c>
      <c r="S983" t="s">
        <v>62</v>
      </c>
      <c r="T983" s="11" t="str">
        <f>HYPERLINK("http://www.env.gov.bc.ca/esd/distdata/ecosystems/TEI_Scanned_Maps/I13/I13-3087","http://www.env.gov.bc.ca/esd/distdata/ecosystems/TEI_Scanned_Maps/I13/I13-3087")</f>
        <v>http://www.env.gov.bc.ca/esd/distdata/ecosystems/TEI_Scanned_Maps/I13/I13-3087</v>
      </c>
      <c r="U983" t="s">
        <v>58</v>
      </c>
      <c r="V983" t="s">
        <v>58</v>
      </c>
      <c r="W983" t="s">
        <v>58</v>
      </c>
      <c r="X983" t="s">
        <v>58</v>
      </c>
      <c r="Y983" t="s">
        <v>58</v>
      </c>
      <c r="Z983" t="s">
        <v>58</v>
      </c>
      <c r="AA983" t="s">
        <v>58</v>
      </c>
      <c r="AC983" t="s">
        <v>58</v>
      </c>
      <c r="AE983" t="s">
        <v>58</v>
      </c>
      <c r="AG983" t="s">
        <v>63</v>
      </c>
      <c r="AH983" s="11" t="str">
        <f t="shared" si="18"/>
        <v>mailto: soilterrain@victoria1.gov.bc.ca</v>
      </c>
    </row>
    <row r="984" spans="1:34">
      <c r="A984" t="s">
        <v>2381</v>
      </c>
      <c r="B984" t="s">
        <v>56</v>
      </c>
      <c r="C984" s="10" t="s">
        <v>1359</v>
      </c>
      <c r="D984" t="s">
        <v>58</v>
      </c>
      <c r="E984" t="s">
        <v>497</v>
      </c>
      <c r="F984" t="s">
        <v>2382</v>
      </c>
      <c r="G984">
        <v>50000</v>
      </c>
      <c r="H984">
        <v>1979</v>
      </c>
      <c r="I984" t="s">
        <v>58</v>
      </c>
      <c r="J984" t="s">
        <v>58</v>
      </c>
      <c r="K984" t="s">
        <v>58</v>
      </c>
      <c r="L984" t="s">
        <v>58</v>
      </c>
      <c r="M984" t="s">
        <v>58</v>
      </c>
      <c r="N984" t="s">
        <v>61</v>
      </c>
      <c r="Q984" t="s">
        <v>58</v>
      </c>
      <c r="R984" s="11" t="str">
        <f>HYPERLINK("\\imagefiles.bcgov\imagery\scanned_maps\moe_terrain_maps\Scanned_T_maps_all\I13\I13-3088","\\imagefiles.bcgov\imagery\scanned_maps\moe_terrain_maps\Scanned_T_maps_all\I13\I13-3088")</f>
        <v>\\imagefiles.bcgov\imagery\scanned_maps\moe_terrain_maps\Scanned_T_maps_all\I13\I13-3088</v>
      </c>
      <c r="S984" t="s">
        <v>62</v>
      </c>
      <c r="T984" s="11" t="str">
        <f>HYPERLINK("http://www.env.gov.bc.ca/esd/distdata/ecosystems/TEI_Scanned_Maps/I13/I13-3088","http://www.env.gov.bc.ca/esd/distdata/ecosystems/TEI_Scanned_Maps/I13/I13-3088")</f>
        <v>http://www.env.gov.bc.ca/esd/distdata/ecosystems/TEI_Scanned_Maps/I13/I13-3088</v>
      </c>
      <c r="U984" t="s">
        <v>58</v>
      </c>
      <c r="V984" t="s">
        <v>58</v>
      </c>
      <c r="W984" t="s">
        <v>58</v>
      </c>
      <c r="X984" t="s">
        <v>58</v>
      </c>
      <c r="Y984" t="s">
        <v>58</v>
      </c>
      <c r="Z984" t="s">
        <v>58</v>
      </c>
      <c r="AA984" t="s">
        <v>58</v>
      </c>
      <c r="AC984" t="s">
        <v>58</v>
      </c>
      <c r="AE984" t="s">
        <v>58</v>
      </c>
      <c r="AG984" t="s">
        <v>63</v>
      </c>
      <c r="AH984" s="11" t="str">
        <f t="shared" si="18"/>
        <v>mailto: soilterrain@victoria1.gov.bc.ca</v>
      </c>
    </row>
    <row r="985" spans="1:34">
      <c r="A985" t="s">
        <v>2383</v>
      </c>
      <c r="B985" t="s">
        <v>56</v>
      </c>
      <c r="C985" s="10" t="s">
        <v>1361</v>
      </c>
      <c r="D985" t="s">
        <v>58</v>
      </c>
      <c r="E985" t="s">
        <v>497</v>
      </c>
      <c r="F985" t="s">
        <v>2384</v>
      </c>
      <c r="G985">
        <v>50000</v>
      </c>
      <c r="H985">
        <v>1979</v>
      </c>
      <c r="I985" t="s">
        <v>58</v>
      </c>
      <c r="J985" t="s">
        <v>58</v>
      </c>
      <c r="K985" t="s">
        <v>58</v>
      </c>
      <c r="L985" t="s">
        <v>58</v>
      </c>
      <c r="M985" t="s">
        <v>58</v>
      </c>
      <c r="N985" t="s">
        <v>61</v>
      </c>
      <c r="Q985" t="s">
        <v>58</v>
      </c>
      <c r="R985" s="11" t="str">
        <f>HYPERLINK("\\imagefiles.bcgov\imagery\scanned_maps\moe_terrain_maps\Scanned_T_maps_all\I13\I13-3089","\\imagefiles.bcgov\imagery\scanned_maps\moe_terrain_maps\Scanned_T_maps_all\I13\I13-3089")</f>
        <v>\\imagefiles.bcgov\imagery\scanned_maps\moe_terrain_maps\Scanned_T_maps_all\I13\I13-3089</v>
      </c>
      <c r="S985" t="s">
        <v>62</v>
      </c>
      <c r="T985" s="11" t="str">
        <f>HYPERLINK("http://www.env.gov.bc.ca/esd/distdata/ecosystems/TEI_Scanned_Maps/I13/I13-3089","http://www.env.gov.bc.ca/esd/distdata/ecosystems/TEI_Scanned_Maps/I13/I13-3089")</f>
        <v>http://www.env.gov.bc.ca/esd/distdata/ecosystems/TEI_Scanned_Maps/I13/I13-3089</v>
      </c>
      <c r="U985" t="s">
        <v>58</v>
      </c>
      <c r="V985" t="s">
        <v>58</v>
      </c>
      <c r="W985" t="s">
        <v>58</v>
      </c>
      <c r="X985" t="s">
        <v>58</v>
      </c>
      <c r="Y985" t="s">
        <v>58</v>
      </c>
      <c r="Z985" t="s">
        <v>58</v>
      </c>
      <c r="AA985" t="s">
        <v>58</v>
      </c>
      <c r="AC985" t="s">
        <v>58</v>
      </c>
      <c r="AE985" t="s">
        <v>58</v>
      </c>
      <c r="AG985" t="s">
        <v>63</v>
      </c>
      <c r="AH985" s="11" t="str">
        <f t="shared" si="18"/>
        <v>mailto: soilterrain@victoria1.gov.bc.ca</v>
      </c>
    </row>
    <row r="986" spans="1:34">
      <c r="A986" t="s">
        <v>2385</v>
      </c>
      <c r="B986" t="s">
        <v>56</v>
      </c>
      <c r="C986" s="10" t="s">
        <v>1363</v>
      </c>
      <c r="D986" t="s">
        <v>58</v>
      </c>
      <c r="E986" t="s">
        <v>497</v>
      </c>
      <c r="F986" t="s">
        <v>2386</v>
      </c>
      <c r="G986">
        <v>50000</v>
      </c>
      <c r="H986">
        <v>1979</v>
      </c>
      <c r="I986" t="s">
        <v>58</v>
      </c>
      <c r="J986" t="s">
        <v>58</v>
      </c>
      <c r="K986" t="s">
        <v>58</v>
      </c>
      <c r="L986" t="s">
        <v>58</v>
      </c>
      <c r="M986" t="s">
        <v>58</v>
      </c>
      <c r="N986" t="s">
        <v>61</v>
      </c>
      <c r="Q986" t="s">
        <v>58</v>
      </c>
      <c r="R986" s="11" t="str">
        <f>HYPERLINK("\\imagefiles.bcgov\imagery\scanned_maps\moe_terrain_maps\Scanned_T_maps_all\I13\I13-3090","\\imagefiles.bcgov\imagery\scanned_maps\moe_terrain_maps\Scanned_T_maps_all\I13\I13-3090")</f>
        <v>\\imagefiles.bcgov\imagery\scanned_maps\moe_terrain_maps\Scanned_T_maps_all\I13\I13-3090</v>
      </c>
      <c r="S986" t="s">
        <v>62</v>
      </c>
      <c r="T986" s="11" t="str">
        <f>HYPERLINK("http://www.env.gov.bc.ca/esd/distdata/ecosystems/TEI_Scanned_Maps/I13/I13-3090","http://www.env.gov.bc.ca/esd/distdata/ecosystems/TEI_Scanned_Maps/I13/I13-3090")</f>
        <v>http://www.env.gov.bc.ca/esd/distdata/ecosystems/TEI_Scanned_Maps/I13/I13-3090</v>
      </c>
      <c r="U986" t="s">
        <v>58</v>
      </c>
      <c r="V986" t="s">
        <v>58</v>
      </c>
      <c r="W986" t="s">
        <v>58</v>
      </c>
      <c r="X986" t="s">
        <v>58</v>
      </c>
      <c r="Y986" t="s">
        <v>58</v>
      </c>
      <c r="Z986" t="s">
        <v>58</v>
      </c>
      <c r="AA986" t="s">
        <v>58</v>
      </c>
      <c r="AC986" t="s">
        <v>58</v>
      </c>
      <c r="AE986" t="s">
        <v>58</v>
      </c>
      <c r="AG986" t="s">
        <v>63</v>
      </c>
      <c r="AH986" s="11" t="str">
        <f t="shared" si="18"/>
        <v>mailto: soilterrain@victoria1.gov.bc.ca</v>
      </c>
    </row>
    <row r="987" spans="1:34">
      <c r="A987" t="s">
        <v>2387</v>
      </c>
      <c r="B987" t="s">
        <v>56</v>
      </c>
      <c r="C987" s="10" t="s">
        <v>1379</v>
      </c>
      <c r="D987" t="s">
        <v>58</v>
      </c>
      <c r="E987" t="s">
        <v>497</v>
      </c>
      <c r="F987" t="s">
        <v>2388</v>
      </c>
      <c r="G987">
        <v>50000</v>
      </c>
      <c r="H987">
        <v>1979</v>
      </c>
      <c r="I987" t="s">
        <v>58</v>
      </c>
      <c r="J987" t="s">
        <v>58</v>
      </c>
      <c r="K987" t="s">
        <v>58</v>
      </c>
      <c r="L987" t="s">
        <v>58</v>
      </c>
      <c r="M987" t="s">
        <v>58</v>
      </c>
      <c r="N987" t="s">
        <v>61</v>
      </c>
      <c r="Q987" t="s">
        <v>58</v>
      </c>
      <c r="R987" s="11" t="str">
        <f>HYPERLINK("\\imagefiles.bcgov\imagery\scanned_maps\moe_terrain_maps\Scanned_T_maps_all\I13\I13-3091","\\imagefiles.bcgov\imagery\scanned_maps\moe_terrain_maps\Scanned_T_maps_all\I13\I13-3091")</f>
        <v>\\imagefiles.bcgov\imagery\scanned_maps\moe_terrain_maps\Scanned_T_maps_all\I13\I13-3091</v>
      </c>
      <c r="S987" t="s">
        <v>62</v>
      </c>
      <c r="T987" s="11" t="str">
        <f>HYPERLINK("http://www.env.gov.bc.ca/esd/distdata/ecosystems/TEI_Scanned_Maps/I13/I13-3091","http://www.env.gov.bc.ca/esd/distdata/ecosystems/TEI_Scanned_Maps/I13/I13-3091")</f>
        <v>http://www.env.gov.bc.ca/esd/distdata/ecosystems/TEI_Scanned_Maps/I13/I13-3091</v>
      </c>
      <c r="U987" t="s">
        <v>58</v>
      </c>
      <c r="V987" t="s">
        <v>58</v>
      </c>
      <c r="W987" t="s">
        <v>58</v>
      </c>
      <c r="X987" t="s">
        <v>58</v>
      </c>
      <c r="Y987" t="s">
        <v>58</v>
      </c>
      <c r="Z987" t="s">
        <v>58</v>
      </c>
      <c r="AA987" t="s">
        <v>58</v>
      </c>
      <c r="AC987" t="s">
        <v>58</v>
      </c>
      <c r="AE987" t="s">
        <v>58</v>
      </c>
      <c r="AG987" t="s">
        <v>63</v>
      </c>
      <c r="AH987" s="11" t="str">
        <f t="shared" si="18"/>
        <v>mailto: soilterrain@victoria1.gov.bc.ca</v>
      </c>
    </row>
    <row r="988" spans="1:34">
      <c r="A988" t="s">
        <v>2389</v>
      </c>
      <c r="B988" t="s">
        <v>56</v>
      </c>
      <c r="C988" s="10" t="s">
        <v>1381</v>
      </c>
      <c r="D988" t="s">
        <v>58</v>
      </c>
      <c r="E988" t="s">
        <v>497</v>
      </c>
      <c r="F988" t="s">
        <v>2390</v>
      </c>
      <c r="G988">
        <v>50000</v>
      </c>
      <c r="H988">
        <v>1979</v>
      </c>
      <c r="I988" t="s">
        <v>58</v>
      </c>
      <c r="J988" t="s">
        <v>58</v>
      </c>
      <c r="K988" t="s">
        <v>58</v>
      </c>
      <c r="L988" t="s">
        <v>58</v>
      </c>
      <c r="M988" t="s">
        <v>58</v>
      </c>
      <c r="N988" t="s">
        <v>61</v>
      </c>
      <c r="Q988" t="s">
        <v>58</v>
      </c>
      <c r="R988" s="11" t="str">
        <f>HYPERLINK("\\imagefiles.bcgov\imagery\scanned_maps\moe_terrain_maps\Scanned_T_maps_all\I13\I13-3092","\\imagefiles.bcgov\imagery\scanned_maps\moe_terrain_maps\Scanned_T_maps_all\I13\I13-3092")</f>
        <v>\\imagefiles.bcgov\imagery\scanned_maps\moe_terrain_maps\Scanned_T_maps_all\I13\I13-3092</v>
      </c>
      <c r="S988" t="s">
        <v>62</v>
      </c>
      <c r="T988" s="11" t="str">
        <f>HYPERLINK("http://www.env.gov.bc.ca/esd/distdata/ecosystems/TEI_Scanned_Maps/I13/I13-3092","http://www.env.gov.bc.ca/esd/distdata/ecosystems/TEI_Scanned_Maps/I13/I13-3092")</f>
        <v>http://www.env.gov.bc.ca/esd/distdata/ecosystems/TEI_Scanned_Maps/I13/I13-3092</v>
      </c>
      <c r="U988" t="s">
        <v>58</v>
      </c>
      <c r="V988" t="s">
        <v>58</v>
      </c>
      <c r="W988" t="s">
        <v>58</v>
      </c>
      <c r="X988" t="s">
        <v>58</v>
      </c>
      <c r="Y988" t="s">
        <v>58</v>
      </c>
      <c r="Z988" t="s">
        <v>58</v>
      </c>
      <c r="AA988" t="s">
        <v>58</v>
      </c>
      <c r="AC988" t="s">
        <v>58</v>
      </c>
      <c r="AE988" t="s">
        <v>58</v>
      </c>
      <c r="AG988" t="s">
        <v>63</v>
      </c>
      <c r="AH988" s="11" t="str">
        <f t="shared" si="18"/>
        <v>mailto: soilterrain@victoria1.gov.bc.ca</v>
      </c>
    </row>
    <row r="989" spans="1:34">
      <c r="A989" t="s">
        <v>2391</v>
      </c>
      <c r="B989" t="s">
        <v>56</v>
      </c>
      <c r="C989" s="10" t="s">
        <v>1383</v>
      </c>
      <c r="D989" t="s">
        <v>58</v>
      </c>
      <c r="E989" t="s">
        <v>497</v>
      </c>
      <c r="F989" t="s">
        <v>2392</v>
      </c>
      <c r="G989">
        <v>50000</v>
      </c>
      <c r="H989">
        <v>1979</v>
      </c>
      <c r="I989" t="s">
        <v>58</v>
      </c>
      <c r="J989" t="s">
        <v>58</v>
      </c>
      <c r="K989" t="s">
        <v>58</v>
      </c>
      <c r="L989" t="s">
        <v>58</v>
      </c>
      <c r="M989" t="s">
        <v>58</v>
      </c>
      <c r="N989" t="s">
        <v>61</v>
      </c>
      <c r="Q989" t="s">
        <v>58</v>
      </c>
      <c r="R989" s="11" t="str">
        <f>HYPERLINK("\\imagefiles.bcgov\imagery\scanned_maps\moe_terrain_maps\Scanned_T_maps_all\I13\I13-3093","\\imagefiles.bcgov\imagery\scanned_maps\moe_terrain_maps\Scanned_T_maps_all\I13\I13-3093")</f>
        <v>\\imagefiles.bcgov\imagery\scanned_maps\moe_terrain_maps\Scanned_T_maps_all\I13\I13-3093</v>
      </c>
      <c r="S989" t="s">
        <v>62</v>
      </c>
      <c r="T989" s="11" t="str">
        <f>HYPERLINK("http://www.env.gov.bc.ca/esd/distdata/ecosystems/TEI_Scanned_Maps/I13/I13-3093","http://www.env.gov.bc.ca/esd/distdata/ecosystems/TEI_Scanned_Maps/I13/I13-3093")</f>
        <v>http://www.env.gov.bc.ca/esd/distdata/ecosystems/TEI_Scanned_Maps/I13/I13-3093</v>
      </c>
      <c r="U989" t="s">
        <v>58</v>
      </c>
      <c r="V989" t="s">
        <v>58</v>
      </c>
      <c r="W989" t="s">
        <v>58</v>
      </c>
      <c r="X989" t="s">
        <v>58</v>
      </c>
      <c r="Y989" t="s">
        <v>58</v>
      </c>
      <c r="Z989" t="s">
        <v>58</v>
      </c>
      <c r="AA989" t="s">
        <v>58</v>
      </c>
      <c r="AC989" t="s">
        <v>58</v>
      </c>
      <c r="AE989" t="s">
        <v>58</v>
      </c>
      <c r="AG989" t="s">
        <v>63</v>
      </c>
      <c r="AH989" s="11" t="str">
        <f t="shared" si="18"/>
        <v>mailto: soilterrain@victoria1.gov.bc.ca</v>
      </c>
    </row>
    <row r="990" spans="1:34">
      <c r="A990" t="s">
        <v>2393</v>
      </c>
      <c r="B990" t="s">
        <v>56</v>
      </c>
      <c r="C990" s="10" t="s">
        <v>1385</v>
      </c>
      <c r="D990" t="s">
        <v>58</v>
      </c>
      <c r="E990" t="s">
        <v>497</v>
      </c>
      <c r="F990" t="s">
        <v>2394</v>
      </c>
      <c r="G990">
        <v>50000</v>
      </c>
      <c r="H990">
        <v>1979</v>
      </c>
      <c r="I990" t="s">
        <v>58</v>
      </c>
      <c r="J990" t="s">
        <v>58</v>
      </c>
      <c r="K990" t="s">
        <v>58</v>
      </c>
      <c r="L990" t="s">
        <v>58</v>
      </c>
      <c r="M990" t="s">
        <v>58</v>
      </c>
      <c r="N990" t="s">
        <v>61</v>
      </c>
      <c r="Q990" t="s">
        <v>58</v>
      </c>
      <c r="R990" s="11" t="str">
        <f>HYPERLINK("\\imagefiles.bcgov\imagery\scanned_maps\moe_terrain_maps\Scanned_T_maps_all\I13\I13-3094","\\imagefiles.bcgov\imagery\scanned_maps\moe_terrain_maps\Scanned_T_maps_all\I13\I13-3094")</f>
        <v>\\imagefiles.bcgov\imagery\scanned_maps\moe_terrain_maps\Scanned_T_maps_all\I13\I13-3094</v>
      </c>
      <c r="S990" t="s">
        <v>62</v>
      </c>
      <c r="T990" s="11" t="str">
        <f>HYPERLINK("http://www.env.gov.bc.ca/esd/distdata/ecosystems/TEI_Scanned_Maps/I13/I13-3094","http://www.env.gov.bc.ca/esd/distdata/ecosystems/TEI_Scanned_Maps/I13/I13-3094")</f>
        <v>http://www.env.gov.bc.ca/esd/distdata/ecosystems/TEI_Scanned_Maps/I13/I13-3094</v>
      </c>
      <c r="U990" t="s">
        <v>58</v>
      </c>
      <c r="V990" t="s">
        <v>58</v>
      </c>
      <c r="W990" t="s">
        <v>58</v>
      </c>
      <c r="X990" t="s">
        <v>58</v>
      </c>
      <c r="Y990" t="s">
        <v>58</v>
      </c>
      <c r="Z990" t="s">
        <v>58</v>
      </c>
      <c r="AA990" t="s">
        <v>58</v>
      </c>
      <c r="AC990" t="s">
        <v>58</v>
      </c>
      <c r="AE990" t="s">
        <v>58</v>
      </c>
      <c r="AG990" t="s">
        <v>63</v>
      </c>
      <c r="AH990" s="11" t="str">
        <f t="shared" si="18"/>
        <v>mailto: soilterrain@victoria1.gov.bc.ca</v>
      </c>
    </row>
    <row r="991" spans="1:34">
      <c r="A991" t="s">
        <v>2395</v>
      </c>
      <c r="B991" t="s">
        <v>56</v>
      </c>
      <c r="C991" s="10" t="s">
        <v>1387</v>
      </c>
      <c r="D991" t="s">
        <v>58</v>
      </c>
      <c r="E991" t="s">
        <v>497</v>
      </c>
      <c r="F991" t="s">
        <v>2396</v>
      </c>
      <c r="G991">
        <v>50000</v>
      </c>
      <c r="H991">
        <v>1979</v>
      </c>
      <c r="I991" t="s">
        <v>58</v>
      </c>
      <c r="J991" t="s">
        <v>58</v>
      </c>
      <c r="K991" t="s">
        <v>58</v>
      </c>
      <c r="L991" t="s">
        <v>58</v>
      </c>
      <c r="M991" t="s">
        <v>58</v>
      </c>
      <c r="N991" t="s">
        <v>61</v>
      </c>
      <c r="Q991" t="s">
        <v>58</v>
      </c>
      <c r="R991" s="11" t="str">
        <f>HYPERLINK("\\imagefiles.bcgov\imagery\scanned_maps\moe_terrain_maps\Scanned_T_maps_all\I13\I13-3095","\\imagefiles.bcgov\imagery\scanned_maps\moe_terrain_maps\Scanned_T_maps_all\I13\I13-3095")</f>
        <v>\\imagefiles.bcgov\imagery\scanned_maps\moe_terrain_maps\Scanned_T_maps_all\I13\I13-3095</v>
      </c>
      <c r="S991" t="s">
        <v>62</v>
      </c>
      <c r="T991" s="11" t="str">
        <f>HYPERLINK("http://www.env.gov.bc.ca/esd/distdata/ecosystems/TEI_Scanned_Maps/I13/I13-3095","http://www.env.gov.bc.ca/esd/distdata/ecosystems/TEI_Scanned_Maps/I13/I13-3095")</f>
        <v>http://www.env.gov.bc.ca/esd/distdata/ecosystems/TEI_Scanned_Maps/I13/I13-3095</v>
      </c>
      <c r="U991" t="s">
        <v>58</v>
      </c>
      <c r="V991" t="s">
        <v>58</v>
      </c>
      <c r="W991" t="s">
        <v>58</v>
      </c>
      <c r="X991" t="s">
        <v>58</v>
      </c>
      <c r="Y991" t="s">
        <v>58</v>
      </c>
      <c r="Z991" t="s">
        <v>58</v>
      </c>
      <c r="AA991" t="s">
        <v>58</v>
      </c>
      <c r="AC991" t="s">
        <v>58</v>
      </c>
      <c r="AE991" t="s">
        <v>58</v>
      </c>
      <c r="AG991" t="s">
        <v>63</v>
      </c>
      <c r="AH991" s="11" t="str">
        <f t="shared" si="18"/>
        <v>mailto: soilterrain@victoria1.gov.bc.ca</v>
      </c>
    </row>
    <row r="992" spans="1:34">
      <c r="A992" t="s">
        <v>2397</v>
      </c>
      <c r="B992" t="s">
        <v>56</v>
      </c>
      <c r="C992" s="10" t="s">
        <v>1389</v>
      </c>
      <c r="D992" t="s">
        <v>58</v>
      </c>
      <c r="E992" t="s">
        <v>497</v>
      </c>
      <c r="F992" t="s">
        <v>2398</v>
      </c>
      <c r="G992">
        <v>50000</v>
      </c>
      <c r="H992">
        <v>1979</v>
      </c>
      <c r="I992" t="s">
        <v>58</v>
      </c>
      <c r="J992" t="s">
        <v>58</v>
      </c>
      <c r="K992" t="s">
        <v>58</v>
      </c>
      <c r="L992" t="s">
        <v>58</v>
      </c>
      <c r="M992" t="s">
        <v>58</v>
      </c>
      <c r="N992" t="s">
        <v>61</v>
      </c>
      <c r="Q992" t="s">
        <v>58</v>
      </c>
      <c r="R992" s="11" t="str">
        <f>HYPERLINK("\\imagefiles.bcgov\imagery\scanned_maps\moe_terrain_maps\Scanned_T_maps_all\I13\I13-3096","\\imagefiles.bcgov\imagery\scanned_maps\moe_terrain_maps\Scanned_T_maps_all\I13\I13-3096")</f>
        <v>\\imagefiles.bcgov\imagery\scanned_maps\moe_terrain_maps\Scanned_T_maps_all\I13\I13-3096</v>
      </c>
      <c r="S992" t="s">
        <v>62</v>
      </c>
      <c r="T992" s="11" t="str">
        <f>HYPERLINK("http://www.env.gov.bc.ca/esd/distdata/ecosystems/TEI_Scanned_Maps/I13/I13-3096","http://www.env.gov.bc.ca/esd/distdata/ecosystems/TEI_Scanned_Maps/I13/I13-3096")</f>
        <v>http://www.env.gov.bc.ca/esd/distdata/ecosystems/TEI_Scanned_Maps/I13/I13-3096</v>
      </c>
      <c r="U992" t="s">
        <v>58</v>
      </c>
      <c r="V992" t="s">
        <v>58</v>
      </c>
      <c r="W992" t="s">
        <v>58</v>
      </c>
      <c r="X992" t="s">
        <v>58</v>
      </c>
      <c r="Y992" t="s">
        <v>58</v>
      </c>
      <c r="Z992" t="s">
        <v>58</v>
      </c>
      <c r="AA992" t="s">
        <v>58</v>
      </c>
      <c r="AC992" t="s">
        <v>58</v>
      </c>
      <c r="AE992" t="s">
        <v>58</v>
      </c>
      <c r="AG992" t="s">
        <v>63</v>
      </c>
      <c r="AH992" s="11" t="str">
        <f t="shared" si="18"/>
        <v>mailto: soilterrain@victoria1.gov.bc.ca</v>
      </c>
    </row>
    <row r="993" spans="1:34">
      <c r="A993" t="s">
        <v>2399</v>
      </c>
      <c r="B993" t="s">
        <v>56</v>
      </c>
      <c r="C993" s="10" t="s">
        <v>1391</v>
      </c>
      <c r="D993" t="s">
        <v>58</v>
      </c>
      <c r="E993" t="s">
        <v>497</v>
      </c>
      <c r="F993" t="s">
        <v>2400</v>
      </c>
      <c r="G993">
        <v>50000</v>
      </c>
      <c r="H993">
        <v>1979</v>
      </c>
      <c r="I993" t="s">
        <v>58</v>
      </c>
      <c r="J993" t="s">
        <v>58</v>
      </c>
      <c r="K993" t="s">
        <v>58</v>
      </c>
      <c r="L993" t="s">
        <v>58</v>
      </c>
      <c r="M993" t="s">
        <v>58</v>
      </c>
      <c r="N993" t="s">
        <v>61</v>
      </c>
      <c r="Q993" t="s">
        <v>58</v>
      </c>
      <c r="R993" s="11" t="str">
        <f>HYPERLINK("\\imagefiles.bcgov\imagery\scanned_maps\moe_terrain_maps\Scanned_T_maps_all\I13\I13-3097","\\imagefiles.bcgov\imagery\scanned_maps\moe_terrain_maps\Scanned_T_maps_all\I13\I13-3097")</f>
        <v>\\imagefiles.bcgov\imagery\scanned_maps\moe_terrain_maps\Scanned_T_maps_all\I13\I13-3097</v>
      </c>
      <c r="S993" t="s">
        <v>62</v>
      </c>
      <c r="T993" s="11" t="str">
        <f>HYPERLINK("http://www.env.gov.bc.ca/esd/distdata/ecosystems/TEI_Scanned_Maps/I13/I13-3097","http://www.env.gov.bc.ca/esd/distdata/ecosystems/TEI_Scanned_Maps/I13/I13-3097")</f>
        <v>http://www.env.gov.bc.ca/esd/distdata/ecosystems/TEI_Scanned_Maps/I13/I13-3097</v>
      </c>
      <c r="U993" t="s">
        <v>58</v>
      </c>
      <c r="V993" t="s">
        <v>58</v>
      </c>
      <c r="W993" t="s">
        <v>58</v>
      </c>
      <c r="X993" t="s">
        <v>58</v>
      </c>
      <c r="Y993" t="s">
        <v>58</v>
      </c>
      <c r="Z993" t="s">
        <v>58</v>
      </c>
      <c r="AA993" t="s">
        <v>58</v>
      </c>
      <c r="AC993" t="s">
        <v>58</v>
      </c>
      <c r="AE993" t="s">
        <v>58</v>
      </c>
      <c r="AG993" t="s">
        <v>63</v>
      </c>
      <c r="AH993" s="11" t="str">
        <f t="shared" si="18"/>
        <v>mailto: soilterrain@victoria1.gov.bc.ca</v>
      </c>
    </row>
    <row r="994" spans="1:34">
      <c r="A994" t="s">
        <v>2401</v>
      </c>
      <c r="B994" t="s">
        <v>56</v>
      </c>
      <c r="C994" s="10" t="s">
        <v>1393</v>
      </c>
      <c r="D994" t="s">
        <v>58</v>
      </c>
      <c r="E994" t="s">
        <v>497</v>
      </c>
      <c r="F994" t="s">
        <v>2402</v>
      </c>
      <c r="G994">
        <v>50000</v>
      </c>
      <c r="H994">
        <v>1979</v>
      </c>
      <c r="I994" t="s">
        <v>58</v>
      </c>
      <c r="J994" t="s">
        <v>58</v>
      </c>
      <c r="K994" t="s">
        <v>58</v>
      </c>
      <c r="L994" t="s">
        <v>58</v>
      </c>
      <c r="M994" t="s">
        <v>58</v>
      </c>
      <c r="N994" t="s">
        <v>61</v>
      </c>
      <c r="Q994" t="s">
        <v>58</v>
      </c>
      <c r="R994" s="11" t="str">
        <f>HYPERLINK("\\imagefiles.bcgov\imagery\scanned_maps\moe_terrain_maps\Scanned_T_maps_all\I13\I13-3098","\\imagefiles.bcgov\imagery\scanned_maps\moe_terrain_maps\Scanned_T_maps_all\I13\I13-3098")</f>
        <v>\\imagefiles.bcgov\imagery\scanned_maps\moe_terrain_maps\Scanned_T_maps_all\I13\I13-3098</v>
      </c>
      <c r="S994" t="s">
        <v>62</v>
      </c>
      <c r="T994" s="11" t="str">
        <f>HYPERLINK("http://www.env.gov.bc.ca/esd/distdata/ecosystems/TEI_Scanned_Maps/I13/I13-3098","http://www.env.gov.bc.ca/esd/distdata/ecosystems/TEI_Scanned_Maps/I13/I13-3098")</f>
        <v>http://www.env.gov.bc.ca/esd/distdata/ecosystems/TEI_Scanned_Maps/I13/I13-3098</v>
      </c>
      <c r="U994" t="s">
        <v>58</v>
      </c>
      <c r="V994" t="s">
        <v>58</v>
      </c>
      <c r="W994" t="s">
        <v>58</v>
      </c>
      <c r="X994" t="s">
        <v>58</v>
      </c>
      <c r="Y994" t="s">
        <v>58</v>
      </c>
      <c r="Z994" t="s">
        <v>58</v>
      </c>
      <c r="AA994" t="s">
        <v>58</v>
      </c>
      <c r="AC994" t="s">
        <v>58</v>
      </c>
      <c r="AE994" t="s">
        <v>58</v>
      </c>
      <c r="AG994" t="s">
        <v>63</v>
      </c>
      <c r="AH994" s="11" t="str">
        <f t="shared" si="18"/>
        <v>mailto: soilterrain@victoria1.gov.bc.ca</v>
      </c>
    </row>
    <row r="995" spans="1:34">
      <c r="A995" t="s">
        <v>2403</v>
      </c>
      <c r="B995" t="s">
        <v>56</v>
      </c>
      <c r="C995" s="10" t="s">
        <v>1395</v>
      </c>
      <c r="D995" t="s">
        <v>58</v>
      </c>
      <c r="E995" t="s">
        <v>497</v>
      </c>
      <c r="F995" t="s">
        <v>2404</v>
      </c>
      <c r="G995">
        <v>50000</v>
      </c>
      <c r="H995">
        <v>1979</v>
      </c>
      <c r="I995" t="s">
        <v>58</v>
      </c>
      <c r="J995" t="s">
        <v>58</v>
      </c>
      <c r="K995" t="s">
        <v>58</v>
      </c>
      <c r="L995" t="s">
        <v>58</v>
      </c>
      <c r="M995" t="s">
        <v>58</v>
      </c>
      <c r="N995" t="s">
        <v>61</v>
      </c>
      <c r="Q995" t="s">
        <v>58</v>
      </c>
      <c r="R995" s="11" t="str">
        <f>HYPERLINK("\\imagefiles.bcgov\imagery\scanned_maps\moe_terrain_maps\Scanned_T_maps_all\I13\I13-3099","\\imagefiles.bcgov\imagery\scanned_maps\moe_terrain_maps\Scanned_T_maps_all\I13\I13-3099")</f>
        <v>\\imagefiles.bcgov\imagery\scanned_maps\moe_terrain_maps\Scanned_T_maps_all\I13\I13-3099</v>
      </c>
      <c r="S995" t="s">
        <v>62</v>
      </c>
      <c r="T995" s="11" t="str">
        <f>HYPERLINK("http://www.env.gov.bc.ca/esd/distdata/ecosystems/TEI_Scanned_Maps/I13/I13-3099","http://www.env.gov.bc.ca/esd/distdata/ecosystems/TEI_Scanned_Maps/I13/I13-3099")</f>
        <v>http://www.env.gov.bc.ca/esd/distdata/ecosystems/TEI_Scanned_Maps/I13/I13-3099</v>
      </c>
      <c r="U995" t="s">
        <v>58</v>
      </c>
      <c r="V995" t="s">
        <v>58</v>
      </c>
      <c r="W995" t="s">
        <v>58</v>
      </c>
      <c r="X995" t="s">
        <v>58</v>
      </c>
      <c r="Y995" t="s">
        <v>58</v>
      </c>
      <c r="Z995" t="s">
        <v>58</v>
      </c>
      <c r="AA995" t="s">
        <v>58</v>
      </c>
      <c r="AC995" t="s">
        <v>58</v>
      </c>
      <c r="AE995" t="s">
        <v>58</v>
      </c>
      <c r="AG995" t="s">
        <v>63</v>
      </c>
      <c r="AH995" s="11" t="str">
        <f t="shared" si="18"/>
        <v>mailto: soilterrain@victoria1.gov.bc.ca</v>
      </c>
    </row>
    <row r="996" spans="1:34">
      <c r="A996" t="s">
        <v>2405</v>
      </c>
      <c r="B996" t="s">
        <v>56</v>
      </c>
      <c r="C996" s="10" t="s">
        <v>1401</v>
      </c>
      <c r="D996" t="s">
        <v>58</v>
      </c>
      <c r="E996" t="s">
        <v>497</v>
      </c>
      <c r="F996" t="s">
        <v>2406</v>
      </c>
      <c r="G996">
        <v>50000</v>
      </c>
      <c r="H996">
        <v>1979</v>
      </c>
      <c r="I996" t="s">
        <v>58</v>
      </c>
      <c r="J996" t="s">
        <v>58</v>
      </c>
      <c r="K996" t="s">
        <v>58</v>
      </c>
      <c r="L996" t="s">
        <v>58</v>
      </c>
      <c r="M996" t="s">
        <v>58</v>
      </c>
      <c r="N996" t="s">
        <v>61</v>
      </c>
      <c r="Q996" t="s">
        <v>58</v>
      </c>
      <c r="R996" s="11" t="str">
        <f>HYPERLINK("\\imagefiles.bcgov\imagery\scanned_maps\moe_terrain_maps\Scanned_T_maps_all\I13\I13-3100","\\imagefiles.bcgov\imagery\scanned_maps\moe_terrain_maps\Scanned_T_maps_all\I13\I13-3100")</f>
        <v>\\imagefiles.bcgov\imagery\scanned_maps\moe_terrain_maps\Scanned_T_maps_all\I13\I13-3100</v>
      </c>
      <c r="S996" t="s">
        <v>62</v>
      </c>
      <c r="T996" s="11" t="str">
        <f>HYPERLINK("http://www.env.gov.bc.ca/esd/distdata/ecosystems/TEI_Scanned_Maps/I13/I13-3100","http://www.env.gov.bc.ca/esd/distdata/ecosystems/TEI_Scanned_Maps/I13/I13-3100")</f>
        <v>http://www.env.gov.bc.ca/esd/distdata/ecosystems/TEI_Scanned_Maps/I13/I13-3100</v>
      </c>
      <c r="U996" t="s">
        <v>58</v>
      </c>
      <c r="V996" t="s">
        <v>58</v>
      </c>
      <c r="W996" t="s">
        <v>58</v>
      </c>
      <c r="X996" t="s">
        <v>58</v>
      </c>
      <c r="Y996" t="s">
        <v>58</v>
      </c>
      <c r="Z996" t="s">
        <v>58</v>
      </c>
      <c r="AA996" t="s">
        <v>58</v>
      </c>
      <c r="AC996" t="s">
        <v>58</v>
      </c>
      <c r="AE996" t="s">
        <v>58</v>
      </c>
      <c r="AG996" t="s">
        <v>63</v>
      </c>
      <c r="AH996" s="11" t="str">
        <f t="shared" si="18"/>
        <v>mailto: soilterrain@victoria1.gov.bc.ca</v>
      </c>
    </row>
    <row r="997" spans="1:34">
      <c r="A997" t="s">
        <v>2407</v>
      </c>
      <c r="B997" t="s">
        <v>56</v>
      </c>
      <c r="C997" s="10" t="s">
        <v>1011</v>
      </c>
      <c r="D997" t="s">
        <v>58</v>
      </c>
      <c r="E997" t="s">
        <v>497</v>
      </c>
      <c r="F997" t="s">
        <v>2408</v>
      </c>
      <c r="G997">
        <v>50000</v>
      </c>
      <c r="H997">
        <v>1979</v>
      </c>
      <c r="I997" t="s">
        <v>58</v>
      </c>
      <c r="J997" t="s">
        <v>58</v>
      </c>
      <c r="K997" t="s">
        <v>58</v>
      </c>
      <c r="L997" t="s">
        <v>58</v>
      </c>
      <c r="M997" t="s">
        <v>58</v>
      </c>
      <c r="N997" t="s">
        <v>61</v>
      </c>
      <c r="Q997" t="s">
        <v>58</v>
      </c>
      <c r="R997" s="11" t="str">
        <f>HYPERLINK("\\imagefiles.bcgov\imagery\scanned_maps\moe_terrain_maps\Scanned_T_maps_all\I14\I14-3101","\\imagefiles.bcgov\imagery\scanned_maps\moe_terrain_maps\Scanned_T_maps_all\I14\I14-3101")</f>
        <v>\\imagefiles.bcgov\imagery\scanned_maps\moe_terrain_maps\Scanned_T_maps_all\I14\I14-3101</v>
      </c>
      <c r="S997" t="s">
        <v>62</v>
      </c>
      <c r="T997" s="11" t="str">
        <f>HYPERLINK("http://www.env.gov.bc.ca/esd/distdata/ecosystems/TEI_Scanned_Maps/I14/I14-3101","http://www.env.gov.bc.ca/esd/distdata/ecosystems/TEI_Scanned_Maps/I14/I14-3101")</f>
        <v>http://www.env.gov.bc.ca/esd/distdata/ecosystems/TEI_Scanned_Maps/I14/I14-3101</v>
      </c>
      <c r="U997" t="s">
        <v>58</v>
      </c>
      <c r="V997" t="s">
        <v>58</v>
      </c>
      <c r="W997" t="s">
        <v>58</v>
      </c>
      <c r="X997" t="s">
        <v>58</v>
      </c>
      <c r="Y997" t="s">
        <v>58</v>
      </c>
      <c r="Z997" t="s">
        <v>58</v>
      </c>
      <c r="AA997" t="s">
        <v>58</v>
      </c>
      <c r="AC997" t="s">
        <v>58</v>
      </c>
      <c r="AE997" t="s">
        <v>58</v>
      </c>
      <c r="AG997" t="s">
        <v>63</v>
      </c>
      <c r="AH997" s="11" t="str">
        <f t="shared" si="18"/>
        <v>mailto: soilterrain@victoria1.gov.bc.ca</v>
      </c>
    </row>
    <row r="998" spans="1:34">
      <c r="A998" t="s">
        <v>2409</v>
      </c>
      <c r="B998" t="s">
        <v>56</v>
      </c>
      <c r="C998" s="10" t="s">
        <v>1013</v>
      </c>
      <c r="D998" t="s">
        <v>58</v>
      </c>
      <c r="E998" t="s">
        <v>497</v>
      </c>
      <c r="F998" t="s">
        <v>2410</v>
      </c>
      <c r="G998">
        <v>50000</v>
      </c>
      <c r="H998">
        <v>1979</v>
      </c>
      <c r="I998" t="s">
        <v>58</v>
      </c>
      <c r="J998" t="s">
        <v>58</v>
      </c>
      <c r="K998" t="s">
        <v>58</v>
      </c>
      <c r="L998" t="s">
        <v>58</v>
      </c>
      <c r="M998" t="s">
        <v>58</v>
      </c>
      <c r="N998" t="s">
        <v>61</v>
      </c>
      <c r="Q998" t="s">
        <v>58</v>
      </c>
      <c r="R998" s="11" t="str">
        <f>HYPERLINK("\\imagefiles.bcgov\imagery\scanned_maps\moe_terrain_maps\Scanned_T_maps_all\I14\I14-3102","\\imagefiles.bcgov\imagery\scanned_maps\moe_terrain_maps\Scanned_T_maps_all\I14\I14-3102")</f>
        <v>\\imagefiles.bcgov\imagery\scanned_maps\moe_terrain_maps\Scanned_T_maps_all\I14\I14-3102</v>
      </c>
      <c r="S998" t="s">
        <v>62</v>
      </c>
      <c r="T998" s="11" t="str">
        <f>HYPERLINK("http://www.env.gov.bc.ca/esd/distdata/ecosystems/TEI_Scanned_Maps/I14/I14-3102","http://www.env.gov.bc.ca/esd/distdata/ecosystems/TEI_Scanned_Maps/I14/I14-3102")</f>
        <v>http://www.env.gov.bc.ca/esd/distdata/ecosystems/TEI_Scanned_Maps/I14/I14-3102</v>
      </c>
      <c r="U998" t="s">
        <v>58</v>
      </c>
      <c r="V998" t="s">
        <v>58</v>
      </c>
      <c r="W998" t="s">
        <v>58</v>
      </c>
      <c r="X998" t="s">
        <v>58</v>
      </c>
      <c r="Y998" t="s">
        <v>58</v>
      </c>
      <c r="Z998" t="s">
        <v>58</v>
      </c>
      <c r="AA998" t="s">
        <v>58</v>
      </c>
      <c r="AC998" t="s">
        <v>58</v>
      </c>
      <c r="AE998" t="s">
        <v>58</v>
      </c>
      <c r="AG998" t="s">
        <v>63</v>
      </c>
      <c r="AH998" s="11" t="str">
        <f t="shared" si="18"/>
        <v>mailto: soilterrain@victoria1.gov.bc.ca</v>
      </c>
    </row>
    <row r="999" spans="1:34">
      <c r="A999" t="s">
        <v>2411</v>
      </c>
      <c r="B999" t="s">
        <v>56</v>
      </c>
      <c r="C999" s="10" t="s">
        <v>1015</v>
      </c>
      <c r="D999" t="s">
        <v>58</v>
      </c>
      <c r="E999" t="s">
        <v>497</v>
      </c>
      <c r="F999" t="s">
        <v>2412</v>
      </c>
      <c r="G999">
        <v>50000</v>
      </c>
      <c r="H999">
        <v>1979</v>
      </c>
      <c r="I999" t="s">
        <v>58</v>
      </c>
      <c r="J999" t="s">
        <v>58</v>
      </c>
      <c r="K999" t="s">
        <v>58</v>
      </c>
      <c r="L999" t="s">
        <v>58</v>
      </c>
      <c r="M999" t="s">
        <v>58</v>
      </c>
      <c r="N999" t="s">
        <v>61</v>
      </c>
      <c r="Q999" t="s">
        <v>58</v>
      </c>
      <c r="R999" s="11" t="str">
        <f>HYPERLINK("\\imagefiles.bcgov\imagery\scanned_maps\moe_terrain_maps\Scanned_T_maps_all\I14\I14-3103","\\imagefiles.bcgov\imagery\scanned_maps\moe_terrain_maps\Scanned_T_maps_all\I14\I14-3103")</f>
        <v>\\imagefiles.bcgov\imagery\scanned_maps\moe_terrain_maps\Scanned_T_maps_all\I14\I14-3103</v>
      </c>
      <c r="S999" t="s">
        <v>62</v>
      </c>
      <c r="T999" s="11" t="str">
        <f>HYPERLINK("http://www.env.gov.bc.ca/esd/distdata/ecosystems/TEI_Scanned_Maps/I14/I14-3103","http://www.env.gov.bc.ca/esd/distdata/ecosystems/TEI_Scanned_Maps/I14/I14-3103")</f>
        <v>http://www.env.gov.bc.ca/esd/distdata/ecosystems/TEI_Scanned_Maps/I14/I14-3103</v>
      </c>
      <c r="U999" t="s">
        <v>58</v>
      </c>
      <c r="V999" t="s">
        <v>58</v>
      </c>
      <c r="W999" t="s">
        <v>58</v>
      </c>
      <c r="X999" t="s">
        <v>58</v>
      </c>
      <c r="Y999" t="s">
        <v>58</v>
      </c>
      <c r="Z999" t="s">
        <v>58</v>
      </c>
      <c r="AA999" t="s">
        <v>58</v>
      </c>
      <c r="AC999" t="s">
        <v>58</v>
      </c>
      <c r="AE999" t="s">
        <v>58</v>
      </c>
      <c r="AG999" t="s">
        <v>63</v>
      </c>
      <c r="AH999" s="11" t="str">
        <f t="shared" si="18"/>
        <v>mailto: soilterrain@victoria1.gov.bc.ca</v>
      </c>
    </row>
    <row r="1000" spans="1:34">
      <c r="A1000" t="s">
        <v>2413</v>
      </c>
      <c r="B1000" t="s">
        <v>56</v>
      </c>
      <c r="C1000" s="10" t="s">
        <v>1021</v>
      </c>
      <c r="D1000" t="s">
        <v>58</v>
      </c>
      <c r="E1000" t="s">
        <v>497</v>
      </c>
      <c r="F1000" t="s">
        <v>2414</v>
      </c>
      <c r="G1000">
        <v>50000</v>
      </c>
      <c r="H1000">
        <v>1979</v>
      </c>
      <c r="I1000" t="s">
        <v>58</v>
      </c>
      <c r="J1000" t="s">
        <v>58</v>
      </c>
      <c r="K1000" t="s">
        <v>58</v>
      </c>
      <c r="L1000" t="s">
        <v>58</v>
      </c>
      <c r="M1000" t="s">
        <v>58</v>
      </c>
      <c r="N1000" t="s">
        <v>61</v>
      </c>
      <c r="Q1000" t="s">
        <v>58</v>
      </c>
      <c r="R1000" s="11" t="str">
        <f>HYPERLINK("\\imagefiles.bcgov\imagery\scanned_maps\moe_terrain_maps\Scanned_T_maps_all\I14\I14-3104","\\imagefiles.bcgov\imagery\scanned_maps\moe_terrain_maps\Scanned_T_maps_all\I14\I14-3104")</f>
        <v>\\imagefiles.bcgov\imagery\scanned_maps\moe_terrain_maps\Scanned_T_maps_all\I14\I14-3104</v>
      </c>
      <c r="S1000" t="s">
        <v>62</v>
      </c>
      <c r="T1000" s="11" t="str">
        <f>HYPERLINK("http://www.env.gov.bc.ca/esd/distdata/ecosystems/TEI_Scanned_Maps/I14/I14-3104","http://www.env.gov.bc.ca/esd/distdata/ecosystems/TEI_Scanned_Maps/I14/I14-3104")</f>
        <v>http://www.env.gov.bc.ca/esd/distdata/ecosystems/TEI_Scanned_Maps/I14/I14-3104</v>
      </c>
      <c r="U1000" t="s">
        <v>58</v>
      </c>
      <c r="V1000" t="s">
        <v>58</v>
      </c>
      <c r="W1000" t="s">
        <v>58</v>
      </c>
      <c r="X1000" t="s">
        <v>58</v>
      </c>
      <c r="Y1000" t="s">
        <v>58</v>
      </c>
      <c r="Z1000" t="s">
        <v>58</v>
      </c>
      <c r="AA1000" t="s">
        <v>58</v>
      </c>
      <c r="AC1000" t="s">
        <v>58</v>
      </c>
      <c r="AE1000" t="s">
        <v>58</v>
      </c>
      <c r="AG1000" t="s">
        <v>63</v>
      </c>
      <c r="AH1000" s="11" t="str">
        <f t="shared" si="18"/>
        <v>mailto: soilterrain@victoria1.gov.bc.ca</v>
      </c>
    </row>
    <row r="1001" spans="1:34">
      <c r="A1001" t="s">
        <v>2415</v>
      </c>
      <c r="B1001" t="s">
        <v>56</v>
      </c>
      <c r="C1001" s="10" t="s">
        <v>1023</v>
      </c>
      <c r="D1001" t="s">
        <v>58</v>
      </c>
      <c r="E1001" t="s">
        <v>497</v>
      </c>
      <c r="F1001" t="s">
        <v>2416</v>
      </c>
      <c r="G1001">
        <v>50000</v>
      </c>
      <c r="H1001">
        <v>1979</v>
      </c>
      <c r="I1001" t="s">
        <v>58</v>
      </c>
      <c r="J1001" t="s">
        <v>58</v>
      </c>
      <c r="K1001" t="s">
        <v>58</v>
      </c>
      <c r="L1001" t="s">
        <v>58</v>
      </c>
      <c r="M1001" t="s">
        <v>58</v>
      </c>
      <c r="N1001" t="s">
        <v>61</v>
      </c>
      <c r="Q1001" t="s">
        <v>58</v>
      </c>
      <c r="R1001" s="11" t="str">
        <f>HYPERLINK("\\imagefiles.bcgov\imagery\scanned_maps\moe_terrain_maps\Scanned_T_maps_all\I14\I14-3105","\\imagefiles.bcgov\imagery\scanned_maps\moe_terrain_maps\Scanned_T_maps_all\I14\I14-3105")</f>
        <v>\\imagefiles.bcgov\imagery\scanned_maps\moe_terrain_maps\Scanned_T_maps_all\I14\I14-3105</v>
      </c>
      <c r="S1001" t="s">
        <v>62</v>
      </c>
      <c r="T1001" s="11" t="str">
        <f>HYPERLINK("http://www.env.gov.bc.ca/esd/distdata/ecosystems/TEI_Scanned_Maps/I14/I14-3105","http://www.env.gov.bc.ca/esd/distdata/ecosystems/TEI_Scanned_Maps/I14/I14-3105")</f>
        <v>http://www.env.gov.bc.ca/esd/distdata/ecosystems/TEI_Scanned_Maps/I14/I14-3105</v>
      </c>
      <c r="U1001" t="s">
        <v>58</v>
      </c>
      <c r="V1001" t="s">
        <v>58</v>
      </c>
      <c r="W1001" t="s">
        <v>58</v>
      </c>
      <c r="X1001" t="s">
        <v>58</v>
      </c>
      <c r="Y1001" t="s">
        <v>58</v>
      </c>
      <c r="Z1001" t="s">
        <v>58</v>
      </c>
      <c r="AA1001" t="s">
        <v>58</v>
      </c>
      <c r="AC1001" t="s">
        <v>58</v>
      </c>
      <c r="AE1001" t="s">
        <v>58</v>
      </c>
      <c r="AG1001" t="s">
        <v>63</v>
      </c>
      <c r="AH1001" s="11" t="str">
        <f t="shared" si="18"/>
        <v>mailto: soilterrain@victoria1.gov.bc.ca</v>
      </c>
    </row>
    <row r="1002" spans="1:34">
      <c r="A1002" t="s">
        <v>2417</v>
      </c>
      <c r="B1002" t="s">
        <v>56</v>
      </c>
      <c r="C1002" s="10" t="s">
        <v>1025</v>
      </c>
      <c r="D1002" t="s">
        <v>58</v>
      </c>
      <c r="E1002" t="s">
        <v>497</v>
      </c>
      <c r="F1002" t="s">
        <v>2418</v>
      </c>
      <c r="G1002">
        <v>50000</v>
      </c>
      <c r="H1002">
        <v>1979</v>
      </c>
      <c r="I1002" t="s">
        <v>58</v>
      </c>
      <c r="J1002" t="s">
        <v>58</v>
      </c>
      <c r="K1002" t="s">
        <v>58</v>
      </c>
      <c r="L1002" t="s">
        <v>58</v>
      </c>
      <c r="M1002" t="s">
        <v>58</v>
      </c>
      <c r="N1002" t="s">
        <v>61</v>
      </c>
      <c r="Q1002" t="s">
        <v>58</v>
      </c>
      <c r="R1002" s="11" t="str">
        <f>HYPERLINK("\\imagefiles.bcgov\imagery\scanned_maps\moe_terrain_maps\Scanned_T_maps_all\I14\I14-3106","\\imagefiles.bcgov\imagery\scanned_maps\moe_terrain_maps\Scanned_T_maps_all\I14\I14-3106")</f>
        <v>\\imagefiles.bcgov\imagery\scanned_maps\moe_terrain_maps\Scanned_T_maps_all\I14\I14-3106</v>
      </c>
      <c r="S1002" t="s">
        <v>62</v>
      </c>
      <c r="T1002" s="11" t="str">
        <f>HYPERLINK("http://www.env.gov.bc.ca/esd/distdata/ecosystems/TEI_Scanned_Maps/I14/I14-3106","http://www.env.gov.bc.ca/esd/distdata/ecosystems/TEI_Scanned_Maps/I14/I14-3106")</f>
        <v>http://www.env.gov.bc.ca/esd/distdata/ecosystems/TEI_Scanned_Maps/I14/I14-3106</v>
      </c>
      <c r="U1002" t="s">
        <v>58</v>
      </c>
      <c r="V1002" t="s">
        <v>58</v>
      </c>
      <c r="W1002" t="s">
        <v>58</v>
      </c>
      <c r="X1002" t="s">
        <v>58</v>
      </c>
      <c r="Y1002" t="s">
        <v>58</v>
      </c>
      <c r="Z1002" t="s">
        <v>58</v>
      </c>
      <c r="AA1002" t="s">
        <v>58</v>
      </c>
      <c r="AC1002" t="s">
        <v>58</v>
      </c>
      <c r="AE1002" t="s">
        <v>58</v>
      </c>
      <c r="AG1002" t="s">
        <v>63</v>
      </c>
      <c r="AH1002" s="11" t="str">
        <f t="shared" si="18"/>
        <v>mailto: soilterrain@victoria1.gov.bc.ca</v>
      </c>
    </row>
    <row r="1003" spans="1:34">
      <c r="A1003" t="s">
        <v>2419</v>
      </c>
      <c r="B1003" t="s">
        <v>56</v>
      </c>
      <c r="C1003" s="10" t="s">
        <v>1029</v>
      </c>
      <c r="D1003" t="s">
        <v>58</v>
      </c>
      <c r="E1003" t="s">
        <v>497</v>
      </c>
      <c r="F1003" t="s">
        <v>2420</v>
      </c>
      <c r="G1003">
        <v>50000</v>
      </c>
      <c r="H1003">
        <v>1979</v>
      </c>
      <c r="I1003" t="s">
        <v>58</v>
      </c>
      <c r="J1003" t="s">
        <v>58</v>
      </c>
      <c r="K1003" t="s">
        <v>58</v>
      </c>
      <c r="L1003" t="s">
        <v>58</v>
      </c>
      <c r="M1003" t="s">
        <v>58</v>
      </c>
      <c r="N1003" t="s">
        <v>61</v>
      </c>
      <c r="Q1003" t="s">
        <v>58</v>
      </c>
      <c r="R1003" s="11" t="str">
        <f>HYPERLINK("\\imagefiles.bcgov\imagery\scanned_maps\moe_terrain_maps\Scanned_T_maps_all\I14\I14-3107","\\imagefiles.bcgov\imagery\scanned_maps\moe_terrain_maps\Scanned_T_maps_all\I14\I14-3107")</f>
        <v>\\imagefiles.bcgov\imagery\scanned_maps\moe_terrain_maps\Scanned_T_maps_all\I14\I14-3107</v>
      </c>
      <c r="S1003" t="s">
        <v>62</v>
      </c>
      <c r="T1003" s="11" t="str">
        <f>HYPERLINK("http://www.env.gov.bc.ca/esd/distdata/ecosystems/TEI_Scanned_Maps/I14/I14-3107","http://www.env.gov.bc.ca/esd/distdata/ecosystems/TEI_Scanned_Maps/I14/I14-3107")</f>
        <v>http://www.env.gov.bc.ca/esd/distdata/ecosystems/TEI_Scanned_Maps/I14/I14-3107</v>
      </c>
      <c r="U1003" t="s">
        <v>58</v>
      </c>
      <c r="V1003" t="s">
        <v>58</v>
      </c>
      <c r="W1003" t="s">
        <v>58</v>
      </c>
      <c r="X1003" t="s">
        <v>58</v>
      </c>
      <c r="Y1003" t="s">
        <v>58</v>
      </c>
      <c r="Z1003" t="s">
        <v>58</v>
      </c>
      <c r="AA1003" t="s">
        <v>58</v>
      </c>
      <c r="AC1003" t="s">
        <v>58</v>
      </c>
      <c r="AE1003" t="s">
        <v>58</v>
      </c>
      <c r="AG1003" t="s">
        <v>63</v>
      </c>
      <c r="AH1003" s="11" t="str">
        <f t="shared" si="18"/>
        <v>mailto: soilterrain@victoria1.gov.bc.ca</v>
      </c>
    </row>
    <row r="1004" spans="1:34">
      <c r="A1004" t="s">
        <v>2421</v>
      </c>
      <c r="B1004" t="s">
        <v>56</v>
      </c>
      <c r="C1004" s="10" t="s">
        <v>1031</v>
      </c>
      <c r="D1004" t="s">
        <v>58</v>
      </c>
      <c r="E1004" t="s">
        <v>497</v>
      </c>
      <c r="F1004" t="s">
        <v>2422</v>
      </c>
      <c r="G1004">
        <v>50000</v>
      </c>
      <c r="H1004">
        <v>1979</v>
      </c>
      <c r="I1004" t="s">
        <v>58</v>
      </c>
      <c r="J1004" t="s">
        <v>58</v>
      </c>
      <c r="K1004" t="s">
        <v>58</v>
      </c>
      <c r="L1004" t="s">
        <v>58</v>
      </c>
      <c r="M1004" t="s">
        <v>58</v>
      </c>
      <c r="N1004" t="s">
        <v>61</v>
      </c>
      <c r="Q1004" t="s">
        <v>58</v>
      </c>
      <c r="R1004" s="11" t="str">
        <f>HYPERLINK("\\imagefiles.bcgov\imagery\scanned_maps\moe_terrain_maps\Scanned_T_maps_all\I14\I14-3108","\\imagefiles.bcgov\imagery\scanned_maps\moe_terrain_maps\Scanned_T_maps_all\I14\I14-3108")</f>
        <v>\\imagefiles.bcgov\imagery\scanned_maps\moe_terrain_maps\Scanned_T_maps_all\I14\I14-3108</v>
      </c>
      <c r="S1004" t="s">
        <v>62</v>
      </c>
      <c r="T1004" s="11" t="str">
        <f>HYPERLINK("http://www.env.gov.bc.ca/esd/distdata/ecosystems/TEI_Scanned_Maps/I14/I14-3108","http://www.env.gov.bc.ca/esd/distdata/ecosystems/TEI_Scanned_Maps/I14/I14-3108")</f>
        <v>http://www.env.gov.bc.ca/esd/distdata/ecosystems/TEI_Scanned_Maps/I14/I14-3108</v>
      </c>
      <c r="U1004" t="s">
        <v>58</v>
      </c>
      <c r="V1004" t="s">
        <v>58</v>
      </c>
      <c r="W1004" t="s">
        <v>58</v>
      </c>
      <c r="X1004" t="s">
        <v>58</v>
      </c>
      <c r="Y1004" t="s">
        <v>58</v>
      </c>
      <c r="Z1004" t="s">
        <v>58</v>
      </c>
      <c r="AA1004" t="s">
        <v>58</v>
      </c>
      <c r="AC1004" t="s">
        <v>58</v>
      </c>
      <c r="AE1004" t="s">
        <v>58</v>
      </c>
      <c r="AG1004" t="s">
        <v>63</v>
      </c>
      <c r="AH1004" s="11" t="str">
        <f t="shared" si="18"/>
        <v>mailto: soilterrain@victoria1.gov.bc.ca</v>
      </c>
    </row>
    <row r="1005" spans="1:34">
      <c r="A1005" t="s">
        <v>2423</v>
      </c>
      <c r="B1005" t="s">
        <v>56</v>
      </c>
      <c r="C1005" s="10" t="s">
        <v>1037</v>
      </c>
      <c r="D1005" t="s">
        <v>58</v>
      </c>
      <c r="E1005" t="s">
        <v>497</v>
      </c>
      <c r="F1005" t="s">
        <v>2424</v>
      </c>
      <c r="G1005">
        <v>50000</v>
      </c>
      <c r="H1005">
        <v>1979</v>
      </c>
      <c r="I1005" t="s">
        <v>58</v>
      </c>
      <c r="J1005" t="s">
        <v>58</v>
      </c>
      <c r="K1005" t="s">
        <v>58</v>
      </c>
      <c r="L1005" t="s">
        <v>58</v>
      </c>
      <c r="M1005" t="s">
        <v>58</v>
      </c>
      <c r="N1005" t="s">
        <v>61</v>
      </c>
      <c r="Q1005" t="s">
        <v>58</v>
      </c>
      <c r="R1005" s="11" t="str">
        <f>HYPERLINK("\\imagefiles.bcgov\imagery\scanned_maps\moe_terrain_maps\Scanned_T_maps_all\I14\I14-3109","\\imagefiles.bcgov\imagery\scanned_maps\moe_terrain_maps\Scanned_T_maps_all\I14\I14-3109")</f>
        <v>\\imagefiles.bcgov\imagery\scanned_maps\moe_terrain_maps\Scanned_T_maps_all\I14\I14-3109</v>
      </c>
      <c r="S1005" t="s">
        <v>62</v>
      </c>
      <c r="T1005" s="11" t="str">
        <f>HYPERLINK("http://www.env.gov.bc.ca/esd/distdata/ecosystems/TEI_Scanned_Maps/I14/I14-3109","http://www.env.gov.bc.ca/esd/distdata/ecosystems/TEI_Scanned_Maps/I14/I14-3109")</f>
        <v>http://www.env.gov.bc.ca/esd/distdata/ecosystems/TEI_Scanned_Maps/I14/I14-3109</v>
      </c>
      <c r="U1005" t="s">
        <v>58</v>
      </c>
      <c r="V1005" t="s">
        <v>58</v>
      </c>
      <c r="W1005" t="s">
        <v>58</v>
      </c>
      <c r="X1005" t="s">
        <v>58</v>
      </c>
      <c r="Y1005" t="s">
        <v>58</v>
      </c>
      <c r="Z1005" t="s">
        <v>58</v>
      </c>
      <c r="AA1005" t="s">
        <v>58</v>
      </c>
      <c r="AC1005" t="s">
        <v>58</v>
      </c>
      <c r="AE1005" t="s">
        <v>58</v>
      </c>
      <c r="AG1005" t="s">
        <v>63</v>
      </c>
      <c r="AH1005" s="11" t="str">
        <f t="shared" si="18"/>
        <v>mailto: soilterrain@victoria1.gov.bc.ca</v>
      </c>
    </row>
    <row r="1006" spans="1:34">
      <c r="A1006" t="s">
        <v>2425</v>
      </c>
      <c r="B1006" t="s">
        <v>56</v>
      </c>
      <c r="C1006" s="10" t="s">
        <v>1041</v>
      </c>
      <c r="D1006" t="s">
        <v>58</v>
      </c>
      <c r="E1006" t="s">
        <v>497</v>
      </c>
      <c r="F1006" t="s">
        <v>2426</v>
      </c>
      <c r="G1006">
        <v>50000</v>
      </c>
      <c r="H1006">
        <v>1979</v>
      </c>
      <c r="I1006" t="s">
        <v>58</v>
      </c>
      <c r="J1006" t="s">
        <v>58</v>
      </c>
      <c r="K1006" t="s">
        <v>58</v>
      </c>
      <c r="L1006" t="s">
        <v>58</v>
      </c>
      <c r="M1006" t="s">
        <v>58</v>
      </c>
      <c r="N1006" t="s">
        <v>61</v>
      </c>
      <c r="Q1006" t="s">
        <v>58</v>
      </c>
      <c r="R1006" s="11" t="str">
        <f>HYPERLINK("\\imagefiles.bcgov\imagery\scanned_maps\moe_terrain_maps\Scanned_T_maps_all\I14\I14-3110","\\imagefiles.bcgov\imagery\scanned_maps\moe_terrain_maps\Scanned_T_maps_all\I14\I14-3110")</f>
        <v>\\imagefiles.bcgov\imagery\scanned_maps\moe_terrain_maps\Scanned_T_maps_all\I14\I14-3110</v>
      </c>
      <c r="S1006" t="s">
        <v>62</v>
      </c>
      <c r="T1006" s="11" t="str">
        <f>HYPERLINK("http://www.env.gov.bc.ca/esd/distdata/ecosystems/TEI_Scanned_Maps/I14/I14-3110","http://www.env.gov.bc.ca/esd/distdata/ecosystems/TEI_Scanned_Maps/I14/I14-3110")</f>
        <v>http://www.env.gov.bc.ca/esd/distdata/ecosystems/TEI_Scanned_Maps/I14/I14-3110</v>
      </c>
      <c r="U1006" t="s">
        <v>58</v>
      </c>
      <c r="V1006" t="s">
        <v>58</v>
      </c>
      <c r="W1006" t="s">
        <v>58</v>
      </c>
      <c r="X1006" t="s">
        <v>58</v>
      </c>
      <c r="Y1006" t="s">
        <v>58</v>
      </c>
      <c r="Z1006" t="s">
        <v>58</v>
      </c>
      <c r="AA1006" t="s">
        <v>58</v>
      </c>
      <c r="AC1006" t="s">
        <v>58</v>
      </c>
      <c r="AE1006" t="s">
        <v>58</v>
      </c>
      <c r="AG1006" t="s">
        <v>63</v>
      </c>
      <c r="AH1006" s="11" t="str">
        <f t="shared" si="18"/>
        <v>mailto: soilterrain@victoria1.gov.bc.ca</v>
      </c>
    </row>
    <row r="1007" spans="1:34">
      <c r="A1007" t="s">
        <v>2427</v>
      </c>
      <c r="B1007" t="s">
        <v>56</v>
      </c>
      <c r="C1007" s="10" t="s">
        <v>1043</v>
      </c>
      <c r="D1007" t="s">
        <v>58</v>
      </c>
      <c r="E1007" t="s">
        <v>497</v>
      </c>
      <c r="F1007" t="s">
        <v>2428</v>
      </c>
      <c r="G1007">
        <v>50000</v>
      </c>
      <c r="H1007">
        <v>1979</v>
      </c>
      <c r="I1007" t="s">
        <v>58</v>
      </c>
      <c r="J1007" t="s">
        <v>58</v>
      </c>
      <c r="K1007" t="s">
        <v>58</v>
      </c>
      <c r="L1007" t="s">
        <v>58</v>
      </c>
      <c r="M1007" t="s">
        <v>58</v>
      </c>
      <c r="N1007" t="s">
        <v>61</v>
      </c>
      <c r="Q1007" t="s">
        <v>58</v>
      </c>
      <c r="R1007" s="11" t="str">
        <f>HYPERLINK("\\imagefiles.bcgov\imagery\scanned_maps\moe_terrain_maps\Scanned_T_maps_all\I14\I14-3111","\\imagefiles.bcgov\imagery\scanned_maps\moe_terrain_maps\Scanned_T_maps_all\I14\I14-3111")</f>
        <v>\\imagefiles.bcgov\imagery\scanned_maps\moe_terrain_maps\Scanned_T_maps_all\I14\I14-3111</v>
      </c>
      <c r="S1007" t="s">
        <v>62</v>
      </c>
      <c r="T1007" s="11" t="str">
        <f>HYPERLINK("http://www.env.gov.bc.ca/esd/distdata/ecosystems/TEI_Scanned_Maps/I14/I14-3111","http://www.env.gov.bc.ca/esd/distdata/ecosystems/TEI_Scanned_Maps/I14/I14-3111")</f>
        <v>http://www.env.gov.bc.ca/esd/distdata/ecosystems/TEI_Scanned_Maps/I14/I14-3111</v>
      </c>
      <c r="U1007" t="s">
        <v>58</v>
      </c>
      <c r="V1007" t="s">
        <v>58</v>
      </c>
      <c r="W1007" t="s">
        <v>58</v>
      </c>
      <c r="X1007" t="s">
        <v>58</v>
      </c>
      <c r="Y1007" t="s">
        <v>58</v>
      </c>
      <c r="Z1007" t="s">
        <v>58</v>
      </c>
      <c r="AA1007" t="s">
        <v>58</v>
      </c>
      <c r="AC1007" t="s">
        <v>58</v>
      </c>
      <c r="AE1007" t="s">
        <v>58</v>
      </c>
      <c r="AG1007" t="s">
        <v>63</v>
      </c>
      <c r="AH1007" s="11" t="str">
        <f t="shared" si="18"/>
        <v>mailto: soilterrain@victoria1.gov.bc.ca</v>
      </c>
    </row>
    <row r="1008" spans="1:34">
      <c r="A1008" t="s">
        <v>2429</v>
      </c>
      <c r="B1008" t="s">
        <v>56</v>
      </c>
      <c r="C1008" s="10" t="s">
        <v>1046</v>
      </c>
      <c r="D1008" t="s">
        <v>58</v>
      </c>
      <c r="E1008" t="s">
        <v>497</v>
      </c>
      <c r="F1008" t="s">
        <v>2430</v>
      </c>
      <c r="G1008">
        <v>50000</v>
      </c>
      <c r="H1008">
        <v>1979</v>
      </c>
      <c r="I1008" t="s">
        <v>58</v>
      </c>
      <c r="J1008" t="s">
        <v>58</v>
      </c>
      <c r="K1008" t="s">
        <v>58</v>
      </c>
      <c r="L1008" t="s">
        <v>58</v>
      </c>
      <c r="M1008" t="s">
        <v>58</v>
      </c>
      <c r="N1008" t="s">
        <v>61</v>
      </c>
      <c r="Q1008" t="s">
        <v>58</v>
      </c>
      <c r="R1008" s="11" t="str">
        <f>HYPERLINK("\\imagefiles.bcgov\imagery\scanned_maps\moe_terrain_maps\Scanned_T_maps_all\I14\I14-3112","\\imagefiles.bcgov\imagery\scanned_maps\moe_terrain_maps\Scanned_T_maps_all\I14\I14-3112")</f>
        <v>\\imagefiles.bcgov\imagery\scanned_maps\moe_terrain_maps\Scanned_T_maps_all\I14\I14-3112</v>
      </c>
      <c r="S1008" t="s">
        <v>62</v>
      </c>
      <c r="T1008" s="11" t="str">
        <f>HYPERLINK("http://www.env.gov.bc.ca/esd/distdata/ecosystems/TEI_Scanned_Maps/I14/I14-3112","http://www.env.gov.bc.ca/esd/distdata/ecosystems/TEI_Scanned_Maps/I14/I14-3112")</f>
        <v>http://www.env.gov.bc.ca/esd/distdata/ecosystems/TEI_Scanned_Maps/I14/I14-3112</v>
      </c>
      <c r="U1008" t="s">
        <v>58</v>
      </c>
      <c r="V1008" t="s">
        <v>58</v>
      </c>
      <c r="W1008" t="s">
        <v>58</v>
      </c>
      <c r="X1008" t="s">
        <v>58</v>
      </c>
      <c r="Y1008" t="s">
        <v>58</v>
      </c>
      <c r="Z1008" t="s">
        <v>58</v>
      </c>
      <c r="AA1008" t="s">
        <v>58</v>
      </c>
      <c r="AC1008" t="s">
        <v>58</v>
      </c>
      <c r="AE1008" t="s">
        <v>58</v>
      </c>
      <c r="AG1008" t="s">
        <v>63</v>
      </c>
      <c r="AH1008" s="11" t="str">
        <f t="shared" si="18"/>
        <v>mailto: soilterrain@victoria1.gov.bc.ca</v>
      </c>
    </row>
    <row r="1009" spans="1:34">
      <c r="A1009" t="s">
        <v>2431</v>
      </c>
      <c r="B1009" t="s">
        <v>56</v>
      </c>
      <c r="C1009" s="10" t="s">
        <v>1048</v>
      </c>
      <c r="D1009" t="s">
        <v>58</v>
      </c>
      <c r="E1009" t="s">
        <v>497</v>
      </c>
      <c r="F1009" t="s">
        <v>2432</v>
      </c>
      <c r="G1009">
        <v>50000</v>
      </c>
      <c r="H1009">
        <v>1979</v>
      </c>
      <c r="I1009" t="s">
        <v>58</v>
      </c>
      <c r="J1009" t="s">
        <v>58</v>
      </c>
      <c r="K1009" t="s">
        <v>58</v>
      </c>
      <c r="L1009" t="s">
        <v>58</v>
      </c>
      <c r="M1009" t="s">
        <v>58</v>
      </c>
      <c r="N1009" t="s">
        <v>61</v>
      </c>
      <c r="Q1009" t="s">
        <v>58</v>
      </c>
      <c r="R1009" s="11" t="str">
        <f>HYPERLINK("\\imagefiles.bcgov\imagery\scanned_maps\moe_terrain_maps\Scanned_T_maps_all\I14\I14-3113","\\imagefiles.bcgov\imagery\scanned_maps\moe_terrain_maps\Scanned_T_maps_all\I14\I14-3113")</f>
        <v>\\imagefiles.bcgov\imagery\scanned_maps\moe_terrain_maps\Scanned_T_maps_all\I14\I14-3113</v>
      </c>
      <c r="S1009" t="s">
        <v>62</v>
      </c>
      <c r="T1009" s="11" t="str">
        <f>HYPERLINK("http://www.env.gov.bc.ca/esd/distdata/ecosystems/TEI_Scanned_Maps/I14/I14-3113","http://www.env.gov.bc.ca/esd/distdata/ecosystems/TEI_Scanned_Maps/I14/I14-3113")</f>
        <v>http://www.env.gov.bc.ca/esd/distdata/ecosystems/TEI_Scanned_Maps/I14/I14-3113</v>
      </c>
      <c r="U1009" t="s">
        <v>58</v>
      </c>
      <c r="V1009" t="s">
        <v>58</v>
      </c>
      <c r="W1009" t="s">
        <v>58</v>
      </c>
      <c r="X1009" t="s">
        <v>58</v>
      </c>
      <c r="Y1009" t="s">
        <v>58</v>
      </c>
      <c r="Z1009" t="s">
        <v>58</v>
      </c>
      <c r="AA1009" t="s">
        <v>58</v>
      </c>
      <c r="AC1009" t="s">
        <v>58</v>
      </c>
      <c r="AE1009" t="s">
        <v>58</v>
      </c>
      <c r="AG1009" t="s">
        <v>63</v>
      </c>
      <c r="AH1009" s="11" t="str">
        <f t="shared" si="18"/>
        <v>mailto: soilterrain@victoria1.gov.bc.ca</v>
      </c>
    </row>
    <row r="1010" spans="1:34">
      <c r="A1010" t="s">
        <v>2433</v>
      </c>
      <c r="B1010" t="s">
        <v>56</v>
      </c>
      <c r="C1010" s="10" t="s">
        <v>1050</v>
      </c>
      <c r="D1010" t="s">
        <v>58</v>
      </c>
      <c r="E1010" t="s">
        <v>497</v>
      </c>
      <c r="F1010" t="s">
        <v>2434</v>
      </c>
      <c r="G1010">
        <v>50000</v>
      </c>
      <c r="H1010">
        <v>1979</v>
      </c>
      <c r="I1010" t="s">
        <v>58</v>
      </c>
      <c r="J1010" t="s">
        <v>58</v>
      </c>
      <c r="K1010" t="s">
        <v>58</v>
      </c>
      <c r="L1010" t="s">
        <v>58</v>
      </c>
      <c r="M1010" t="s">
        <v>58</v>
      </c>
      <c r="N1010" t="s">
        <v>61</v>
      </c>
      <c r="Q1010" t="s">
        <v>58</v>
      </c>
      <c r="R1010" s="11" t="str">
        <f>HYPERLINK("\\imagefiles.bcgov\imagery\scanned_maps\moe_terrain_maps\Scanned_T_maps_all\I14\I14-3114","\\imagefiles.bcgov\imagery\scanned_maps\moe_terrain_maps\Scanned_T_maps_all\I14\I14-3114")</f>
        <v>\\imagefiles.bcgov\imagery\scanned_maps\moe_terrain_maps\Scanned_T_maps_all\I14\I14-3114</v>
      </c>
      <c r="S1010" t="s">
        <v>62</v>
      </c>
      <c r="T1010" s="11" t="str">
        <f>HYPERLINK("http://www.env.gov.bc.ca/esd/distdata/ecosystems/TEI_Scanned_Maps/I14/I14-3114","http://www.env.gov.bc.ca/esd/distdata/ecosystems/TEI_Scanned_Maps/I14/I14-3114")</f>
        <v>http://www.env.gov.bc.ca/esd/distdata/ecosystems/TEI_Scanned_Maps/I14/I14-3114</v>
      </c>
      <c r="U1010" t="s">
        <v>58</v>
      </c>
      <c r="V1010" t="s">
        <v>58</v>
      </c>
      <c r="W1010" t="s">
        <v>58</v>
      </c>
      <c r="X1010" t="s">
        <v>58</v>
      </c>
      <c r="Y1010" t="s">
        <v>58</v>
      </c>
      <c r="Z1010" t="s">
        <v>58</v>
      </c>
      <c r="AA1010" t="s">
        <v>58</v>
      </c>
      <c r="AC1010" t="s">
        <v>58</v>
      </c>
      <c r="AE1010" t="s">
        <v>58</v>
      </c>
      <c r="AG1010" t="s">
        <v>63</v>
      </c>
      <c r="AH1010" s="11" t="str">
        <f t="shared" si="18"/>
        <v>mailto: soilterrain@victoria1.gov.bc.ca</v>
      </c>
    </row>
    <row r="1011" spans="1:34">
      <c r="A1011" t="s">
        <v>2435</v>
      </c>
      <c r="B1011" t="s">
        <v>56</v>
      </c>
      <c r="C1011" s="10" t="s">
        <v>1052</v>
      </c>
      <c r="D1011" t="s">
        <v>58</v>
      </c>
      <c r="E1011" t="s">
        <v>497</v>
      </c>
      <c r="F1011" t="s">
        <v>2436</v>
      </c>
      <c r="G1011">
        <v>50000</v>
      </c>
      <c r="H1011">
        <v>1979</v>
      </c>
      <c r="I1011" t="s">
        <v>58</v>
      </c>
      <c r="J1011" t="s">
        <v>58</v>
      </c>
      <c r="K1011" t="s">
        <v>58</v>
      </c>
      <c r="L1011" t="s">
        <v>58</v>
      </c>
      <c r="M1011" t="s">
        <v>58</v>
      </c>
      <c r="N1011" t="s">
        <v>61</v>
      </c>
      <c r="Q1011" t="s">
        <v>58</v>
      </c>
      <c r="R1011" s="11" t="str">
        <f>HYPERLINK("\\imagefiles.bcgov\imagery\scanned_maps\moe_terrain_maps\Scanned_T_maps_all\I14\I14-3115","\\imagefiles.bcgov\imagery\scanned_maps\moe_terrain_maps\Scanned_T_maps_all\I14\I14-3115")</f>
        <v>\\imagefiles.bcgov\imagery\scanned_maps\moe_terrain_maps\Scanned_T_maps_all\I14\I14-3115</v>
      </c>
      <c r="S1011" t="s">
        <v>62</v>
      </c>
      <c r="T1011" s="11" t="str">
        <f>HYPERLINK("http://www.env.gov.bc.ca/esd/distdata/ecosystems/TEI_Scanned_Maps/I14/I14-3115","http://www.env.gov.bc.ca/esd/distdata/ecosystems/TEI_Scanned_Maps/I14/I14-3115")</f>
        <v>http://www.env.gov.bc.ca/esd/distdata/ecosystems/TEI_Scanned_Maps/I14/I14-3115</v>
      </c>
      <c r="U1011" t="s">
        <v>58</v>
      </c>
      <c r="V1011" t="s">
        <v>58</v>
      </c>
      <c r="W1011" t="s">
        <v>58</v>
      </c>
      <c r="X1011" t="s">
        <v>58</v>
      </c>
      <c r="Y1011" t="s">
        <v>58</v>
      </c>
      <c r="Z1011" t="s">
        <v>58</v>
      </c>
      <c r="AA1011" t="s">
        <v>58</v>
      </c>
      <c r="AC1011" t="s">
        <v>58</v>
      </c>
      <c r="AE1011" t="s">
        <v>58</v>
      </c>
      <c r="AG1011" t="s">
        <v>63</v>
      </c>
      <c r="AH1011" s="11" t="str">
        <f t="shared" si="18"/>
        <v>mailto: soilterrain@victoria1.gov.bc.ca</v>
      </c>
    </row>
    <row r="1012" spans="1:34">
      <c r="A1012" t="s">
        <v>2437</v>
      </c>
      <c r="B1012" t="s">
        <v>56</v>
      </c>
      <c r="C1012" s="10" t="s">
        <v>1054</v>
      </c>
      <c r="D1012" t="s">
        <v>58</v>
      </c>
      <c r="E1012" t="s">
        <v>497</v>
      </c>
      <c r="F1012" t="s">
        <v>2438</v>
      </c>
      <c r="G1012">
        <v>50000</v>
      </c>
      <c r="H1012">
        <v>1979</v>
      </c>
      <c r="I1012" t="s">
        <v>58</v>
      </c>
      <c r="J1012" t="s">
        <v>58</v>
      </c>
      <c r="K1012" t="s">
        <v>58</v>
      </c>
      <c r="L1012" t="s">
        <v>58</v>
      </c>
      <c r="M1012" t="s">
        <v>58</v>
      </c>
      <c r="N1012" t="s">
        <v>61</v>
      </c>
      <c r="Q1012" t="s">
        <v>58</v>
      </c>
      <c r="R1012" s="11" t="str">
        <f>HYPERLINK("\\imagefiles.bcgov\imagery\scanned_maps\moe_terrain_maps\Scanned_T_maps_all\I14\I14-3116","\\imagefiles.bcgov\imagery\scanned_maps\moe_terrain_maps\Scanned_T_maps_all\I14\I14-3116")</f>
        <v>\\imagefiles.bcgov\imagery\scanned_maps\moe_terrain_maps\Scanned_T_maps_all\I14\I14-3116</v>
      </c>
      <c r="S1012" t="s">
        <v>62</v>
      </c>
      <c r="T1012" s="11" t="str">
        <f>HYPERLINK("http://www.env.gov.bc.ca/esd/distdata/ecosystems/TEI_Scanned_Maps/I14/I14-3116","http://www.env.gov.bc.ca/esd/distdata/ecosystems/TEI_Scanned_Maps/I14/I14-3116")</f>
        <v>http://www.env.gov.bc.ca/esd/distdata/ecosystems/TEI_Scanned_Maps/I14/I14-3116</v>
      </c>
      <c r="U1012" t="s">
        <v>58</v>
      </c>
      <c r="V1012" t="s">
        <v>58</v>
      </c>
      <c r="W1012" t="s">
        <v>58</v>
      </c>
      <c r="X1012" t="s">
        <v>58</v>
      </c>
      <c r="Y1012" t="s">
        <v>58</v>
      </c>
      <c r="Z1012" t="s">
        <v>58</v>
      </c>
      <c r="AA1012" t="s">
        <v>58</v>
      </c>
      <c r="AC1012" t="s">
        <v>58</v>
      </c>
      <c r="AE1012" t="s">
        <v>58</v>
      </c>
      <c r="AG1012" t="s">
        <v>63</v>
      </c>
      <c r="AH1012" s="11" t="str">
        <f t="shared" si="18"/>
        <v>mailto: soilterrain@victoria1.gov.bc.ca</v>
      </c>
    </row>
    <row r="1013" spans="1:34">
      <c r="A1013" t="s">
        <v>2439</v>
      </c>
      <c r="B1013" t="s">
        <v>56</v>
      </c>
      <c r="C1013" s="10" t="s">
        <v>1056</v>
      </c>
      <c r="D1013" t="s">
        <v>58</v>
      </c>
      <c r="E1013" t="s">
        <v>497</v>
      </c>
      <c r="F1013" t="s">
        <v>2440</v>
      </c>
      <c r="G1013">
        <v>50000</v>
      </c>
      <c r="H1013">
        <v>1979</v>
      </c>
      <c r="I1013" t="s">
        <v>58</v>
      </c>
      <c r="J1013" t="s">
        <v>58</v>
      </c>
      <c r="K1013" t="s">
        <v>58</v>
      </c>
      <c r="L1013" t="s">
        <v>58</v>
      </c>
      <c r="M1013" t="s">
        <v>58</v>
      </c>
      <c r="N1013" t="s">
        <v>61</v>
      </c>
      <c r="Q1013" t="s">
        <v>58</v>
      </c>
      <c r="R1013" s="11" t="str">
        <f>HYPERLINK("\\imagefiles.bcgov\imagery\scanned_maps\moe_terrain_maps\Scanned_T_maps_all\I14\I14-3117","\\imagefiles.bcgov\imagery\scanned_maps\moe_terrain_maps\Scanned_T_maps_all\I14\I14-3117")</f>
        <v>\\imagefiles.bcgov\imagery\scanned_maps\moe_terrain_maps\Scanned_T_maps_all\I14\I14-3117</v>
      </c>
      <c r="S1013" t="s">
        <v>62</v>
      </c>
      <c r="T1013" s="11" t="str">
        <f>HYPERLINK("http://www.env.gov.bc.ca/esd/distdata/ecosystems/TEI_Scanned_Maps/I14/I14-3117","http://www.env.gov.bc.ca/esd/distdata/ecosystems/TEI_Scanned_Maps/I14/I14-3117")</f>
        <v>http://www.env.gov.bc.ca/esd/distdata/ecosystems/TEI_Scanned_Maps/I14/I14-3117</v>
      </c>
      <c r="U1013" t="s">
        <v>58</v>
      </c>
      <c r="V1013" t="s">
        <v>58</v>
      </c>
      <c r="W1013" t="s">
        <v>58</v>
      </c>
      <c r="X1013" t="s">
        <v>58</v>
      </c>
      <c r="Y1013" t="s">
        <v>58</v>
      </c>
      <c r="Z1013" t="s">
        <v>58</v>
      </c>
      <c r="AA1013" t="s">
        <v>58</v>
      </c>
      <c r="AC1013" t="s">
        <v>58</v>
      </c>
      <c r="AE1013" t="s">
        <v>58</v>
      </c>
      <c r="AG1013" t="s">
        <v>63</v>
      </c>
      <c r="AH1013" s="11" t="str">
        <f t="shared" si="18"/>
        <v>mailto: soilterrain@victoria1.gov.bc.ca</v>
      </c>
    </row>
    <row r="1014" spans="1:34">
      <c r="A1014" t="s">
        <v>2441</v>
      </c>
      <c r="B1014" t="s">
        <v>56</v>
      </c>
      <c r="C1014" s="10" t="s">
        <v>1060</v>
      </c>
      <c r="D1014" t="s">
        <v>58</v>
      </c>
      <c r="E1014" t="s">
        <v>497</v>
      </c>
      <c r="F1014" t="s">
        <v>2442</v>
      </c>
      <c r="G1014">
        <v>50000</v>
      </c>
      <c r="H1014">
        <v>1979</v>
      </c>
      <c r="I1014" t="s">
        <v>58</v>
      </c>
      <c r="J1014" t="s">
        <v>58</v>
      </c>
      <c r="K1014" t="s">
        <v>58</v>
      </c>
      <c r="L1014" t="s">
        <v>58</v>
      </c>
      <c r="M1014" t="s">
        <v>58</v>
      </c>
      <c r="N1014" t="s">
        <v>61</v>
      </c>
      <c r="Q1014" t="s">
        <v>58</v>
      </c>
      <c r="R1014" s="11" t="str">
        <f>HYPERLINK("\\imagefiles.bcgov\imagery\scanned_maps\moe_terrain_maps\Scanned_T_maps_all\I14\I14-3118","\\imagefiles.bcgov\imagery\scanned_maps\moe_terrain_maps\Scanned_T_maps_all\I14\I14-3118")</f>
        <v>\\imagefiles.bcgov\imagery\scanned_maps\moe_terrain_maps\Scanned_T_maps_all\I14\I14-3118</v>
      </c>
      <c r="S1014" t="s">
        <v>62</v>
      </c>
      <c r="T1014" s="11" t="str">
        <f>HYPERLINK("http://www.env.gov.bc.ca/esd/distdata/ecosystems/TEI_Scanned_Maps/I14/I14-3118","http://www.env.gov.bc.ca/esd/distdata/ecosystems/TEI_Scanned_Maps/I14/I14-3118")</f>
        <v>http://www.env.gov.bc.ca/esd/distdata/ecosystems/TEI_Scanned_Maps/I14/I14-3118</v>
      </c>
      <c r="U1014" t="s">
        <v>58</v>
      </c>
      <c r="V1014" t="s">
        <v>58</v>
      </c>
      <c r="W1014" t="s">
        <v>58</v>
      </c>
      <c r="X1014" t="s">
        <v>58</v>
      </c>
      <c r="Y1014" t="s">
        <v>58</v>
      </c>
      <c r="Z1014" t="s">
        <v>58</v>
      </c>
      <c r="AA1014" t="s">
        <v>58</v>
      </c>
      <c r="AC1014" t="s">
        <v>58</v>
      </c>
      <c r="AE1014" t="s">
        <v>58</v>
      </c>
      <c r="AG1014" t="s">
        <v>63</v>
      </c>
      <c r="AH1014" s="11" t="str">
        <f t="shared" si="18"/>
        <v>mailto: soilterrain@victoria1.gov.bc.ca</v>
      </c>
    </row>
    <row r="1015" spans="1:34">
      <c r="A1015" t="s">
        <v>2443</v>
      </c>
      <c r="B1015" t="s">
        <v>56</v>
      </c>
      <c r="C1015" s="10" t="s">
        <v>1062</v>
      </c>
      <c r="D1015" t="s">
        <v>58</v>
      </c>
      <c r="E1015" t="s">
        <v>497</v>
      </c>
      <c r="F1015" t="s">
        <v>2444</v>
      </c>
      <c r="G1015">
        <v>50000</v>
      </c>
      <c r="H1015">
        <v>1979</v>
      </c>
      <c r="I1015" t="s">
        <v>58</v>
      </c>
      <c r="J1015" t="s">
        <v>58</v>
      </c>
      <c r="K1015" t="s">
        <v>58</v>
      </c>
      <c r="L1015" t="s">
        <v>58</v>
      </c>
      <c r="M1015" t="s">
        <v>58</v>
      </c>
      <c r="N1015" t="s">
        <v>61</v>
      </c>
      <c r="Q1015" t="s">
        <v>58</v>
      </c>
      <c r="R1015" s="11" t="str">
        <f>HYPERLINK("\\imagefiles.bcgov\imagery\scanned_maps\moe_terrain_maps\Scanned_T_maps_all\I14\I14-3119","\\imagefiles.bcgov\imagery\scanned_maps\moe_terrain_maps\Scanned_T_maps_all\I14\I14-3119")</f>
        <v>\\imagefiles.bcgov\imagery\scanned_maps\moe_terrain_maps\Scanned_T_maps_all\I14\I14-3119</v>
      </c>
      <c r="S1015" t="s">
        <v>62</v>
      </c>
      <c r="T1015" s="11" t="str">
        <f>HYPERLINK("http://www.env.gov.bc.ca/esd/distdata/ecosystems/TEI_Scanned_Maps/I14/I14-3119","http://www.env.gov.bc.ca/esd/distdata/ecosystems/TEI_Scanned_Maps/I14/I14-3119")</f>
        <v>http://www.env.gov.bc.ca/esd/distdata/ecosystems/TEI_Scanned_Maps/I14/I14-3119</v>
      </c>
      <c r="U1015" t="s">
        <v>58</v>
      </c>
      <c r="V1015" t="s">
        <v>58</v>
      </c>
      <c r="W1015" t="s">
        <v>58</v>
      </c>
      <c r="X1015" t="s">
        <v>58</v>
      </c>
      <c r="Y1015" t="s">
        <v>58</v>
      </c>
      <c r="Z1015" t="s">
        <v>58</v>
      </c>
      <c r="AA1015" t="s">
        <v>58</v>
      </c>
      <c r="AC1015" t="s">
        <v>58</v>
      </c>
      <c r="AE1015" t="s">
        <v>58</v>
      </c>
      <c r="AG1015" t="s">
        <v>63</v>
      </c>
      <c r="AH1015" s="11" t="str">
        <f t="shared" si="18"/>
        <v>mailto: soilterrain@victoria1.gov.bc.ca</v>
      </c>
    </row>
    <row r="1016" spans="1:34">
      <c r="A1016" t="s">
        <v>2445</v>
      </c>
      <c r="B1016" t="s">
        <v>56</v>
      </c>
      <c r="C1016" s="10" t="s">
        <v>1064</v>
      </c>
      <c r="D1016" t="s">
        <v>58</v>
      </c>
      <c r="E1016" t="s">
        <v>497</v>
      </c>
      <c r="F1016" t="s">
        <v>2446</v>
      </c>
      <c r="G1016">
        <v>50000</v>
      </c>
      <c r="H1016">
        <v>1979</v>
      </c>
      <c r="I1016" t="s">
        <v>58</v>
      </c>
      <c r="J1016" t="s">
        <v>58</v>
      </c>
      <c r="K1016" t="s">
        <v>58</v>
      </c>
      <c r="L1016" t="s">
        <v>58</v>
      </c>
      <c r="M1016" t="s">
        <v>58</v>
      </c>
      <c r="N1016" t="s">
        <v>61</v>
      </c>
      <c r="Q1016" t="s">
        <v>58</v>
      </c>
      <c r="R1016" s="11" t="str">
        <f>HYPERLINK("\\imagefiles.bcgov\imagery\scanned_maps\moe_terrain_maps\Scanned_T_maps_all\I14\I14-3120","\\imagefiles.bcgov\imagery\scanned_maps\moe_terrain_maps\Scanned_T_maps_all\I14\I14-3120")</f>
        <v>\\imagefiles.bcgov\imagery\scanned_maps\moe_terrain_maps\Scanned_T_maps_all\I14\I14-3120</v>
      </c>
      <c r="S1016" t="s">
        <v>62</v>
      </c>
      <c r="T1016" s="11" t="str">
        <f>HYPERLINK("http://www.env.gov.bc.ca/esd/distdata/ecosystems/TEI_Scanned_Maps/I14/I14-3120","http://www.env.gov.bc.ca/esd/distdata/ecosystems/TEI_Scanned_Maps/I14/I14-3120")</f>
        <v>http://www.env.gov.bc.ca/esd/distdata/ecosystems/TEI_Scanned_Maps/I14/I14-3120</v>
      </c>
      <c r="U1016" t="s">
        <v>58</v>
      </c>
      <c r="V1016" t="s">
        <v>58</v>
      </c>
      <c r="W1016" t="s">
        <v>58</v>
      </c>
      <c r="X1016" t="s">
        <v>58</v>
      </c>
      <c r="Y1016" t="s">
        <v>58</v>
      </c>
      <c r="Z1016" t="s">
        <v>58</v>
      </c>
      <c r="AA1016" t="s">
        <v>58</v>
      </c>
      <c r="AC1016" t="s">
        <v>58</v>
      </c>
      <c r="AE1016" t="s">
        <v>58</v>
      </c>
      <c r="AG1016" t="s">
        <v>63</v>
      </c>
      <c r="AH1016" s="11" t="str">
        <f t="shared" si="18"/>
        <v>mailto: soilterrain@victoria1.gov.bc.ca</v>
      </c>
    </row>
    <row r="1017" spans="1:34">
      <c r="A1017" t="s">
        <v>2447</v>
      </c>
      <c r="B1017" t="s">
        <v>56</v>
      </c>
      <c r="C1017" s="10" t="s">
        <v>1066</v>
      </c>
      <c r="D1017" t="s">
        <v>58</v>
      </c>
      <c r="E1017" t="s">
        <v>497</v>
      </c>
      <c r="F1017" t="s">
        <v>2448</v>
      </c>
      <c r="G1017">
        <v>50000</v>
      </c>
      <c r="H1017">
        <v>1979</v>
      </c>
      <c r="I1017" t="s">
        <v>58</v>
      </c>
      <c r="J1017" t="s">
        <v>58</v>
      </c>
      <c r="K1017" t="s">
        <v>58</v>
      </c>
      <c r="L1017" t="s">
        <v>58</v>
      </c>
      <c r="M1017" t="s">
        <v>58</v>
      </c>
      <c r="N1017" t="s">
        <v>61</v>
      </c>
      <c r="Q1017" t="s">
        <v>58</v>
      </c>
      <c r="R1017" s="11" t="str">
        <f>HYPERLINK("\\imagefiles.bcgov\imagery\scanned_maps\moe_terrain_maps\Scanned_T_maps_all\I14\I14-3121","\\imagefiles.bcgov\imagery\scanned_maps\moe_terrain_maps\Scanned_T_maps_all\I14\I14-3121")</f>
        <v>\\imagefiles.bcgov\imagery\scanned_maps\moe_terrain_maps\Scanned_T_maps_all\I14\I14-3121</v>
      </c>
      <c r="S1017" t="s">
        <v>62</v>
      </c>
      <c r="T1017" s="11" t="str">
        <f>HYPERLINK("http://www.env.gov.bc.ca/esd/distdata/ecosystems/TEI_Scanned_Maps/I14/I14-3121","http://www.env.gov.bc.ca/esd/distdata/ecosystems/TEI_Scanned_Maps/I14/I14-3121")</f>
        <v>http://www.env.gov.bc.ca/esd/distdata/ecosystems/TEI_Scanned_Maps/I14/I14-3121</v>
      </c>
      <c r="U1017" t="s">
        <v>58</v>
      </c>
      <c r="V1017" t="s">
        <v>58</v>
      </c>
      <c r="W1017" t="s">
        <v>58</v>
      </c>
      <c r="X1017" t="s">
        <v>58</v>
      </c>
      <c r="Y1017" t="s">
        <v>58</v>
      </c>
      <c r="Z1017" t="s">
        <v>58</v>
      </c>
      <c r="AA1017" t="s">
        <v>58</v>
      </c>
      <c r="AC1017" t="s">
        <v>58</v>
      </c>
      <c r="AE1017" t="s">
        <v>58</v>
      </c>
      <c r="AG1017" t="s">
        <v>63</v>
      </c>
      <c r="AH1017" s="11" t="str">
        <f t="shared" si="18"/>
        <v>mailto: soilterrain@victoria1.gov.bc.ca</v>
      </c>
    </row>
    <row r="1018" spans="1:34">
      <c r="A1018" t="s">
        <v>2449</v>
      </c>
      <c r="B1018" t="s">
        <v>56</v>
      </c>
      <c r="C1018" s="10" t="s">
        <v>1068</v>
      </c>
      <c r="D1018" t="s">
        <v>58</v>
      </c>
      <c r="E1018" t="s">
        <v>497</v>
      </c>
      <c r="F1018" t="s">
        <v>2450</v>
      </c>
      <c r="G1018">
        <v>50000</v>
      </c>
      <c r="H1018">
        <v>1979</v>
      </c>
      <c r="I1018" t="s">
        <v>58</v>
      </c>
      <c r="J1018" t="s">
        <v>58</v>
      </c>
      <c r="K1018" t="s">
        <v>58</v>
      </c>
      <c r="L1018" t="s">
        <v>58</v>
      </c>
      <c r="M1018" t="s">
        <v>58</v>
      </c>
      <c r="N1018" t="s">
        <v>61</v>
      </c>
      <c r="Q1018" t="s">
        <v>58</v>
      </c>
      <c r="R1018" s="11" t="str">
        <f>HYPERLINK("\\imagefiles.bcgov\imagery\scanned_maps\moe_terrain_maps\Scanned_T_maps_all\I14\I14-3122","\\imagefiles.bcgov\imagery\scanned_maps\moe_terrain_maps\Scanned_T_maps_all\I14\I14-3122")</f>
        <v>\\imagefiles.bcgov\imagery\scanned_maps\moe_terrain_maps\Scanned_T_maps_all\I14\I14-3122</v>
      </c>
      <c r="S1018" t="s">
        <v>62</v>
      </c>
      <c r="T1018" s="11" t="str">
        <f>HYPERLINK("http://www.env.gov.bc.ca/esd/distdata/ecosystems/TEI_Scanned_Maps/I14/I14-3122","http://www.env.gov.bc.ca/esd/distdata/ecosystems/TEI_Scanned_Maps/I14/I14-3122")</f>
        <v>http://www.env.gov.bc.ca/esd/distdata/ecosystems/TEI_Scanned_Maps/I14/I14-3122</v>
      </c>
      <c r="U1018" t="s">
        <v>58</v>
      </c>
      <c r="V1018" t="s">
        <v>58</v>
      </c>
      <c r="W1018" t="s">
        <v>58</v>
      </c>
      <c r="X1018" t="s">
        <v>58</v>
      </c>
      <c r="Y1018" t="s">
        <v>58</v>
      </c>
      <c r="Z1018" t="s">
        <v>58</v>
      </c>
      <c r="AA1018" t="s">
        <v>58</v>
      </c>
      <c r="AC1018" t="s">
        <v>58</v>
      </c>
      <c r="AE1018" t="s">
        <v>58</v>
      </c>
      <c r="AG1018" t="s">
        <v>63</v>
      </c>
      <c r="AH1018" s="11" t="str">
        <f t="shared" si="18"/>
        <v>mailto: soilterrain@victoria1.gov.bc.ca</v>
      </c>
    </row>
    <row r="1019" spans="1:34">
      <c r="A1019" t="s">
        <v>2451</v>
      </c>
      <c r="B1019" t="s">
        <v>56</v>
      </c>
      <c r="C1019" s="10" t="s">
        <v>1070</v>
      </c>
      <c r="D1019" t="s">
        <v>58</v>
      </c>
      <c r="E1019" t="s">
        <v>497</v>
      </c>
      <c r="F1019" t="s">
        <v>2452</v>
      </c>
      <c r="G1019">
        <v>50000</v>
      </c>
      <c r="H1019">
        <v>1979</v>
      </c>
      <c r="I1019" t="s">
        <v>58</v>
      </c>
      <c r="J1019" t="s">
        <v>58</v>
      </c>
      <c r="K1019" t="s">
        <v>58</v>
      </c>
      <c r="L1019" t="s">
        <v>58</v>
      </c>
      <c r="M1019" t="s">
        <v>58</v>
      </c>
      <c r="N1019" t="s">
        <v>61</v>
      </c>
      <c r="Q1019" t="s">
        <v>58</v>
      </c>
      <c r="R1019" s="11" t="str">
        <f>HYPERLINK("\\imagefiles.bcgov\imagery\scanned_maps\moe_terrain_maps\Scanned_T_maps_all\I14\I14-3123","\\imagefiles.bcgov\imagery\scanned_maps\moe_terrain_maps\Scanned_T_maps_all\I14\I14-3123")</f>
        <v>\\imagefiles.bcgov\imagery\scanned_maps\moe_terrain_maps\Scanned_T_maps_all\I14\I14-3123</v>
      </c>
      <c r="S1019" t="s">
        <v>62</v>
      </c>
      <c r="T1019" s="11" t="str">
        <f>HYPERLINK("http://www.env.gov.bc.ca/esd/distdata/ecosystems/TEI_Scanned_Maps/I14/I14-3123","http://www.env.gov.bc.ca/esd/distdata/ecosystems/TEI_Scanned_Maps/I14/I14-3123")</f>
        <v>http://www.env.gov.bc.ca/esd/distdata/ecosystems/TEI_Scanned_Maps/I14/I14-3123</v>
      </c>
      <c r="U1019" t="s">
        <v>58</v>
      </c>
      <c r="V1019" t="s">
        <v>58</v>
      </c>
      <c r="W1019" t="s">
        <v>58</v>
      </c>
      <c r="X1019" t="s">
        <v>58</v>
      </c>
      <c r="Y1019" t="s">
        <v>58</v>
      </c>
      <c r="Z1019" t="s">
        <v>58</v>
      </c>
      <c r="AA1019" t="s">
        <v>58</v>
      </c>
      <c r="AC1019" t="s">
        <v>58</v>
      </c>
      <c r="AE1019" t="s">
        <v>58</v>
      </c>
      <c r="AG1019" t="s">
        <v>63</v>
      </c>
      <c r="AH1019" s="11" t="str">
        <f t="shared" si="18"/>
        <v>mailto: soilterrain@victoria1.gov.bc.ca</v>
      </c>
    </row>
    <row r="1020" spans="1:34">
      <c r="A1020" t="s">
        <v>2453</v>
      </c>
      <c r="B1020" t="s">
        <v>56</v>
      </c>
      <c r="C1020" s="10" t="s">
        <v>68</v>
      </c>
      <c r="D1020" t="s">
        <v>58</v>
      </c>
      <c r="E1020" t="s">
        <v>497</v>
      </c>
      <c r="F1020" t="s">
        <v>2454</v>
      </c>
      <c r="G1020">
        <v>50000</v>
      </c>
      <c r="H1020">
        <v>1979</v>
      </c>
      <c r="I1020" t="s">
        <v>58</v>
      </c>
      <c r="J1020" t="s">
        <v>58</v>
      </c>
      <c r="K1020" t="s">
        <v>58</v>
      </c>
      <c r="L1020" t="s">
        <v>58</v>
      </c>
      <c r="M1020" t="s">
        <v>58</v>
      </c>
      <c r="N1020" t="s">
        <v>61</v>
      </c>
      <c r="Q1020" t="s">
        <v>58</v>
      </c>
      <c r="R1020" s="11" t="str">
        <f>HYPERLINK("\\imagefiles.bcgov\imagery\scanned_maps\moe_terrain_maps\Scanned_T_maps_all\I14\I14-3124","\\imagefiles.bcgov\imagery\scanned_maps\moe_terrain_maps\Scanned_T_maps_all\I14\I14-3124")</f>
        <v>\\imagefiles.bcgov\imagery\scanned_maps\moe_terrain_maps\Scanned_T_maps_all\I14\I14-3124</v>
      </c>
      <c r="S1020" t="s">
        <v>62</v>
      </c>
      <c r="T1020" s="11" t="str">
        <f>HYPERLINK("http://www.env.gov.bc.ca/esd/distdata/ecosystems/TEI_Scanned_Maps/I14/I14-3124","http://www.env.gov.bc.ca/esd/distdata/ecosystems/TEI_Scanned_Maps/I14/I14-3124")</f>
        <v>http://www.env.gov.bc.ca/esd/distdata/ecosystems/TEI_Scanned_Maps/I14/I14-3124</v>
      </c>
      <c r="U1020" t="s">
        <v>58</v>
      </c>
      <c r="V1020" t="s">
        <v>58</v>
      </c>
      <c r="W1020" t="s">
        <v>58</v>
      </c>
      <c r="X1020" t="s">
        <v>58</v>
      </c>
      <c r="Y1020" t="s">
        <v>58</v>
      </c>
      <c r="Z1020" t="s">
        <v>58</v>
      </c>
      <c r="AA1020" t="s">
        <v>58</v>
      </c>
      <c r="AC1020" t="s">
        <v>58</v>
      </c>
      <c r="AE1020" t="s">
        <v>58</v>
      </c>
      <c r="AG1020" t="s">
        <v>63</v>
      </c>
      <c r="AH1020" s="11" t="str">
        <f t="shared" si="18"/>
        <v>mailto: soilterrain@victoria1.gov.bc.ca</v>
      </c>
    </row>
    <row r="1021" spans="1:34">
      <c r="A1021" t="s">
        <v>2455</v>
      </c>
      <c r="B1021" t="s">
        <v>56</v>
      </c>
      <c r="C1021" s="10" t="s">
        <v>107</v>
      </c>
      <c r="D1021" t="s">
        <v>58</v>
      </c>
      <c r="E1021" t="s">
        <v>497</v>
      </c>
      <c r="F1021" t="s">
        <v>2456</v>
      </c>
      <c r="G1021">
        <v>50000</v>
      </c>
      <c r="H1021">
        <v>1979</v>
      </c>
      <c r="I1021" t="s">
        <v>58</v>
      </c>
      <c r="J1021" t="s">
        <v>58</v>
      </c>
      <c r="K1021" t="s">
        <v>58</v>
      </c>
      <c r="L1021" t="s">
        <v>58</v>
      </c>
      <c r="M1021" t="s">
        <v>58</v>
      </c>
      <c r="N1021" t="s">
        <v>61</v>
      </c>
      <c r="Q1021" t="s">
        <v>58</v>
      </c>
      <c r="R1021" s="11" t="str">
        <f>HYPERLINK("\\imagefiles.bcgov\imagery\scanned_maps\moe_terrain_maps\Scanned_T_maps_all\I14\I14-3125","\\imagefiles.bcgov\imagery\scanned_maps\moe_terrain_maps\Scanned_T_maps_all\I14\I14-3125")</f>
        <v>\\imagefiles.bcgov\imagery\scanned_maps\moe_terrain_maps\Scanned_T_maps_all\I14\I14-3125</v>
      </c>
      <c r="S1021" t="s">
        <v>62</v>
      </c>
      <c r="T1021" s="11" t="str">
        <f>HYPERLINK("http://www.env.gov.bc.ca/esd/distdata/ecosystems/TEI_Scanned_Maps/I14/I14-3125","http://www.env.gov.bc.ca/esd/distdata/ecosystems/TEI_Scanned_Maps/I14/I14-3125")</f>
        <v>http://www.env.gov.bc.ca/esd/distdata/ecosystems/TEI_Scanned_Maps/I14/I14-3125</v>
      </c>
      <c r="U1021" t="s">
        <v>58</v>
      </c>
      <c r="V1021" t="s">
        <v>58</v>
      </c>
      <c r="W1021" t="s">
        <v>58</v>
      </c>
      <c r="X1021" t="s">
        <v>58</v>
      </c>
      <c r="Y1021" t="s">
        <v>58</v>
      </c>
      <c r="Z1021" t="s">
        <v>58</v>
      </c>
      <c r="AA1021" t="s">
        <v>58</v>
      </c>
      <c r="AC1021" t="s">
        <v>58</v>
      </c>
      <c r="AE1021" t="s">
        <v>58</v>
      </c>
      <c r="AG1021" t="s">
        <v>63</v>
      </c>
      <c r="AH1021" s="11" t="str">
        <f t="shared" si="18"/>
        <v>mailto: soilterrain@victoria1.gov.bc.ca</v>
      </c>
    </row>
    <row r="1022" spans="1:34">
      <c r="A1022" t="s">
        <v>2457</v>
      </c>
      <c r="B1022" t="s">
        <v>56</v>
      </c>
      <c r="C1022" s="10" t="s">
        <v>113</v>
      </c>
      <c r="D1022" t="s">
        <v>58</v>
      </c>
      <c r="E1022" t="s">
        <v>497</v>
      </c>
      <c r="F1022" t="s">
        <v>2458</v>
      </c>
      <c r="G1022">
        <v>50000</v>
      </c>
      <c r="H1022">
        <v>1979</v>
      </c>
      <c r="I1022" t="s">
        <v>58</v>
      </c>
      <c r="J1022" t="s">
        <v>58</v>
      </c>
      <c r="K1022" t="s">
        <v>58</v>
      </c>
      <c r="L1022" t="s">
        <v>58</v>
      </c>
      <c r="M1022" t="s">
        <v>58</v>
      </c>
      <c r="N1022" t="s">
        <v>61</v>
      </c>
      <c r="Q1022" t="s">
        <v>58</v>
      </c>
      <c r="R1022" s="11" t="str">
        <f>HYPERLINK("\\imagefiles.bcgov\imagery\scanned_maps\moe_terrain_maps\Scanned_T_maps_all\I14\I14-3126","\\imagefiles.bcgov\imagery\scanned_maps\moe_terrain_maps\Scanned_T_maps_all\I14\I14-3126")</f>
        <v>\\imagefiles.bcgov\imagery\scanned_maps\moe_terrain_maps\Scanned_T_maps_all\I14\I14-3126</v>
      </c>
      <c r="S1022" t="s">
        <v>62</v>
      </c>
      <c r="T1022" s="11" t="str">
        <f>HYPERLINK("http://www.env.gov.bc.ca/esd/distdata/ecosystems/TEI_Scanned_Maps/I14/I14-3126","http://www.env.gov.bc.ca/esd/distdata/ecosystems/TEI_Scanned_Maps/I14/I14-3126")</f>
        <v>http://www.env.gov.bc.ca/esd/distdata/ecosystems/TEI_Scanned_Maps/I14/I14-3126</v>
      </c>
      <c r="U1022" t="s">
        <v>58</v>
      </c>
      <c r="V1022" t="s">
        <v>58</v>
      </c>
      <c r="W1022" t="s">
        <v>58</v>
      </c>
      <c r="X1022" t="s">
        <v>58</v>
      </c>
      <c r="Y1022" t="s">
        <v>58</v>
      </c>
      <c r="Z1022" t="s">
        <v>58</v>
      </c>
      <c r="AA1022" t="s">
        <v>58</v>
      </c>
      <c r="AC1022" t="s">
        <v>58</v>
      </c>
      <c r="AE1022" t="s">
        <v>58</v>
      </c>
      <c r="AG1022" t="s">
        <v>63</v>
      </c>
      <c r="AH1022" s="11" t="str">
        <f t="shared" si="18"/>
        <v>mailto: soilterrain@victoria1.gov.bc.ca</v>
      </c>
    </row>
    <row r="1023" spans="1:34">
      <c r="A1023" t="s">
        <v>2459</v>
      </c>
      <c r="B1023" t="s">
        <v>56</v>
      </c>
      <c r="C1023" s="10" t="s">
        <v>116</v>
      </c>
      <c r="D1023" t="s">
        <v>58</v>
      </c>
      <c r="E1023" t="s">
        <v>497</v>
      </c>
      <c r="F1023" t="s">
        <v>2460</v>
      </c>
      <c r="G1023">
        <v>50000</v>
      </c>
      <c r="H1023">
        <v>1979</v>
      </c>
      <c r="I1023" t="s">
        <v>58</v>
      </c>
      <c r="J1023" t="s">
        <v>58</v>
      </c>
      <c r="K1023" t="s">
        <v>58</v>
      </c>
      <c r="L1023" t="s">
        <v>58</v>
      </c>
      <c r="M1023" t="s">
        <v>58</v>
      </c>
      <c r="N1023" t="s">
        <v>61</v>
      </c>
      <c r="Q1023" t="s">
        <v>58</v>
      </c>
      <c r="R1023" s="11" t="str">
        <f>HYPERLINK("\\imagefiles.bcgov\imagery\scanned_maps\moe_terrain_maps\Scanned_T_maps_all\I14\I14-3127","\\imagefiles.bcgov\imagery\scanned_maps\moe_terrain_maps\Scanned_T_maps_all\I14\I14-3127")</f>
        <v>\\imagefiles.bcgov\imagery\scanned_maps\moe_terrain_maps\Scanned_T_maps_all\I14\I14-3127</v>
      </c>
      <c r="S1023" t="s">
        <v>62</v>
      </c>
      <c r="T1023" s="11" t="str">
        <f>HYPERLINK("http://www.env.gov.bc.ca/esd/distdata/ecosystems/TEI_Scanned_Maps/I14/I14-3127","http://www.env.gov.bc.ca/esd/distdata/ecosystems/TEI_Scanned_Maps/I14/I14-3127")</f>
        <v>http://www.env.gov.bc.ca/esd/distdata/ecosystems/TEI_Scanned_Maps/I14/I14-3127</v>
      </c>
      <c r="U1023" t="s">
        <v>58</v>
      </c>
      <c r="V1023" t="s">
        <v>58</v>
      </c>
      <c r="W1023" t="s">
        <v>58</v>
      </c>
      <c r="X1023" t="s">
        <v>58</v>
      </c>
      <c r="Y1023" t="s">
        <v>58</v>
      </c>
      <c r="Z1023" t="s">
        <v>58</v>
      </c>
      <c r="AA1023" t="s">
        <v>58</v>
      </c>
      <c r="AC1023" t="s">
        <v>58</v>
      </c>
      <c r="AE1023" t="s">
        <v>58</v>
      </c>
      <c r="AG1023" t="s">
        <v>63</v>
      </c>
      <c r="AH1023" s="11" t="str">
        <f t="shared" si="18"/>
        <v>mailto: soilterrain@victoria1.gov.bc.ca</v>
      </c>
    </row>
    <row r="1024" spans="1:34">
      <c r="A1024" t="s">
        <v>2461</v>
      </c>
      <c r="B1024" t="s">
        <v>56</v>
      </c>
      <c r="C1024" s="10" t="s">
        <v>1082</v>
      </c>
      <c r="D1024" t="s">
        <v>58</v>
      </c>
      <c r="E1024" t="s">
        <v>497</v>
      </c>
      <c r="F1024" t="s">
        <v>2462</v>
      </c>
      <c r="G1024">
        <v>50000</v>
      </c>
      <c r="H1024">
        <v>1979</v>
      </c>
      <c r="I1024" t="s">
        <v>58</v>
      </c>
      <c r="J1024" t="s">
        <v>58</v>
      </c>
      <c r="K1024" t="s">
        <v>58</v>
      </c>
      <c r="L1024" t="s">
        <v>58</v>
      </c>
      <c r="M1024" t="s">
        <v>58</v>
      </c>
      <c r="N1024" t="s">
        <v>61</v>
      </c>
      <c r="Q1024" t="s">
        <v>58</v>
      </c>
      <c r="R1024" s="11" t="str">
        <f>HYPERLINK("\\imagefiles.bcgov\imagery\scanned_maps\moe_terrain_maps\Scanned_T_maps_all\I14\I14-3128","\\imagefiles.bcgov\imagery\scanned_maps\moe_terrain_maps\Scanned_T_maps_all\I14\I14-3128")</f>
        <v>\\imagefiles.bcgov\imagery\scanned_maps\moe_terrain_maps\Scanned_T_maps_all\I14\I14-3128</v>
      </c>
      <c r="S1024" t="s">
        <v>62</v>
      </c>
      <c r="T1024" s="11" t="str">
        <f>HYPERLINK("http://www.env.gov.bc.ca/esd/distdata/ecosystems/TEI_Scanned_Maps/I14/I14-3128","http://www.env.gov.bc.ca/esd/distdata/ecosystems/TEI_Scanned_Maps/I14/I14-3128")</f>
        <v>http://www.env.gov.bc.ca/esd/distdata/ecosystems/TEI_Scanned_Maps/I14/I14-3128</v>
      </c>
      <c r="U1024" t="s">
        <v>58</v>
      </c>
      <c r="V1024" t="s">
        <v>58</v>
      </c>
      <c r="W1024" t="s">
        <v>58</v>
      </c>
      <c r="X1024" t="s">
        <v>58</v>
      </c>
      <c r="Y1024" t="s">
        <v>58</v>
      </c>
      <c r="Z1024" t="s">
        <v>58</v>
      </c>
      <c r="AA1024" t="s">
        <v>58</v>
      </c>
      <c r="AC1024" t="s">
        <v>58</v>
      </c>
      <c r="AE1024" t="s">
        <v>58</v>
      </c>
      <c r="AG1024" t="s">
        <v>63</v>
      </c>
      <c r="AH1024" s="11" t="str">
        <f t="shared" si="18"/>
        <v>mailto: soilterrain@victoria1.gov.bc.ca</v>
      </c>
    </row>
    <row r="1025" spans="1:34">
      <c r="A1025" t="s">
        <v>2463</v>
      </c>
      <c r="B1025" t="s">
        <v>56</v>
      </c>
      <c r="C1025" s="10" t="s">
        <v>1086</v>
      </c>
      <c r="D1025" t="s">
        <v>58</v>
      </c>
      <c r="E1025" t="s">
        <v>497</v>
      </c>
      <c r="F1025" t="s">
        <v>2464</v>
      </c>
      <c r="G1025">
        <v>50000</v>
      </c>
      <c r="H1025">
        <v>1979</v>
      </c>
      <c r="I1025" t="s">
        <v>58</v>
      </c>
      <c r="J1025" t="s">
        <v>58</v>
      </c>
      <c r="K1025" t="s">
        <v>58</v>
      </c>
      <c r="L1025" t="s">
        <v>58</v>
      </c>
      <c r="M1025" t="s">
        <v>58</v>
      </c>
      <c r="N1025" t="s">
        <v>61</v>
      </c>
      <c r="Q1025" t="s">
        <v>58</v>
      </c>
      <c r="R1025" s="11" t="str">
        <f>HYPERLINK("\\imagefiles.bcgov\imagery\scanned_maps\moe_terrain_maps\Scanned_T_maps_all\I14\I14-3129","\\imagefiles.bcgov\imagery\scanned_maps\moe_terrain_maps\Scanned_T_maps_all\I14\I14-3129")</f>
        <v>\\imagefiles.bcgov\imagery\scanned_maps\moe_terrain_maps\Scanned_T_maps_all\I14\I14-3129</v>
      </c>
      <c r="S1025" t="s">
        <v>62</v>
      </c>
      <c r="T1025" s="11" t="str">
        <f>HYPERLINK("http://www.env.gov.bc.ca/esd/distdata/ecosystems/TEI_Scanned_Maps/I14/I14-3129","http://www.env.gov.bc.ca/esd/distdata/ecosystems/TEI_Scanned_Maps/I14/I14-3129")</f>
        <v>http://www.env.gov.bc.ca/esd/distdata/ecosystems/TEI_Scanned_Maps/I14/I14-3129</v>
      </c>
      <c r="U1025" t="s">
        <v>58</v>
      </c>
      <c r="V1025" t="s">
        <v>58</v>
      </c>
      <c r="W1025" t="s">
        <v>58</v>
      </c>
      <c r="X1025" t="s">
        <v>58</v>
      </c>
      <c r="Y1025" t="s">
        <v>58</v>
      </c>
      <c r="Z1025" t="s">
        <v>58</v>
      </c>
      <c r="AA1025" t="s">
        <v>58</v>
      </c>
      <c r="AC1025" t="s">
        <v>58</v>
      </c>
      <c r="AE1025" t="s">
        <v>58</v>
      </c>
      <c r="AG1025" t="s">
        <v>63</v>
      </c>
      <c r="AH1025" s="11" t="str">
        <f t="shared" si="18"/>
        <v>mailto: soilterrain@victoria1.gov.bc.ca</v>
      </c>
    </row>
    <row r="1026" spans="1:34">
      <c r="A1026" t="s">
        <v>2465</v>
      </c>
      <c r="B1026" t="s">
        <v>56</v>
      </c>
      <c r="C1026" s="10" t="s">
        <v>1088</v>
      </c>
      <c r="D1026" t="s">
        <v>58</v>
      </c>
      <c r="E1026" t="s">
        <v>497</v>
      </c>
      <c r="F1026" t="s">
        <v>2466</v>
      </c>
      <c r="G1026">
        <v>50000</v>
      </c>
      <c r="H1026">
        <v>1979</v>
      </c>
      <c r="I1026" t="s">
        <v>58</v>
      </c>
      <c r="J1026" t="s">
        <v>58</v>
      </c>
      <c r="K1026" t="s">
        <v>58</v>
      </c>
      <c r="L1026" t="s">
        <v>58</v>
      </c>
      <c r="M1026" t="s">
        <v>58</v>
      </c>
      <c r="N1026" t="s">
        <v>61</v>
      </c>
      <c r="Q1026" t="s">
        <v>58</v>
      </c>
      <c r="R1026" s="11" t="str">
        <f>HYPERLINK("\\imagefiles.bcgov\imagery\scanned_maps\moe_terrain_maps\Scanned_T_maps_all\I14\I14-3130","\\imagefiles.bcgov\imagery\scanned_maps\moe_terrain_maps\Scanned_T_maps_all\I14\I14-3130")</f>
        <v>\\imagefiles.bcgov\imagery\scanned_maps\moe_terrain_maps\Scanned_T_maps_all\I14\I14-3130</v>
      </c>
      <c r="S1026" t="s">
        <v>62</v>
      </c>
      <c r="T1026" s="11" t="str">
        <f>HYPERLINK("http://www.env.gov.bc.ca/esd/distdata/ecosystems/TEI_Scanned_Maps/I14/I14-3130","http://www.env.gov.bc.ca/esd/distdata/ecosystems/TEI_Scanned_Maps/I14/I14-3130")</f>
        <v>http://www.env.gov.bc.ca/esd/distdata/ecosystems/TEI_Scanned_Maps/I14/I14-3130</v>
      </c>
      <c r="U1026" t="s">
        <v>58</v>
      </c>
      <c r="V1026" t="s">
        <v>58</v>
      </c>
      <c r="W1026" t="s">
        <v>58</v>
      </c>
      <c r="X1026" t="s">
        <v>58</v>
      </c>
      <c r="Y1026" t="s">
        <v>58</v>
      </c>
      <c r="Z1026" t="s">
        <v>58</v>
      </c>
      <c r="AA1026" t="s">
        <v>58</v>
      </c>
      <c r="AC1026" t="s">
        <v>58</v>
      </c>
      <c r="AE1026" t="s">
        <v>58</v>
      </c>
      <c r="AG1026" t="s">
        <v>63</v>
      </c>
      <c r="AH1026" s="11" t="str">
        <f t="shared" ref="AH1026:AH1089" si="19">HYPERLINK("mailto: soilterrain@victoria1.gov.bc.ca","mailto: soilterrain@victoria1.gov.bc.ca")</f>
        <v>mailto: soilterrain@victoria1.gov.bc.ca</v>
      </c>
    </row>
    <row r="1027" spans="1:34">
      <c r="A1027" t="s">
        <v>2467</v>
      </c>
      <c r="B1027" t="s">
        <v>56</v>
      </c>
      <c r="C1027" s="10" t="s">
        <v>1090</v>
      </c>
      <c r="D1027" t="s">
        <v>58</v>
      </c>
      <c r="E1027" t="s">
        <v>497</v>
      </c>
      <c r="F1027" t="s">
        <v>2468</v>
      </c>
      <c r="G1027">
        <v>50000</v>
      </c>
      <c r="H1027">
        <v>1979</v>
      </c>
      <c r="I1027" t="s">
        <v>58</v>
      </c>
      <c r="J1027" t="s">
        <v>58</v>
      </c>
      <c r="K1027" t="s">
        <v>58</v>
      </c>
      <c r="L1027" t="s">
        <v>58</v>
      </c>
      <c r="M1027" t="s">
        <v>58</v>
      </c>
      <c r="N1027" t="s">
        <v>61</v>
      </c>
      <c r="Q1027" t="s">
        <v>58</v>
      </c>
      <c r="R1027" s="11" t="str">
        <f>HYPERLINK("\\imagefiles.bcgov\imagery\scanned_maps\moe_terrain_maps\Scanned_T_maps_all\I14\I14-3131","\\imagefiles.bcgov\imagery\scanned_maps\moe_terrain_maps\Scanned_T_maps_all\I14\I14-3131")</f>
        <v>\\imagefiles.bcgov\imagery\scanned_maps\moe_terrain_maps\Scanned_T_maps_all\I14\I14-3131</v>
      </c>
      <c r="S1027" t="s">
        <v>62</v>
      </c>
      <c r="T1027" s="11" t="str">
        <f>HYPERLINK("http://www.env.gov.bc.ca/esd/distdata/ecosystems/TEI_Scanned_Maps/I14/I14-3131","http://www.env.gov.bc.ca/esd/distdata/ecosystems/TEI_Scanned_Maps/I14/I14-3131")</f>
        <v>http://www.env.gov.bc.ca/esd/distdata/ecosystems/TEI_Scanned_Maps/I14/I14-3131</v>
      </c>
      <c r="U1027" t="s">
        <v>58</v>
      </c>
      <c r="V1027" t="s">
        <v>58</v>
      </c>
      <c r="W1027" t="s">
        <v>58</v>
      </c>
      <c r="X1027" t="s">
        <v>58</v>
      </c>
      <c r="Y1027" t="s">
        <v>58</v>
      </c>
      <c r="Z1027" t="s">
        <v>58</v>
      </c>
      <c r="AA1027" t="s">
        <v>58</v>
      </c>
      <c r="AC1027" t="s">
        <v>58</v>
      </c>
      <c r="AE1027" t="s">
        <v>58</v>
      </c>
      <c r="AG1027" t="s">
        <v>63</v>
      </c>
      <c r="AH1027" s="11" t="str">
        <f t="shared" si="19"/>
        <v>mailto: soilterrain@victoria1.gov.bc.ca</v>
      </c>
    </row>
    <row r="1028" spans="1:34">
      <c r="A1028" t="s">
        <v>2469</v>
      </c>
      <c r="B1028" t="s">
        <v>56</v>
      </c>
      <c r="C1028" s="10" t="s">
        <v>1132</v>
      </c>
      <c r="D1028" t="s">
        <v>58</v>
      </c>
      <c r="E1028" t="s">
        <v>497</v>
      </c>
      <c r="F1028" t="s">
        <v>2470</v>
      </c>
      <c r="G1028">
        <v>50000</v>
      </c>
      <c r="H1028">
        <v>1979</v>
      </c>
      <c r="I1028" t="s">
        <v>58</v>
      </c>
      <c r="J1028" t="s">
        <v>58</v>
      </c>
      <c r="K1028" t="s">
        <v>58</v>
      </c>
      <c r="L1028" t="s">
        <v>58</v>
      </c>
      <c r="M1028" t="s">
        <v>58</v>
      </c>
      <c r="N1028" t="s">
        <v>61</v>
      </c>
      <c r="Q1028" t="s">
        <v>58</v>
      </c>
      <c r="R1028" s="11" t="str">
        <f>HYPERLINK("\\imagefiles.bcgov\imagery\scanned_maps\moe_terrain_maps\Scanned_T_maps_all\I14\I14-3147","\\imagefiles.bcgov\imagery\scanned_maps\moe_terrain_maps\Scanned_T_maps_all\I14\I14-3147")</f>
        <v>\\imagefiles.bcgov\imagery\scanned_maps\moe_terrain_maps\Scanned_T_maps_all\I14\I14-3147</v>
      </c>
      <c r="S1028" t="s">
        <v>62</v>
      </c>
      <c r="T1028" s="11" t="str">
        <f>HYPERLINK("http://www.env.gov.bc.ca/esd/distdata/ecosystems/TEI_Scanned_Maps/I14/I14-3147","http://www.env.gov.bc.ca/esd/distdata/ecosystems/TEI_Scanned_Maps/I14/I14-3147")</f>
        <v>http://www.env.gov.bc.ca/esd/distdata/ecosystems/TEI_Scanned_Maps/I14/I14-3147</v>
      </c>
      <c r="U1028" t="s">
        <v>58</v>
      </c>
      <c r="V1028" t="s">
        <v>58</v>
      </c>
      <c r="W1028" t="s">
        <v>58</v>
      </c>
      <c r="X1028" t="s">
        <v>58</v>
      </c>
      <c r="Y1028" t="s">
        <v>58</v>
      </c>
      <c r="Z1028" t="s">
        <v>58</v>
      </c>
      <c r="AA1028" t="s">
        <v>58</v>
      </c>
      <c r="AC1028" t="s">
        <v>58</v>
      </c>
      <c r="AE1028" t="s">
        <v>58</v>
      </c>
      <c r="AG1028" t="s">
        <v>63</v>
      </c>
      <c r="AH1028" s="11" t="str">
        <f t="shared" si="19"/>
        <v>mailto: soilterrain@victoria1.gov.bc.ca</v>
      </c>
    </row>
    <row r="1029" spans="1:34">
      <c r="A1029" t="s">
        <v>2471</v>
      </c>
      <c r="B1029" t="s">
        <v>56</v>
      </c>
      <c r="C1029" s="10" t="s">
        <v>1134</v>
      </c>
      <c r="D1029" t="s">
        <v>58</v>
      </c>
      <c r="E1029" t="s">
        <v>497</v>
      </c>
      <c r="F1029" t="s">
        <v>2472</v>
      </c>
      <c r="G1029">
        <v>50000</v>
      </c>
      <c r="H1029">
        <v>1979</v>
      </c>
      <c r="I1029" t="s">
        <v>58</v>
      </c>
      <c r="J1029" t="s">
        <v>58</v>
      </c>
      <c r="K1029" t="s">
        <v>58</v>
      </c>
      <c r="L1029" t="s">
        <v>58</v>
      </c>
      <c r="M1029" t="s">
        <v>58</v>
      </c>
      <c r="N1029" t="s">
        <v>61</v>
      </c>
      <c r="Q1029" t="s">
        <v>58</v>
      </c>
      <c r="R1029" s="11" t="str">
        <f>HYPERLINK("\\imagefiles.bcgov\imagery\scanned_maps\moe_terrain_maps\Scanned_T_maps_all\I14\I14-3148","\\imagefiles.bcgov\imagery\scanned_maps\moe_terrain_maps\Scanned_T_maps_all\I14\I14-3148")</f>
        <v>\\imagefiles.bcgov\imagery\scanned_maps\moe_terrain_maps\Scanned_T_maps_all\I14\I14-3148</v>
      </c>
      <c r="S1029" t="s">
        <v>62</v>
      </c>
      <c r="T1029" s="11" t="str">
        <f>HYPERLINK("http://www.env.gov.bc.ca/esd/distdata/ecosystems/TEI_Scanned_Maps/I14/I14-3148","http://www.env.gov.bc.ca/esd/distdata/ecosystems/TEI_Scanned_Maps/I14/I14-3148")</f>
        <v>http://www.env.gov.bc.ca/esd/distdata/ecosystems/TEI_Scanned_Maps/I14/I14-3148</v>
      </c>
      <c r="U1029" t="s">
        <v>58</v>
      </c>
      <c r="V1029" t="s">
        <v>58</v>
      </c>
      <c r="W1029" t="s">
        <v>58</v>
      </c>
      <c r="X1029" t="s">
        <v>58</v>
      </c>
      <c r="Y1029" t="s">
        <v>58</v>
      </c>
      <c r="Z1029" t="s">
        <v>58</v>
      </c>
      <c r="AA1029" t="s">
        <v>58</v>
      </c>
      <c r="AC1029" t="s">
        <v>58</v>
      </c>
      <c r="AE1029" t="s">
        <v>58</v>
      </c>
      <c r="AG1029" t="s">
        <v>63</v>
      </c>
      <c r="AH1029" s="11" t="str">
        <f t="shared" si="19"/>
        <v>mailto: soilterrain@victoria1.gov.bc.ca</v>
      </c>
    </row>
    <row r="1030" spans="1:34">
      <c r="A1030" t="s">
        <v>2473</v>
      </c>
      <c r="B1030" t="s">
        <v>56</v>
      </c>
      <c r="C1030" s="10" t="s">
        <v>1141</v>
      </c>
      <c r="D1030" t="s">
        <v>58</v>
      </c>
      <c r="E1030" t="s">
        <v>497</v>
      </c>
      <c r="F1030" t="s">
        <v>2474</v>
      </c>
      <c r="G1030">
        <v>50000</v>
      </c>
      <c r="H1030">
        <v>1979</v>
      </c>
      <c r="I1030" t="s">
        <v>58</v>
      </c>
      <c r="J1030" t="s">
        <v>58</v>
      </c>
      <c r="K1030" t="s">
        <v>58</v>
      </c>
      <c r="L1030" t="s">
        <v>58</v>
      </c>
      <c r="M1030" t="s">
        <v>58</v>
      </c>
      <c r="N1030" t="s">
        <v>61</v>
      </c>
      <c r="Q1030" t="s">
        <v>58</v>
      </c>
      <c r="R1030" s="11" t="str">
        <f>HYPERLINK("\\imagefiles.bcgov\imagery\scanned_maps\moe_terrain_maps\Scanned_T_maps_all\I14\I14-3149","\\imagefiles.bcgov\imagery\scanned_maps\moe_terrain_maps\Scanned_T_maps_all\I14\I14-3149")</f>
        <v>\\imagefiles.bcgov\imagery\scanned_maps\moe_terrain_maps\Scanned_T_maps_all\I14\I14-3149</v>
      </c>
      <c r="S1030" t="s">
        <v>62</v>
      </c>
      <c r="T1030" s="11" t="str">
        <f>HYPERLINK("http://www.env.gov.bc.ca/esd/distdata/ecosystems/TEI_Scanned_Maps/I14/I14-3149","http://www.env.gov.bc.ca/esd/distdata/ecosystems/TEI_Scanned_Maps/I14/I14-3149")</f>
        <v>http://www.env.gov.bc.ca/esd/distdata/ecosystems/TEI_Scanned_Maps/I14/I14-3149</v>
      </c>
      <c r="U1030" t="s">
        <v>58</v>
      </c>
      <c r="V1030" t="s">
        <v>58</v>
      </c>
      <c r="W1030" t="s">
        <v>58</v>
      </c>
      <c r="X1030" t="s">
        <v>58</v>
      </c>
      <c r="Y1030" t="s">
        <v>58</v>
      </c>
      <c r="Z1030" t="s">
        <v>58</v>
      </c>
      <c r="AA1030" t="s">
        <v>58</v>
      </c>
      <c r="AC1030" t="s">
        <v>58</v>
      </c>
      <c r="AE1030" t="s">
        <v>58</v>
      </c>
      <c r="AG1030" t="s">
        <v>63</v>
      </c>
      <c r="AH1030" s="11" t="str">
        <f t="shared" si="19"/>
        <v>mailto: soilterrain@victoria1.gov.bc.ca</v>
      </c>
    </row>
    <row r="1031" spans="1:34">
      <c r="A1031" t="s">
        <v>2475</v>
      </c>
      <c r="B1031" t="s">
        <v>56</v>
      </c>
      <c r="C1031" s="10" t="s">
        <v>2023</v>
      </c>
      <c r="D1031" t="s">
        <v>58</v>
      </c>
      <c r="E1031" t="s">
        <v>497</v>
      </c>
      <c r="F1031" t="s">
        <v>2476</v>
      </c>
      <c r="G1031">
        <v>50000</v>
      </c>
      <c r="H1031">
        <v>1979</v>
      </c>
      <c r="I1031" t="s">
        <v>58</v>
      </c>
      <c r="J1031" t="s">
        <v>58</v>
      </c>
      <c r="K1031" t="s">
        <v>58</v>
      </c>
      <c r="L1031" t="s">
        <v>58</v>
      </c>
      <c r="M1031" t="s">
        <v>58</v>
      </c>
      <c r="N1031" t="s">
        <v>61</v>
      </c>
      <c r="Q1031" t="s">
        <v>58</v>
      </c>
      <c r="R1031" s="11" t="str">
        <f>HYPERLINK("\\imagefiles.bcgov\imagery\scanned_maps\moe_terrain_maps\Scanned_T_maps_all\I16\I16-3241","\\imagefiles.bcgov\imagery\scanned_maps\moe_terrain_maps\Scanned_T_maps_all\I16\I16-3241")</f>
        <v>\\imagefiles.bcgov\imagery\scanned_maps\moe_terrain_maps\Scanned_T_maps_all\I16\I16-3241</v>
      </c>
      <c r="S1031" t="s">
        <v>62</v>
      </c>
      <c r="T1031" s="11" t="str">
        <f>HYPERLINK("http://www.env.gov.bc.ca/esd/distdata/ecosystems/TEI_Scanned_Maps/I16/I16-3241","http://www.env.gov.bc.ca/esd/distdata/ecosystems/TEI_Scanned_Maps/I16/I16-3241")</f>
        <v>http://www.env.gov.bc.ca/esd/distdata/ecosystems/TEI_Scanned_Maps/I16/I16-3241</v>
      </c>
      <c r="U1031" t="s">
        <v>58</v>
      </c>
      <c r="V1031" t="s">
        <v>58</v>
      </c>
      <c r="W1031" t="s">
        <v>58</v>
      </c>
      <c r="X1031" t="s">
        <v>58</v>
      </c>
      <c r="Y1031" t="s">
        <v>58</v>
      </c>
      <c r="Z1031" t="s">
        <v>58</v>
      </c>
      <c r="AA1031" t="s">
        <v>58</v>
      </c>
      <c r="AC1031" t="s">
        <v>58</v>
      </c>
      <c r="AE1031" t="s">
        <v>58</v>
      </c>
      <c r="AG1031" t="s">
        <v>63</v>
      </c>
      <c r="AH1031" s="11" t="str">
        <f t="shared" si="19"/>
        <v>mailto: soilterrain@victoria1.gov.bc.ca</v>
      </c>
    </row>
    <row r="1032" spans="1:34">
      <c r="A1032" t="s">
        <v>2477</v>
      </c>
      <c r="B1032" t="s">
        <v>56</v>
      </c>
      <c r="C1032" s="10" t="s">
        <v>1207</v>
      </c>
      <c r="D1032" t="s">
        <v>58</v>
      </c>
      <c r="E1032" t="s">
        <v>497</v>
      </c>
      <c r="F1032" t="s">
        <v>2478</v>
      </c>
      <c r="G1032">
        <v>50000</v>
      </c>
      <c r="H1032">
        <v>1979</v>
      </c>
      <c r="I1032" t="s">
        <v>58</v>
      </c>
      <c r="J1032" t="s">
        <v>58</v>
      </c>
      <c r="K1032" t="s">
        <v>58</v>
      </c>
      <c r="L1032" t="s">
        <v>58</v>
      </c>
      <c r="M1032" t="s">
        <v>58</v>
      </c>
      <c r="N1032" t="s">
        <v>61</v>
      </c>
      <c r="Q1032" t="s">
        <v>58</v>
      </c>
      <c r="R1032" s="11" t="str">
        <f>HYPERLINK("\\imagefiles.bcgov\imagery\scanned_maps\moe_terrain_maps\Scanned_T_maps_all\I17\I17-3242","\\imagefiles.bcgov\imagery\scanned_maps\moe_terrain_maps\Scanned_T_maps_all\I17\I17-3242")</f>
        <v>\\imagefiles.bcgov\imagery\scanned_maps\moe_terrain_maps\Scanned_T_maps_all\I17\I17-3242</v>
      </c>
      <c r="S1032" t="s">
        <v>62</v>
      </c>
      <c r="T1032" s="11" t="str">
        <f>HYPERLINK("http://www.env.gov.bc.ca/esd/distdata/ecosystems/TEI_Scanned_Maps/I17/I17-3242","http://www.env.gov.bc.ca/esd/distdata/ecosystems/TEI_Scanned_Maps/I17/I17-3242")</f>
        <v>http://www.env.gov.bc.ca/esd/distdata/ecosystems/TEI_Scanned_Maps/I17/I17-3242</v>
      </c>
      <c r="U1032" t="s">
        <v>58</v>
      </c>
      <c r="V1032" t="s">
        <v>58</v>
      </c>
      <c r="W1032" t="s">
        <v>58</v>
      </c>
      <c r="X1032" t="s">
        <v>58</v>
      </c>
      <c r="Y1032" t="s">
        <v>58</v>
      </c>
      <c r="Z1032" t="s">
        <v>58</v>
      </c>
      <c r="AA1032" t="s">
        <v>58</v>
      </c>
      <c r="AC1032" t="s">
        <v>58</v>
      </c>
      <c r="AE1032" t="s">
        <v>58</v>
      </c>
      <c r="AG1032" t="s">
        <v>63</v>
      </c>
      <c r="AH1032" s="11" t="str">
        <f t="shared" si="19"/>
        <v>mailto: soilterrain@victoria1.gov.bc.ca</v>
      </c>
    </row>
    <row r="1033" spans="1:34">
      <c r="A1033" t="s">
        <v>2479</v>
      </c>
      <c r="B1033" t="s">
        <v>56</v>
      </c>
      <c r="C1033" s="10" t="s">
        <v>2480</v>
      </c>
      <c r="D1033" t="s">
        <v>58</v>
      </c>
      <c r="E1033" t="s">
        <v>497</v>
      </c>
      <c r="F1033" t="s">
        <v>2481</v>
      </c>
      <c r="G1033">
        <v>50000</v>
      </c>
      <c r="H1033">
        <v>1979</v>
      </c>
      <c r="I1033" t="s">
        <v>58</v>
      </c>
      <c r="J1033" t="s">
        <v>58</v>
      </c>
      <c r="K1033" t="s">
        <v>58</v>
      </c>
      <c r="L1033" t="s">
        <v>58</v>
      </c>
      <c r="M1033" t="s">
        <v>58</v>
      </c>
      <c r="N1033" t="s">
        <v>61</v>
      </c>
      <c r="Q1033" t="s">
        <v>58</v>
      </c>
      <c r="R1033" s="11" t="str">
        <f>HYPERLINK("\\imagefiles.bcgov\imagery\scanned_maps\moe_terrain_maps\Scanned_T_maps_all\I17\I17-3243","\\imagefiles.bcgov\imagery\scanned_maps\moe_terrain_maps\Scanned_T_maps_all\I17\I17-3243")</f>
        <v>\\imagefiles.bcgov\imagery\scanned_maps\moe_terrain_maps\Scanned_T_maps_all\I17\I17-3243</v>
      </c>
      <c r="S1033" t="s">
        <v>62</v>
      </c>
      <c r="T1033" s="11" t="str">
        <f>HYPERLINK("http://www.env.gov.bc.ca/esd/distdata/ecosystems/TEI_Scanned_Maps/I17/I17-3243","http://www.env.gov.bc.ca/esd/distdata/ecosystems/TEI_Scanned_Maps/I17/I17-3243")</f>
        <v>http://www.env.gov.bc.ca/esd/distdata/ecosystems/TEI_Scanned_Maps/I17/I17-3243</v>
      </c>
      <c r="U1033" t="s">
        <v>58</v>
      </c>
      <c r="V1033" t="s">
        <v>58</v>
      </c>
      <c r="W1033" t="s">
        <v>58</v>
      </c>
      <c r="X1033" t="s">
        <v>58</v>
      </c>
      <c r="Y1033" t="s">
        <v>58</v>
      </c>
      <c r="Z1033" t="s">
        <v>58</v>
      </c>
      <c r="AA1033" t="s">
        <v>58</v>
      </c>
      <c r="AC1033" t="s">
        <v>58</v>
      </c>
      <c r="AE1033" t="s">
        <v>58</v>
      </c>
      <c r="AG1033" t="s">
        <v>63</v>
      </c>
      <c r="AH1033" s="11" t="str">
        <f t="shared" si="19"/>
        <v>mailto: soilterrain@victoria1.gov.bc.ca</v>
      </c>
    </row>
    <row r="1034" spans="1:34">
      <c r="A1034" t="s">
        <v>2482</v>
      </c>
      <c r="B1034" t="s">
        <v>56</v>
      </c>
      <c r="C1034" s="10" t="s">
        <v>2483</v>
      </c>
      <c r="D1034" t="s">
        <v>58</v>
      </c>
      <c r="E1034" t="s">
        <v>2484</v>
      </c>
      <c r="F1034" t="s">
        <v>2485</v>
      </c>
      <c r="G1034">
        <v>100000</v>
      </c>
      <c r="H1034">
        <v>1989</v>
      </c>
      <c r="I1034" t="s">
        <v>2486</v>
      </c>
      <c r="J1034" t="s">
        <v>58</v>
      </c>
      <c r="K1034" t="s">
        <v>61</v>
      </c>
      <c r="L1034" t="s">
        <v>61</v>
      </c>
      <c r="M1034" t="s">
        <v>58</v>
      </c>
      <c r="Q1034" t="s">
        <v>58</v>
      </c>
      <c r="R1034" s="11" t="str">
        <f>HYPERLINK("\\imagefiles.bcgov\imagery\scanned_maps\moe_terrain_maps\Scanned_T_maps_all\K03\K03-452","\\imagefiles.bcgov\imagery\scanned_maps\moe_terrain_maps\Scanned_T_maps_all\K03\K03-452")</f>
        <v>\\imagefiles.bcgov\imagery\scanned_maps\moe_terrain_maps\Scanned_T_maps_all\K03\K03-452</v>
      </c>
      <c r="S1034" t="s">
        <v>62</v>
      </c>
      <c r="T1034" s="11" t="str">
        <f>HYPERLINK("http://www.env.gov.bc.ca/esd/distdata/ecosystems/TEI_Scanned_Maps/K03/K03-452","http://www.env.gov.bc.ca/esd/distdata/ecosystems/TEI_Scanned_Maps/K03/K03-452")</f>
        <v>http://www.env.gov.bc.ca/esd/distdata/ecosystems/TEI_Scanned_Maps/K03/K03-452</v>
      </c>
      <c r="U1034" t="s">
        <v>2487</v>
      </c>
      <c r="V1034" s="11" t="str">
        <f>HYPERLINK("http://res.agr.ca/cansis/publications/surveys/bc/","http://res.agr.ca/cansis/publications/surveys/bc/")</f>
        <v>http://res.agr.ca/cansis/publications/surveys/bc/</v>
      </c>
      <c r="W1034" t="s">
        <v>2488</v>
      </c>
      <c r="X1034" s="11" t="str">
        <f>HYPERLINK("http://res.agr.ca/cansis/publications/surveys/bc/","http://res.agr.ca/cansis/publications/surveys/bc/")</f>
        <v>http://res.agr.ca/cansis/publications/surveys/bc/</v>
      </c>
      <c r="Y1034" t="s">
        <v>2489</v>
      </c>
      <c r="Z1034" s="11" t="str">
        <f>HYPERLINK("http://www.em.gov.bc.ca/mining/geolsurv/terrain&amp;soils/frbcguid.htm","http://www.em.gov.bc.ca/mining/geolsurv/terrain&amp;soils/frbcguid.htm")</f>
        <v>http://www.em.gov.bc.ca/mining/geolsurv/terrain&amp;soils/frbcguid.htm</v>
      </c>
      <c r="AA1034" t="s">
        <v>2490</v>
      </c>
      <c r="AB1034" s="11" t="str">
        <f>HYPERLINK("http://res.agr.ca/cansis/publications/surveys/bc/","http://res.agr.ca/cansis/publications/surveys/bc/")</f>
        <v>http://res.agr.ca/cansis/publications/surveys/bc/</v>
      </c>
      <c r="AC1034" t="s">
        <v>269</v>
      </c>
      <c r="AD1034" s="11" t="str">
        <f>HYPERLINK("http://www.library.for.gov.bc.ca/#focus","http://www.library.for.gov.bc.ca/#focus")</f>
        <v>http://www.library.for.gov.bc.ca/#focus</v>
      </c>
      <c r="AE1034" t="s">
        <v>58</v>
      </c>
      <c r="AG1034" t="s">
        <v>63</v>
      </c>
      <c r="AH1034" s="11" t="str">
        <f t="shared" si="19"/>
        <v>mailto: soilterrain@victoria1.gov.bc.ca</v>
      </c>
    </row>
    <row r="1035" spans="1:34">
      <c r="A1035" t="s">
        <v>2491</v>
      </c>
      <c r="B1035" t="s">
        <v>56</v>
      </c>
      <c r="C1035" s="10" t="s">
        <v>1913</v>
      </c>
      <c r="D1035" t="s">
        <v>58</v>
      </c>
      <c r="E1035" t="s">
        <v>2492</v>
      </c>
      <c r="F1035" t="s">
        <v>2493</v>
      </c>
      <c r="G1035">
        <v>100000</v>
      </c>
      <c r="H1035">
        <v>1986</v>
      </c>
      <c r="I1035" t="s">
        <v>2494</v>
      </c>
      <c r="J1035" t="s">
        <v>58</v>
      </c>
      <c r="K1035" t="s">
        <v>58</v>
      </c>
      <c r="L1035" t="s">
        <v>61</v>
      </c>
      <c r="M1035" t="s">
        <v>58</v>
      </c>
      <c r="Q1035" t="s">
        <v>58</v>
      </c>
      <c r="R1035" s="11" t="str">
        <f>HYPERLINK("\\imagefiles.bcgov\imagery\scanned_maps\moe_terrain_maps\Scanned_T_maps_all\K04\K04-1966","\\imagefiles.bcgov\imagery\scanned_maps\moe_terrain_maps\Scanned_T_maps_all\K04\K04-1966")</f>
        <v>\\imagefiles.bcgov\imagery\scanned_maps\moe_terrain_maps\Scanned_T_maps_all\K04\K04-1966</v>
      </c>
      <c r="S1035" t="s">
        <v>62</v>
      </c>
      <c r="T1035" s="11" t="str">
        <f>HYPERLINK("http://www.env.gov.bc.ca/esd/distdata/ecosystems/TEI_Scanned_Maps/K04/K04-1966","http://www.env.gov.bc.ca/esd/distdata/ecosystems/TEI_Scanned_Maps/K04/K04-1966")</f>
        <v>http://www.env.gov.bc.ca/esd/distdata/ecosystems/TEI_Scanned_Maps/K04/K04-1966</v>
      </c>
      <c r="U1035" t="s">
        <v>2487</v>
      </c>
      <c r="V1035" s="11" t="str">
        <f>HYPERLINK("http://res.agr.ca/cansis/publications/surveys/bc/","http://res.agr.ca/cansis/publications/surveys/bc/")</f>
        <v>http://res.agr.ca/cansis/publications/surveys/bc/</v>
      </c>
      <c r="W1035" t="s">
        <v>2495</v>
      </c>
      <c r="X1035" s="11" t="str">
        <f>HYPERLINK("http://www.em.gov.bc.ca/mining/geolsurv/terrain&amp;soils/frbcguid.htm","http://www.em.gov.bc.ca/mining/geolsurv/terrain&amp;soils/frbcguid.htm")</f>
        <v>http://www.em.gov.bc.ca/mining/geolsurv/terrain&amp;soils/frbcguid.htm</v>
      </c>
      <c r="Y1035" t="s">
        <v>2489</v>
      </c>
      <c r="Z1035" s="11" t="str">
        <f>HYPERLINK("http://www.em.gov.bc.ca/mining/geolsurv/terrain&amp;soils/frbcguid.htm","http://www.em.gov.bc.ca/mining/geolsurv/terrain&amp;soils/frbcguid.htm")</f>
        <v>http://www.em.gov.bc.ca/mining/geolsurv/terrain&amp;soils/frbcguid.htm</v>
      </c>
      <c r="AA1035" t="s">
        <v>269</v>
      </c>
      <c r="AB1035" s="11" t="str">
        <f>HYPERLINK("http://www.library.for.gov.bc.ca/#focus","http://www.library.for.gov.bc.ca/#focus")</f>
        <v>http://www.library.for.gov.bc.ca/#focus</v>
      </c>
      <c r="AC1035" t="s">
        <v>58</v>
      </c>
      <c r="AD1035" s="11" t="str">
        <f>HYPERLINK("http://www.env.gov.bc.ca/soils/project/report.html","http://www.env.gov.bc.ca/soils/project/report.html")</f>
        <v>http://www.env.gov.bc.ca/soils/project/report.html</v>
      </c>
      <c r="AE1035" t="s">
        <v>58</v>
      </c>
      <c r="AG1035" t="s">
        <v>63</v>
      </c>
      <c r="AH1035" s="11" t="str">
        <f t="shared" si="19"/>
        <v>mailto: soilterrain@victoria1.gov.bc.ca</v>
      </c>
    </row>
    <row r="1036" spans="1:34">
      <c r="A1036" t="s">
        <v>2496</v>
      </c>
      <c r="B1036" t="s">
        <v>56</v>
      </c>
      <c r="C1036" s="10" t="s">
        <v>1994</v>
      </c>
      <c r="D1036" t="s">
        <v>58</v>
      </c>
      <c r="E1036" t="s">
        <v>2497</v>
      </c>
      <c r="F1036" t="s">
        <v>2498</v>
      </c>
      <c r="G1036">
        <v>125000</v>
      </c>
      <c r="H1036">
        <v>1977</v>
      </c>
      <c r="I1036" t="s">
        <v>2499</v>
      </c>
      <c r="J1036" t="s">
        <v>58</v>
      </c>
      <c r="K1036" t="s">
        <v>61</v>
      </c>
      <c r="L1036" t="s">
        <v>61</v>
      </c>
      <c r="M1036" t="s">
        <v>58</v>
      </c>
      <c r="Q1036" t="s">
        <v>58</v>
      </c>
      <c r="R1036" s="11" t="str">
        <f>HYPERLINK("\\imagefiles.bcgov\imagery\scanned_maps\moe_terrain_maps\Scanned_T_maps_all\K05\K05-2529","\\imagefiles.bcgov\imagery\scanned_maps\moe_terrain_maps\Scanned_T_maps_all\K05\K05-2529")</f>
        <v>\\imagefiles.bcgov\imagery\scanned_maps\moe_terrain_maps\Scanned_T_maps_all\K05\K05-2529</v>
      </c>
      <c r="S1036" t="s">
        <v>62</v>
      </c>
      <c r="T1036" s="11" t="str">
        <f>HYPERLINK("http://www.env.gov.bc.ca/esd/distdata/ecosystems/TEI_Scanned_Maps/K05/K05-2529","http://www.env.gov.bc.ca/esd/distdata/ecosystems/TEI_Scanned_Maps/K05/K05-2529")</f>
        <v>http://www.env.gov.bc.ca/esd/distdata/ecosystems/TEI_Scanned_Maps/K05/K05-2529</v>
      </c>
      <c r="U1036" t="s">
        <v>2495</v>
      </c>
      <c r="V1036" s="11" t="str">
        <f>HYPERLINK("http://www.em.gov.bc.ca/mining/geolsurv/terrain&amp;soils/frbcguid.htm","http://www.em.gov.bc.ca/mining/geolsurv/terrain&amp;soils/frbcguid.htm")</f>
        <v>http://www.em.gov.bc.ca/mining/geolsurv/terrain&amp;soils/frbcguid.htm</v>
      </c>
      <c r="W1036" t="s">
        <v>2489</v>
      </c>
      <c r="X1036" s="11" t="str">
        <f>HYPERLINK("http://www.em.gov.bc.ca/mining/geolsurv/terrain&amp;soils/frbcguid.htm","http://www.em.gov.bc.ca/mining/geolsurv/terrain&amp;soils/frbcguid.htm")</f>
        <v>http://www.em.gov.bc.ca/mining/geolsurv/terrain&amp;soils/frbcguid.htm</v>
      </c>
      <c r="Y1036" t="s">
        <v>269</v>
      </c>
      <c r="Z1036" s="11" t="str">
        <f>HYPERLINK("http://www.library.for.gov.bc.ca/#focus","http://www.library.for.gov.bc.ca/#focus")</f>
        <v>http://www.library.for.gov.bc.ca/#focus</v>
      </c>
      <c r="AA1036" t="s">
        <v>2500</v>
      </c>
      <c r="AB1036" s="11" t="str">
        <f>HYPERLINK("http://www.crownpub.bc.ca/","http://www.crownpub.bc.ca/")</f>
        <v>http://www.crownpub.bc.ca/</v>
      </c>
      <c r="AC1036" t="s">
        <v>58</v>
      </c>
      <c r="AE1036" t="s">
        <v>58</v>
      </c>
      <c r="AG1036" t="s">
        <v>63</v>
      </c>
      <c r="AH1036" s="11" t="str">
        <f t="shared" si="19"/>
        <v>mailto: soilterrain@victoria1.gov.bc.ca</v>
      </c>
    </row>
    <row r="1037" spans="1:34">
      <c r="A1037" t="s">
        <v>2501</v>
      </c>
      <c r="B1037" t="s">
        <v>56</v>
      </c>
      <c r="C1037" s="10" t="s">
        <v>1041</v>
      </c>
      <c r="D1037" t="s">
        <v>58</v>
      </c>
      <c r="E1037" t="s">
        <v>2502</v>
      </c>
      <c r="F1037" t="s">
        <v>2503</v>
      </c>
      <c r="G1037">
        <v>50000</v>
      </c>
      <c r="H1037" t="s">
        <v>187</v>
      </c>
      <c r="I1037" t="s">
        <v>2504</v>
      </c>
      <c r="J1037" t="s">
        <v>58</v>
      </c>
      <c r="K1037" t="s">
        <v>58</v>
      </c>
      <c r="L1037" t="s">
        <v>61</v>
      </c>
      <c r="M1037" t="s">
        <v>58</v>
      </c>
      <c r="Q1037" t="s">
        <v>58</v>
      </c>
      <c r="R1037" s="11" t="str">
        <f>HYPERLINK("\\imagefiles.bcgov\imagery\scanned_maps\moe_terrain_maps\Scanned_T_maps_all\K07\K07-358","\\imagefiles.bcgov\imagery\scanned_maps\moe_terrain_maps\Scanned_T_maps_all\K07\K07-358")</f>
        <v>\\imagefiles.bcgov\imagery\scanned_maps\moe_terrain_maps\Scanned_T_maps_all\K07\K07-358</v>
      </c>
      <c r="S1037" t="s">
        <v>62</v>
      </c>
      <c r="T1037" s="11" t="str">
        <f>HYPERLINK("http://www.env.gov.bc.ca/esd/distdata/ecosystems/TEI_Scanned_Maps/K07/K07-358","http://www.env.gov.bc.ca/esd/distdata/ecosystems/TEI_Scanned_Maps/K07/K07-358")</f>
        <v>http://www.env.gov.bc.ca/esd/distdata/ecosystems/TEI_Scanned_Maps/K07/K07-358</v>
      </c>
      <c r="U1037" t="s">
        <v>2495</v>
      </c>
      <c r="V1037" s="11" t="str">
        <f>HYPERLINK("http://www.em.gov.bc.ca/mining/geolsurv/terrain&amp;soils/frbcguid.htm","http://www.em.gov.bc.ca/mining/geolsurv/terrain&amp;soils/frbcguid.htm")</f>
        <v>http://www.em.gov.bc.ca/mining/geolsurv/terrain&amp;soils/frbcguid.htm</v>
      </c>
      <c r="W1037" t="s">
        <v>2489</v>
      </c>
      <c r="X1037" s="11" t="str">
        <f>HYPERLINK("http://www.em.gov.bc.ca/mining/geolsurv/terrain&amp;soils/frbcguid.htm","http://www.em.gov.bc.ca/mining/geolsurv/terrain&amp;soils/frbcguid.htm")</f>
        <v>http://www.em.gov.bc.ca/mining/geolsurv/terrain&amp;soils/frbcguid.htm</v>
      </c>
      <c r="Y1037" t="s">
        <v>58</v>
      </c>
      <c r="Z1037" t="s">
        <v>58</v>
      </c>
      <c r="AA1037" t="s">
        <v>58</v>
      </c>
      <c r="AC1037" t="s">
        <v>58</v>
      </c>
      <c r="AE1037" t="s">
        <v>58</v>
      </c>
      <c r="AG1037" t="s">
        <v>63</v>
      </c>
      <c r="AH1037" s="11" t="str">
        <f t="shared" si="19"/>
        <v>mailto: soilterrain@victoria1.gov.bc.ca</v>
      </c>
    </row>
    <row r="1038" spans="1:34">
      <c r="A1038" t="s">
        <v>2505</v>
      </c>
      <c r="B1038" t="s">
        <v>56</v>
      </c>
      <c r="C1038" s="10" t="s">
        <v>130</v>
      </c>
      <c r="D1038" t="s">
        <v>58</v>
      </c>
      <c r="E1038" t="s">
        <v>497</v>
      </c>
      <c r="F1038" t="s">
        <v>2506</v>
      </c>
      <c r="G1038">
        <v>50000</v>
      </c>
      <c r="H1038">
        <v>1979</v>
      </c>
      <c r="I1038" t="s">
        <v>58</v>
      </c>
      <c r="J1038" t="s">
        <v>58</v>
      </c>
      <c r="K1038" t="s">
        <v>58</v>
      </c>
      <c r="L1038" t="s">
        <v>58</v>
      </c>
      <c r="M1038" t="s">
        <v>58</v>
      </c>
      <c r="N1038" t="s">
        <v>61</v>
      </c>
      <c r="Q1038" t="s">
        <v>58</v>
      </c>
      <c r="R1038" s="11" t="str">
        <f>HYPERLINK("\\imagefiles.bcgov\imagery\scanned_maps\moe_terrain_maps\Scanned_T_maps_all\I14\I14-3132","\\imagefiles.bcgov\imagery\scanned_maps\moe_terrain_maps\Scanned_T_maps_all\I14\I14-3132")</f>
        <v>\\imagefiles.bcgov\imagery\scanned_maps\moe_terrain_maps\Scanned_T_maps_all\I14\I14-3132</v>
      </c>
      <c r="S1038" t="s">
        <v>62</v>
      </c>
      <c r="T1038" s="11" t="str">
        <f>HYPERLINK("http://www.env.gov.bc.ca/esd/distdata/ecosystems/TEI_Scanned_Maps/I14/I14-3132","http://www.env.gov.bc.ca/esd/distdata/ecosystems/TEI_Scanned_Maps/I14/I14-3132")</f>
        <v>http://www.env.gov.bc.ca/esd/distdata/ecosystems/TEI_Scanned_Maps/I14/I14-3132</v>
      </c>
      <c r="U1038" t="s">
        <v>58</v>
      </c>
      <c r="V1038" t="s">
        <v>58</v>
      </c>
      <c r="W1038" t="s">
        <v>58</v>
      </c>
      <c r="X1038" t="s">
        <v>58</v>
      </c>
      <c r="Y1038" t="s">
        <v>58</v>
      </c>
      <c r="Z1038" t="s">
        <v>58</v>
      </c>
      <c r="AA1038" t="s">
        <v>58</v>
      </c>
      <c r="AC1038" t="s">
        <v>58</v>
      </c>
      <c r="AE1038" t="s">
        <v>58</v>
      </c>
      <c r="AG1038" t="s">
        <v>63</v>
      </c>
      <c r="AH1038" s="11" t="str">
        <f t="shared" si="19"/>
        <v>mailto: soilterrain@victoria1.gov.bc.ca</v>
      </c>
    </row>
    <row r="1039" spans="1:34">
      <c r="A1039" t="s">
        <v>2507</v>
      </c>
      <c r="B1039" t="s">
        <v>56</v>
      </c>
      <c r="C1039" s="10" t="s">
        <v>1095</v>
      </c>
      <c r="D1039" t="s">
        <v>58</v>
      </c>
      <c r="E1039" t="s">
        <v>497</v>
      </c>
      <c r="F1039" t="s">
        <v>2508</v>
      </c>
      <c r="G1039">
        <v>50000</v>
      </c>
      <c r="H1039">
        <v>1979</v>
      </c>
      <c r="I1039" t="s">
        <v>58</v>
      </c>
      <c r="J1039" t="s">
        <v>58</v>
      </c>
      <c r="K1039" t="s">
        <v>58</v>
      </c>
      <c r="L1039" t="s">
        <v>58</v>
      </c>
      <c r="M1039" t="s">
        <v>58</v>
      </c>
      <c r="N1039" t="s">
        <v>61</v>
      </c>
      <c r="Q1039" t="s">
        <v>58</v>
      </c>
      <c r="R1039" s="11" t="str">
        <f>HYPERLINK("\\imagefiles.bcgov\imagery\scanned_maps\moe_terrain_maps\Scanned_T_maps_all\I14\I14-3133","\\imagefiles.bcgov\imagery\scanned_maps\moe_terrain_maps\Scanned_T_maps_all\I14\I14-3133")</f>
        <v>\\imagefiles.bcgov\imagery\scanned_maps\moe_terrain_maps\Scanned_T_maps_all\I14\I14-3133</v>
      </c>
      <c r="S1039" t="s">
        <v>62</v>
      </c>
      <c r="T1039" s="11" t="str">
        <f>HYPERLINK("http://www.env.gov.bc.ca/esd/distdata/ecosystems/TEI_Scanned_Maps/I14/I14-3133","http://www.env.gov.bc.ca/esd/distdata/ecosystems/TEI_Scanned_Maps/I14/I14-3133")</f>
        <v>http://www.env.gov.bc.ca/esd/distdata/ecosystems/TEI_Scanned_Maps/I14/I14-3133</v>
      </c>
      <c r="U1039" t="s">
        <v>58</v>
      </c>
      <c r="V1039" t="s">
        <v>58</v>
      </c>
      <c r="W1039" t="s">
        <v>58</v>
      </c>
      <c r="X1039" t="s">
        <v>58</v>
      </c>
      <c r="Y1039" t="s">
        <v>58</v>
      </c>
      <c r="Z1039" t="s">
        <v>58</v>
      </c>
      <c r="AA1039" t="s">
        <v>58</v>
      </c>
      <c r="AC1039" t="s">
        <v>58</v>
      </c>
      <c r="AE1039" t="s">
        <v>58</v>
      </c>
      <c r="AG1039" t="s">
        <v>63</v>
      </c>
      <c r="AH1039" s="11" t="str">
        <f t="shared" si="19"/>
        <v>mailto: soilterrain@victoria1.gov.bc.ca</v>
      </c>
    </row>
    <row r="1040" spans="1:34">
      <c r="A1040" t="s">
        <v>2509</v>
      </c>
      <c r="B1040" t="s">
        <v>56</v>
      </c>
      <c r="C1040" s="10" t="s">
        <v>543</v>
      </c>
      <c r="D1040" t="s">
        <v>58</v>
      </c>
      <c r="E1040" t="s">
        <v>497</v>
      </c>
      <c r="F1040" t="s">
        <v>2510</v>
      </c>
      <c r="G1040">
        <v>50000</v>
      </c>
      <c r="H1040">
        <v>1979</v>
      </c>
      <c r="I1040" t="s">
        <v>58</v>
      </c>
      <c r="J1040" t="s">
        <v>58</v>
      </c>
      <c r="K1040" t="s">
        <v>58</v>
      </c>
      <c r="L1040" t="s">
        <v>58</v>
      </c>
      <c r="M1040" t="s">
        <v>58</v>
      </c>
      <c r="N1040" t="s">
        <v>61</v>
      </c>
      <c r="Q1040" t="s">
        <v>58</v>
      </c>
      <c r="R1040" s="11" t="str">
        <f>HYPERLINK("\\imagefiles.bcgov\imagery\scanned_maps\moe_terrain_maps\Scanned_T_maps_all\I14\I14-3134","\\imagefiles.bcgov\imagery\scanned_maps\moe_terrain_maps\Scanned_T_maps_all\I14\I14-3134")</f>
        <v>\\imagefiles.bcgov\imagery\scanned_maps\moe_terrain_maps\Scanned_T_maps_all\I14\I14-3134</v>
      </c>
      <c r="S1040" t="s">
        <v>62</v>
      </c>
      <c r="T1040" s="11" t="str">
        <f>HYPERLINK("http://www.env.gov.bc.ca/esd/distdata/ecosystems/TEI_Scanned_Maps/I14/I14-3134","http://www.env.gov.bc.ca/esd/distdata/ecosystems/TEI_Scanned_Maps/I14/I14-3134")</f>
        <v>http://www.env.gov.bc.ca/esd/distdata/ecosystems/TEI_Scanned_Maps/I14/I14-3134</v>
      </c>
      <c r="U1040" t="s">
        <v>58</v>
      </c>
      <c r="V1040" t="s">
        <v>58</v>
      </c>
      <c r="W1040" t="s">
        <v>58</v>
      </c>
      <c r="X1040" t="s">
        <v>58</v>
      </c>
      <c r="Y1040" t="s">
        <v>58</v>
      </c>
      <c r="Z1040" t="s">
        <v>58</v>
      </c>
      <c r="AA1040" t="s">
        <v>58</v>
      </c>
      <c r="AC1040" t="s">
        <v>58</v>
      </c>
      <c r="AE1040" t="s">
        <v>58</v>
      </c>
      <c r="AG1040" t="s">
        <v>63</v>
      </c>
      <c r="AH1040" s="11" t="str">
        <f t="shared" si="19"/>
        <v>mailto: soilterrain@victoria1.gov.bc.ca</v>
      </c>
    </row>
    <row r="1041" spans="1:34">
      <c r="A1041" t="s">
        <v>2511</v>
      </c>
      <c r="B1041" t="s">
        <v>56</v>
      </c>
      <c r="C1041" s="10" t="s">
        <v>540</v>
      </c>
      <c r="D1041" t="s">
        <v>58</v>
      </c>
      <c r="E1041" t="s">
        <v>497</v>
      </c>
      <c r="F1041" t="s">
        <v>2512</v>
      </c>
      <c r="G1041">
        <v>50000</v>
      </c>
      <c r="H1041">
        <v>1979</v>
      </c>
      <c r="I1041" t="s">
        <v>58</v>
      </c>
      <c r="J1041" t="s">
        <v>58</v>
      </c>
      <c r="K1041" t="s">
        <v>58</v>
      </c>
      <c r="L1041" t="s">
        <v>58</v>
      </c>
      <c r="M1041" t="s">
        <v>58</v>
      </c>
      <c r="N1041" t="s">
        <v>61</v>
      </c>
      <c r="Q1041" t="s">
        <v>58</v>
      </c>
      <c r="R1041" s="11" t="str">
        <f>HYPERLINK("\\imagefiles.bcgov\imagery\scanned_maps\moe_terrain_maps\Scanned_T_maps_all\I14\I14-3135","\\imagefiles.bcgov\imagery\scanned_maps\moe_terrain_maps\Scanned_T_maps_all\I14\I14-3135")</f>
        <v>\\imagefiles.bcgov\imagery\scanned_maps\moe_terrain_maps\Scanned_T_maps_all\I14\I14-3135</v>
      </c>
      <c r="S1041" t="s">
        <v>62</v>
      </c>
      <c r="T1041" s="11" t="str">
        <f>HYPERLINK("http://www.env.gov.bc.ca/esd/distdata/ecosystems/TEI_Scanned_Maps/I14/I14-3135","http://www.env.gov.bc.ca/esd/distdata/ecosystems/TEI_Scanned_Maps/I14/I14-3135")</f>
        <v>http://www.env.gov.bc.ca/esd/distdata/ecosystems/TEI_Scanned_Maps/I14/I14-3135</v>
      </c>
      <c r="U1041" t="s">
        <v>58</v>
      </c>
      <c r="V1041" t="s">
        <v>58</v>
      </c>
      <c r="W1041" t="s">
        <v>58</v>
      </c>
      <c r="X1041" t="s">
        <v>58</v>
      </c>
      <c r="Y1041" t="s">
        <v>58</v>
      </c>
      <c r="Z1041" t="s">
        <v>58</v>
      </c>
      <c r="AA1041" t="s">
        <v>58</v>
      </c>
      <c r="AC1041" t="s">
        <v>58</v>
      </c>
      <c r="AE1041" t="s">
        <v>58</v>
      </c>
      <c r="AG1041" t="s">
        <v>63</v>
      </c>
      <c r="AH1041" s="11" t="str">
        <f t="shared" si="19"/>
        <v>mailto: soilterrain@victoria1.gov.bc.ca</v>
      </c>
    </row>
    <row r="1042" spans="1:34">
      <c r="A1042" t="s">
        <v>2513</v>
      </c>
      <c r="B1042" t="s">
        <v>56</v>
      </c>
      <c r="C1042" s="10" t="s">
        <v>1066</v>
      </c>
      <c r="D1042" t="s">
        <v>58</v>
      </c>
      <c r="E1042" t="s">
        <v>497</v>
      </c>
      <c r="F1042" t="s">
        <v>2514</v>
      </c>
      <c r="G1042">
        <v>50000</v>
      </c>
      <c r="H1042">
        <v>1979</v>
      </c>
      <c r="I1042" t="s">
        <v>58</v>
      </c>
      <c r="J1042" t="s">
        <v>58</v>
      </c>
      <c r="K1042" t="s">
        <v>58</v>
      </c>
      <c r="L1042" t="s">
        <v>58</v>
      </c>
      <c r="M1042" t="s">
        <v>58</v>
      </c>
      <c r="N1042" t="s">
        <v>61</v>
      </c>
      <c r="Q1042" t="s">
        <v>58</v>
      </c>
      <c r="R1042" s="11" t="str">
        <f>HYPERLINK("\\imagefiles.bcgov\imagery\scanned_maps\moe_terrain_maps\Scanned_T_maps_all\I14\I14-3136","\\imagefiles.bcgov\imagery\scanned_maps\moe_terrain_maps\Scanned_T_maps_all\I14\I14-3136")</f>
        <v>\\imagefiles.bcgov\imagery\scanned_maps\moe_terrain_maps\Scanned_T_maps_all\I14\I14-3136</v>
      </c>
      <c r="S1042" t="s">
        <v>62</v>
      </c>
      <c r="T1042" s="11" t="str">
        <f>HYPERLINK("http://www.env.gov.bc.ca/esd/distdata/ecosystems/TEI_Scanned_Maps/I14/I14-3136","http://www.env.gov.bc.ca/esd/distdata/ecosystems/TEI_Scanned_Maps/I14/I14-3136")</f>
        <v>http://www.env.gov.bc.ca/esd/distdata/ecosystems/TEI_Scanned_Maps/I14/I14-3136</v>
      </c>
      <c r="U1042" t="s">
        <v>58</v>
      </c>
      <c r="V1042" t="s">
        <v>58</v>
      </c>
      <c r="W1042" t="s">
        <v>58</v>
      </c>
      <c r="X1042" t="s">
        <v>58</v>
      </c>
      <c r="Y1042" t="s">
        <v>58</v>
      </c>
      <c r="Z1042" t="s">
        <v>58</v>
      </c>
      <c r="AA1042" t="s">
        <v>58</v>
      </c>
      <c r="AC1042" t="s">
        <v>58</v>
      </c>
      <c r="AE1042" t="s">
        <v>58</v>
      </c>
      <c r="AG1042" t="s">
        <v>63</v>
      </c>
      <c r="AH1042" s="11" t="str">
        <f t="shared" si="19"/>
        <v>mailto: soilterrain@victoria1.gov.bc.ca</v>
      </c>
    </row>
    <row r="1043" spans="1:34">
      <c r="A1043" t="s">
        <v>2515</v>
      </c>
      <c r="B1043" t="s">
        <v>56</v>
      </c>
      <c r="C1043" s="10" t="s">
        <v>79</v>
      </c>
      <c r="D1043" t="s">
        <v>58</v>
      </c>
      <c r="E1043" t="s">
        <v>497</v>
      </c>
      <c r="F1043" t="s">
        <v>2516</v>
      </c>
      <c r="G1043">
        <v>50000</v>
      </c>
      <c r="H1043">
        <v>1979</v>
      </c>
      <c r="I1043" t="s">
        <v>58</v>
      </c>
      <c r="J1043" t="s">
        <v>58</v>
      </c>
      <c r="K1043" t="s">
        <v>58</v>
      </c>
      <c r="L1043" t="s">
        <v>58</v>
      </c>
      <c r="M1043" t="s">
        <v>58</v>
      </c>
      <c r="N1043" t="s">
        <v>61</v>
      </c>
      <c r="Q1043" t="s">
        <v>58</v>
      </c>
      <c r="R1043" s="11" t="str">
        <f>HYPERLINK("\\imagefiles.bcgov\imagery\scanned_maps\moe_terrain_maps\Scanned_T_maps_all\I14\I14-3137","\\imagefiles.bcgov\imagery\scanned_maps\moe_terrain_maps\Scanned_T_maps_all\I14\I14-3137")</f>
        <v>\\imagefiles.bcgov\imagery\scanned_maps\moe_terrain_maps\Scanned_T_maps_all\I14\I14-3137</v>
      </c>
      <c r="S1043" t="s">
        <v>62</v>
      </c>
      <c r="T1043" s="11" t="str">
        <f>HYPERLINK("http://www.env.gov.bc.ca/esd/distdata/ecosystems/TEI_Scanned_Maps/I14/I14-3137","http://www.env.gov.bc.ca/esd/distdata/ecosystems/TEI_Scanned_Maps/I14/I14-3137")</f>
        <v>http://www.env.gov.bc.ca/esd/distdata/ecosystems/TEI_Scanned_Maps/I14/I14-3137</v>
      </c>
      <c r="U1043" t="s">
        <v>58</v>
      </c>
      <c r="V1043" t="s">
        <v>58</v>
      </c>
      <c r="W1043" t="s">
        <v>58</v>
      </c>
      <c r="X1043" t="s">
        <v>58</v>
      </c>
      <c r="Y1043" t="s">
        <v>58</v>
      </c>
      <c r="Z1043" t="s">
        <v>58</v>
      </c>
      <c r="AA1043" t="s">
        <v>58</v>
      </c>
      <c r="AC1043" t="s">
        <v>58</v>
      </c>
      <c r="AE1043" t="s">
        <v>58</v>
      </c>
      <c r="AG1043" t="s">
        <v>63</v>
      </c>
      <c r="AH1043" s="11" t="str">
        <f t="shared" si="19"/>
        <v>mailto: soilterrain@victoria1.gov.bc.ca</v>
      </c>
    </row>
    <row r="1044" spans="1:34">
      <c r="A1044" t="s">
        <v>2517</v>
      </c>
      <c r="B1044" t="s">
        <v>56</v>
      </c>
      <c r="C1044" s="10" t="s">
        <v>84</v>
      </c>
      <c r="D1044" t="s">
        <v>58</v>
      </c>
      <c r="E1044" t="s">
        <v>497</v>
      </c>
      <c r="F1044" t="s">
        <v>2518</v>
      </c>
      <c r="G1044">
        <v>50000</v>
      </c>
      <c r="H1044">
        <v>1979</v>
      </c>
      <c r="I1044" t="s">
        <v>58</v>
      </c>
      <c r="J1044" t="s">
        <v>58</v>
      </c>
      <c r="K1044" t="s">
        <v>58</v>
      </c>
      <c r="L1044" t="s">
        <v>58</v>
      </c>
      <c r="M1044" t="s">
        <v>58</v>
      </c>
      <c r="N1044" t="s">
        <v>61</v>
      </c>
      <c r="Q1044" t="s">
        <v>58</v>
      </c>
      <c r="R1044" s="11" t="str">
        <f>HYPERLINK("\\imagefiles.bcgov\imagery\scanned_maps\moe_terrain_maps\Scanned_T_maps_all\I14\I14-3138","\\imagefiles.bcgov\imagery\scanned_maps\moe_terrain_maps\Scanned_T_maps_all\I14\I14-3138")</f>
        <v>\\imagefiles.bcgov\imagery\scanned_maps\moe_terrain_maps\Scanned_T_maps_all\I14\I14-3138</v>
      </c>
      <c r="S1044" t="s">
        <v>62</v>
      </c>
      <c r="T1044" s="11" t="str">
        <f>HYPERLINK("http://www.env.gov.bc.ca/esd/distdata/ecosystems/TEI_Scanned_Maps/I14/I14-3138","http://www.env.gov.bc.ca/esd/distdata/ecosystems/TEI_Scanned_Maps/I14/I14-3138")</f>
        <v>http://www.env.gov.bc.ca/esd/distdata/ecosystems/TEI_Scanned_Maps/I14/I14-3138</v>
      </c>
      <c r="U1044" t="s">
        <v>58</v>
      </c>
      <c r="V1044" t="s">
        <v>58</v>
      </c>
      <c r="W1044" t="s">
        <v>58</v>
      </c>
      <c r="X1044" t="s">
        <v>58</v>
      </c>
      <c r="Y1044" t="s">
        <v>58</v>
      </c>
      <c r="Z1044" t="s">
        <v>58</v>
      </c>
      <c r="AA1044" t="s">
        <v>58</v>
      </c>
      <c r="AC1044" t="s">
        <v>58</v>
      </c>
      <c r="AE1044" t="s">
        <v>58</v>
      </c>
      <c r="AG1044" t="s">
        <v>63</v>
      </c>
      <c r="AH1044" s="11" t="str">
        <f t="shared" si="19"/>
        <v>mailto: soilterrain@victoria1.gov.bc.ca</v>
      </c>
    </row>
    <row r="1045" spans="1:34">
      <c r="A1045" t="s">
        <v>2519</v>
      </c>
      <c r="B1045" t="s">
        <v>56</v>
      </c>
      <c r="C1045" s="10" t="s">
        <v>1114</v>
      </c>
      <c r="D1045" t="s">
        <v>58</v>
      </c>
      <c r="E1045" t="s">
        <v>497</v>
      </c>
      <c r="F1045" t="s">
        <v>2520</v>
      </c>
      <c r="G1045">
        <v>50000</v>
      </c>
      <c r="H1045">
        <v>1979</v>
      </c>
      <c r="I1045" t="s">
        <v>58</v>
      </c>
      <c r="J1045" t="s">
        <v>58</v>
      </c>
      <c r="K1045" t="s">
        <v>58</v>
      </c>
      <c r="L1045" t="s">
        <v>58</v>
      </c>
      <c r="M1045" t="s">
        <v>58</v>
      </c>
      <c r="N1045" t="s">
        <v>61</v>
      </c>
      <c r="Q1045" t="s">
        <v>58</v>
      </c>
      <c r="R1045" s="11" t="str">
        <f>HYPERLINK("\\imagefiles.bcgov\imagery\scanned_maps\moe_terrain_maps\Scanned_T_maps_all\I14\I14-3139","\\imagefiles.bcgov\imagery\scanned_maps\moe_terrain_maps\Scanned_T_maps_all\I14\I14-3139")</f>
        <v>\\imagefiles.bcgov\imagery\scanned_maps\moe_terrain_maps\Scanned_T_maps_all\I14\I14-3139</v>
      </c>
      <c r="S1045" t="s">
        <v>62</v>
      </c>
      <c r="T1045" s="11" t="str">
        <f>HYPERLINK("http://www.env.gov.bc.ca/esd/distdata/ecosystems/TEI_Scanned_Maps/I14/I14-3139","http://www.env.gov.bc.ca/esd/distdata/ecosystems/TEI_Scanned_Maps/I14/I14-3139")</f>
        <v>http://www.env.gov.bc.ca/esd/distdata/ecosystems/TEI_Scanned_Maps/I14/I14-3139</v>
      </c>
      <c r="U1045" t="s">
        <v>58</v>
      </c>
      <c r="V1045" t="s">
        <v>58</v>
      </c>
      <c r="W1045" t="s">
        <v>58</v>
      </c>
      <c r="X1045" t="s">
        <v>58</v>
      </c>
      <c r="Y1045" t="s">
        <v>58</v>
      </c>
      <c r="Z1045" t="s">
        <v>58</v>
      </c>
      <c r="AA1045" t="s">
        <v>58</v>
      </c>
      <c r="AC1045" t="s">
        <v>58</v>
      </c>
      <c r="AE1045" t="s">
        <v>58</v>
      </c>
      <c r="AG1045" t="s">
        <v>63</v>
      </c>
      <c r="AH1045" s="11" t="str">
        <f t="shared" si="19"/>
        <v>mailto: soilterrain@victoria1.gov.bc.ca</v>
      </c>
    </row>
    <row r="1046" spans="1:34">
      <c r="A1046" t="s">
        <v>2521</v>
      </c>
      <c r="B1046" t="s">
        <v>56</v>
      </c>
      <c r="C1046" s="10" t="s">
        <v>1116</v>
      </c>
      <c r="D1046" t="s">
        <v>58</v>
      </c>
      <c r="E1046" t="s">
        <v>497</v>
      </c>
      <c r="F1046" t="s">
        <v>2522</v>
      </c>
      <c r="G1046">
        <v>50000</v>
      </c>
      <c r="H1046">
        <v>1979</v>
      </c>
      <c r="I1046" t="s">
        <v>58</v>
      </c>
      <c r="J1046" t="s">
        <v>58</v>
      </c>
      <c r="K1046" t="s">
        <v>58</v>
      </c>
      <c r="L1046" t="s">
        <v>58</v>
      </c>
      <c r="M1046" t="s">
        <v>58</v>
      </c>
      <c r="N1046" t="s">
        <v>61</v>
      </c>
      <c r="Q1046" t="s">
        <v>58</v>
      </c>
      <c r="R1046" s="11" t="str">
        <f>HYPERLINK("\\imagefiles.bcgov\imagery\scanned_maps\moe_terrain_maps\Scanned_T_maps_all\I14\I14-3140","\\imagefiles.bcgov\imagery\scanned_maps\moe_terrain_maps\Scanned_T_maps_all\I14\I14-3140")</f>
        <v>\\imagefiles.bcgov\imagery\scanned_maps\moe_terrain_maps\Scanned_T_maps_all\I14\I14-3140</v>
      </c>
      <c r="S1046" t="s">
        <v>62</v>
      </c>
      <c r="T1046" s="11" t="str">
        <f>HYPERLINK("http://www.env.gov.bc.ca/esd/distdata/ecosystems/TEI_Scanned_Maps/I14/I14-3140","http://www.env.gov.bc.ca/esd/distdata/ecosystems/TEI_Scanned_Maps/I14/I14-3140")</f>
        <v>http://www.env.gov.bc.ca/esd/distdata/ecosystems/TEI_Scanned_Maps/I14/I14-3140</v>
      </c>
      <c r="U1046" t="s">
        <v>58</v>
      </c>
      <c r="V1046" t="s">
        <v>58</v>
      </c>
      <c r="W1046" t="s">
        <v>58</v>
      </c>
      <c r="X1046" t="s">
        <v>58</v>
      </c>
      <c r="Y1046" t="s">
        <v>58</v>
      </c>
      <c r="Z1046" t="s">
        <v>58</v>
      </c>
      <c r="AA1046" t="s">
        <v>58</v>
      </c>
      <c r="AC1046" t="s">
        <v>58</v>
      </c>
      <c r="AE1046" t="s">
        <v>58</v>
      </c>
      <c r="AG1046" t="s">
        <v>63</v>
      </c>
      <c r="AH1046" s="11" t="str">
        <f t="shared" si="19"/>
        <v>mailto: soilterrain@victoria1.gov.bc.ca</v>
      </c>
    </row>
    <row r="1047" spans="1:34">
      <c r="A1047" t="s">
        <v>2523</v>
      </c>
      <c r="B1047" t="s">
        <v>56</v>
      </c>
      <c r="C1047" s="10" t="s">
        <v>1118</v>
      </c>
      <c r="D1047" t="s">
        <v>58</v>
      </c>
      <c r="E1047" t="s">
        <v>497</v>
      </c>
      <c r="F1047" t="s">
        <v>2524</v>
      </c>
      <c r="G1047">
        <v>50000</v>
      </c>
      <c r="H1047">
        <v>1979</v>
      </c>
      <c r="I1047" t="s">
        <v>58</v>
      </c>
      <c r="J1047" t="s">
        <v>58</v>
      </c>
      <c r="K1047" t="s">
        <v>58</v>
      </c>
      <c r="L1047" t="s">
        <v>58</v>
      </c>
      <c r="M1047" t="s">
        <v>58</v>
      </c>
      <c r="N1047" t="s">
        <v>61</v>
      </c>
      <c r="Q1047" t="s">
        <v>58</v>
      </c>
      <c r="R1047" s="11" t="str">
        <f>HYPERLINK("\\imagefiles.bcgov\imagery\scanned_maps\moe_terrain_maps\Scanned_T_maps_all\I14\I14-3141","\\imagefiles.bcgov\imagery\scanned_maps\moe_terrain_maps\Scanned_T_maps_all\I14\I14-3141")</f>
        <v>\\imagefiles.bcgov\imagery\scanned_maps\moe_terrain_maps\Scanned_T_maps_all\I14\I14-3141</v>
      </c>
      <c r="S1047" t="s">
        <v>62</v>
      </c>
      <c r="T1047" s="11" t="str">
        <f>HYPERLINK("http://www.env.gov.bc.ca/esd/distdata/ecosystems/TEI_Scanned_Maps/I14/I14-3141","http://www.env.gov.bc.ca/esd/distdata/ecosystems/TEI_Scanned_Maps/I14/I14-3141")</f>
        <v>http://www.env.gov.bc.ca/esd/distdata/ecosystems/TEI_Scanned_Maps/I14/I14-3141</v>
      </c>
      <c r="U1047" t="s">
        <v>58</v>
      </c>
      <c r="V1047" t="s">
        <v>58</v>
      </c>
      <c r="W1047" t="s">
        <v>58</v>
      </c>
      <c r="X1047" t="s">
        <v>58</v>
      </c>
      <c r="Y1047" t="s">
        <v>58</v>
      </c>
      <c r="Z1047" t="s">
        <v>58</v>
      </c>
      <c r="AA1047" t="s">
        <v>58</v>
      </c>
      <c r="AC1047" t="s">
        <v>58</v>
      </c>
      <c r="AE1047" t="s">
        <v>58</v>
      </c>
      <c r="AG1047" t="s">
        <v>63</v>
      </c>
      <c r="AH1047" s="11" t="str">
        <f t="shared" si="19"/>
        <v>mailto: soilterrain@victoria1.gov.bc.ca</v>
      </c>
    </row>
    <row r="1048" spans="1:34">
      <c r="A1048" t="s">
        <v>2525</v>
      </c>
      <c r="B1048" t="s">
        <v>56</v>
      </c>
      <c r="C1048" s="10" t="s">
        <v>1120</v>
      </c>
      <c r="D1048" t="s">
        <v>58</v>
      </c>
      <c r="E1048" t="s">
        <v>497</v>
      </c>
      <c r="F1048" t="s">
        <v>2526</v>
      </c>
      <c r="G1048">
        <v>50000</v>
      </c>
      <c r="H1048">
        <v>1979</v>
      </c>
      <c r="I1048" t="s">
        <v>58</v>
      </c>
      <c r="J1048" t="s">
        <v>58</v>
      </c>
      <c r="K1048" t="s">
        <v>58</v>
      </c>
      <c r="L1048" t="s">
        <v>58</v>
      </c>
      <c r="M1048" t="s">
        <v>58</v>
      </c>
      <c r="N1048" t="s">
        <v>61</v>
      </c>
      <c r="Q1048" t="s">
        <v>58</v>
      </c>
      <c r="R1048" s="11" t="str">
        <f>HYPERLINK("\\imagefiles.bcgov\imagery\scanned_maps\moe_terrain_maps\Scanned_T_maps_all\I14\I14-3142","\\imagefiles.bcgov\imagery\scanned_maps\moe_terrain_maps\Scanned_T_maps_all\I14\I14-3142")</f>
        <v>\\imagefiles.bcgov\imagery\scanned_maps\moe_terrain_maps\Scanned_T_maps_all\I14\I14-3142</v>
      </c>
      <c r="S1048" t="s">
        <v>62</v>
      </c>
      <c r="T1048" s="11" t="str">
        <f>HYPERLINK("http://www.env.gov.bc.ca/esd/distdata/ecosystems/TEI_Scanned_Maps/I14/I14-3142","http://www.env.gov.bc.ca/esd/distdata/ecosystems/TEI_Scanned_Maps/I14/I14-3142")</f>
        <v>http://www.env.gov.bc.ca/esd/distdata/ecosystems/TEI_Scanned_Maps/I14/I14-3142</v>
      </c>
      <c r="U1048" t="s">
        <v>58</v>
      </c>
      <c r="V1048" t="s">
        <v>58</v>
      </c>
      <c r="W1048" t="s">
        <v>58</v>
      </c>
      <c r="X1048" t="s">
        <v>58</v>
      </c>
      <c r="Y1048" t="s">
        <v>58</v>
      </c>
      <c r="Z1048" t="s">
        <v>58</v>
      </c>
      <c r="AA1048" t="s">
        <v>58</v>
      </c>
      <c r="AC1048" t="s">
        <v>58</v>
      </c>
      <c r="AE1048" t="s">
        <v>58</v>
      </c>
      <c r="AG1048" t="s">
        <v>63</v>
      </c>
      <c r="AH1048" s="11" t="str">
        <f t="shared" si="19"/>
        <v>mailto: soilterrain@victoria1.gov.bc.ca</v>
      </c>
    </row>
    <row r="1049" spans="1:34">
      <c r="A1049" t="s">
        <v>2527</v>
      </c>
      <c r="B1049" t="s">
        <v>56</v>
      </c>
      <c r="C1049" s="10" t="s">
        <v>89</v>
      </c>
      <c r="D1049" t="s">
        <v>58</v>
      </c>
      <c r="E1049" t="s">
        <v>497</v>
      </c>
      <c r="F1049" t="s">
        <v>2528</v>
      </c>
      <c r="G1049">
        <v>50000</v>
      </c>
      <c r="H1049">
        <v>1979</v>
      </c>
      <c r="I1049" t="s">
        <v>58</v>
      </c>
      <c r="J1049" t="s">
        <v>58</v>
      </c>
      <c r="K1049" t="s">
        <v>58</v>
      </c>
      <c r="L1049" t="s">
        <v>58</v>
      </c>
      <c r="M1049" t="s">
        <v>58</v>
      </c>
      <c r="N1049" t="s">
        <v>61</v>
      </c>
      <c r="Q1049" t="s">
        <v>58</v>
      </c>
      <c r="R1049" s="11" t="str">
        <f>HYPERLINK("\\imagefiles.bcgov\imagery\scanned_maps\moe_terrain_maps\Scanned_T_maps_all\I14\I14-3143","\\imagefiles.bcgov\imagery\scanned_maps\moe_terrain_maps\Scanned_T_maps_all\I14\I14-3143")</f>
        <v>\\imagefiles.bcgov\imagery\scanned_maps\moe_terrain_maps\Scanned_T_maps_all\I14\I14-3143</v>
      </c>
      <c r="S1049" t="s">
        <v>62</v>
      </c>
      <c r="T1049" s="11" t="str">
        <f>HYPERLINK("http://www.env.gov.bc.ca/esd/distdata/ecosystems/TEI_Scanned_Maps/I14/I14-3143","http://www.env.gov.bc.ca/esd/distdata/ecosystems/TEI_Scanned_Maps/I14/I14-3143")</f>
        <v>http://www.env.gov.bc.ca/esd/distdata/ecosystems/TEI_Scanned_Maps/I14/I14-3143</v>
      </c>
      <c r="U1049" t="s">
        <v>58</v>
      </c>
      <c r="V1049" t="s">
        <v>58</v>
      </c>
      <c r="W1049" t="s">
        <v>58</v>
      </c>
      <c r="X1049" t="s">
        <v>58</v>
      </c>
      <c r="Y1049" t="s">
        <v>58</v>
      </c>
      <c r="Z1049" t="s">
        <v>58</v>
      </c>
      <c r="AA1049" t="s">
        <v>58</v>
      </c>
      <c r="AC1049" t="s">
        <v>58</v>
      </c>
      <c r="AE1049" t="s">
        <v>58</v>
      </c>
      <c r="AG1049" t="s">
        <v>63</v>
      </c>
      <c r="AH1049" s="11" t="str">
        <f t="shared" si="19"/>
        <v>mailto: soilterrain@victoria1.gov.bc.ca</v>
      </c>
    </row>
    <row r="1050" spans="1:34">
      <c r="A1050" t="s">
        <v>2529</v>
      </c>
      <c r="B1050" t="s">
        <v>56</v>
      </c>
      <c r="C1050" s="10" t="s">
        <v>94</v>
      </c>
      <c r="D1050" t="s">
        <v>58</v>
      </c>
      <c r="E1050" t="s">
        <v>497</v>
      </c>
      <c r="F1050" t="s">
        <v>2530</v>
      </c>
      <c r="G1050">
        <v>50000</v>
      </c>
      <c r="H1050">
        <v>1979</v>
      </c>
      <c r="I1050" t="s">
        <v>58</v>
      </c>
      <c r="J1050" t="s">
        <v>58</v>
      </c>
      <c r="K1050" t="s">
        <v>58</v>
      </c>
      <c r="L1050" t="s">
        <v>58</v>
      </c>
      <c r="M1050" t="s">
        <v>58</v>
      </c>
      <c r="N1050" t="s">
        <v>61</v>
      </c>
      <c r="Q1050" t="s">
        <v>58</v>
      </c>
      <c r="R1050" s="11" t="str">
        <f>HYPERLINK("\\imagefiles.bcgov\imagery\scanned_maps\moe_terrain_maps\Scanned_T_maps_all\I14\I14-3144","\\imagefiles.bcgov\imagery\scanned_maps\moe_terrain_maps\Scanned_T_maps_all\I14\I14-3144")</f>
        <v>\\imagefiles.bcgov\imagery\scanned_maps\moe_terrain_maps\Scanned_T_maps_all\I14\I14-3144</v>
      </c>
      <c r="S1050" t="s">
        <v>62</v>
      </c>
      <c r="T1050" s="11" t="str">
        <f>HYPERLINK("http://www.env.gov.bc.ca/esd/distdata/ecosystems/TEI_Scanned_Maps/I14/I14-3144","http://www.env.gov.bc.ca/esd/distdata/ecosystems/TEI_Scanned_Maps/I14/I14-3144")</f>
        <v>http://www.env.gov.bc.ca/esd/distdata/ecosystems/TEI_Scanned_Maps/I14/I14-3144</v>
      </c>
      <c r="U1050" t="s">
        <v>58</v>
      </c>
      <c r="V1050" t="s">
        <v>58</v>
      </c>
      <c r="W1050" t="s">
        <v>58</v>
      </c>
      <c r="X1050" t="s">
        <v>58</v>
      </c>
      <c r="Y1050" t="s">
        <v>58</v>
      </c>
      <c r="Z1050" t="s">
        <v>58</v>
      </c>
      <c r="AA1050" t="s">
        <v>58</v>
      </c>
      <c r="AC1050" t="s">
        <v>58</v>
      </c>
      <c r="AE1050" t="s">
        <v>58</v>
      </c>
      <c r="AG1050" t="s">
        <v>63</v>
      </c>
      <c r="AH1050" s="11" t="str">
        <f t="shared" si="19"/>
        <v>mailto: soilterrain@victoria1.gov.bc.ca</v>
      </c>
    </row>
    <row r="1051" spans="1:34">
      <c r="A1051" t="s">
        <v>2531</v>
      </c>
      <c r="B1051" t="s">
        <v>56</v>
      </c>
      <c r="C1051" s="10" t="s">
        <v>1125</v>
      </c>
      <c r="D1051" t="s">
        <v>58</v>
      </c>
      <c r="E1051" t="s">
        <v>497</v>
      </c>
      <c r="F1051" t="s">
        <v>2532</v>
      </c>
      <c r="G1051">
        <v>50000</v>
      </c>
      <c r="H1051">
        <v>1979</v>
      </c>
      <c r="I1051" t="s">
        <v>58</v>
      </c>
      <c r="J1051" t="s">
        <v>58</v>
      </c>
      <c r="K1051" t="s">
        <v>58</v>
      </c>
      <c r="L1051" t="s">
        <v>58</v>
      </c>
      <c r="M1051" t="s">
        <v>58</v>
      </c>
      <c r="N1051" t="s">
        <v>61</v>
      </c>
      <c r="Q1051" t="s">
        <v>58</v>
      </c>
      <c r="R1051" s="11" t="str">
        <f>HYPERLINK("\\imagefiles.bcgov\imagery\scanned_maps\moe_terrain_maps\Scanned_T_maps_all\I14\I14-3145","\\imagefiles.bcgov\imagery\scanned_maps\moe_terrain_maps\Scanned_T_maps_all\I14\I14-3145")</f>
        <v>\\imagefiles.bcgov\imagery\scanned_maps\moe_terrain_maps\Scanned_T_maps_all\I14\I14-3145</v>
      </c>
      <c r="S1051" t="s">
        <v>62</v>
      </c>
      <c r="T1051" s="11" t="str">
        <f>HYPERLINK("http://www.env.gov.bc.ca/esd/distdata/ecosystems/TEI_Scanned_Maps/I14/I14-3145","http://www.env.gov.bc.ca/esd/distdata/ecosystems/TEI_Scanned_Maps/I14/I14-3145")</f>
        <v>http://www.env.gov.bc.ca/esd/distdata/ecosystems/TEI_Scanned_Maps/I14/I14-3145</v>
      </c>
      <c r="U1051" t="s">
        <v>58</v>
      </c>
      <c r="V1051" t="s">
        <v>58</v>
      </c>
      <c r="W1051" t="s">
        <v>58</v>
      </c>
      <c r="X1051" t="s">
        <v>58</v>
      </c>
      <c r="Y1051" t="s">
        <v>58</v>
      </c>
      <c r="Z1051" t="s">
        <v>58</v>
      </c>
      <c r="AA1051" t="s">
        <v>58</v>
      </c>
      <c r="AC1051" t="s">
        <v>58</v>
      </c>
      <c r="AE1051" t="s">
        <v>58</v>
      </c>
      <c r="AG1051" t="s">
        <v>63</v>
      </c>
      <c r="AH1051" s="11" t="str">
        <f t="shared" si="19"/>
        <v>mailto: soilterrain@victoria1.gov.bc.ca</v>
      </c>
    </row>
    <row r="1052" spans="1:34">
      <c r="A1052" t="s">
        <v>2533</v>
      </c>
      <c r="B1052" t="s">
        <v>56</v>
      </c>
      <c r="C1052" s="10" t="s">
        <v>1130</v>
      </c>
      <c r="D1052" t="s">
        <v>58</v>
      </c>
      <c r="E1052" t="s">
        <v>497</v>
      </c>
      <c r="F1052" t="s">
        <v>2534</v>
      </c>
      <c r="G1052">
        <v>50000</v>
      </c>
      <c r="H1052">
        <v>1979</v>
      </c>
      <c r="I1052" t="s">
        <v>58</v>
      </c>
      <c r="J1052" t="s">
        <v>58</v>
      </c>
      <c r="K1052" t="s">
        <v>58</v>
      </c>
      <c r="L1052" t="s">
        <v>58</v>
      </c>
      <c r="M1052" t="s">
        <v>58</v>
      </c>
      <c r="N1052" t="s">
        <v>61</v>
      </c>
      <c r="Q1052" t="s">
        <v>58</v>
      </c>
      <c r="R1052" s="11" t="str">
        <f>HYPERLINK("\\imagefiles.bcgov\imagery\scanned_maps\moe_terrain_maps\Scanned_T_maps_all\I14\I14-3146","\\imagefiles.bcgov\imagery\scanned_maps\moe_terrain_maps\Scanned_T_maps_all\I14\I14-3146")</f>
        <v>\\imagefiles.bcgov\imagery\scanned_maps\moe_terrain_maps\Scanned_T_maps_all\I14\I14-3146</v>
      </c>
      <c r="S1052" t="s">
        <v>62</v>
      </c>
      <c r="T1052" s="11" t="str">
        <f>HYPERLINK("http://www.env.gov.bc.ca/esd/distdata/ecosystems/TEI_Scanned_Maps/I14/I14-3146","http://www.env.gov.bc.ca/esd/distdata/ecosystems/TEI_Scanned_Maps/I14/I14-3146")</f>
        <v>http://www.env.gov.bc.ca/esd/distdata/ecosystems/TEI_Scanned_Maps/I14/I14-3146</v>
      </c>
      <c r="U1052" t="s">
        <v>58</v>
      </c>
      <c r="V1052" t="s">
        <v>58</v>
      </c>
      <c r="W1052" t="s">
        <v>58</v>
      </c>
      <c r="X1052" t="s">
        <v>58</v>
      </c>
      <c r="Y1052" t="s">
        <v>58</v>
      </c>
      <c r="Z1052" t="s">
        <v>58</v>
      </c>
      <c r="AA1052" t="s">
        <v>58</v>
      </c>
      <c r="AC1052" t="s">
        <v>58</v>
      </c>
      <c r="AE1052" t="s">
        <v>58</v>
      </c>
      <c r="AG1052" t="s">
        <v>63</v>
      </c>
      <c r="AH1052" s="11" t="str">
        <f t="shared" si="19"/>
        <v>mailto: soilterrain@victoria1.gov.bc.ca</v>
      </c>
    </row>
    <row r="1053" spans="1:34">
      <c r="A1053" t="s">
        <v>2535</v>
      </c>
      <c r="B1053" t="s">
        <v>56</v>
      </c>
      <c r="C1053" s="10" t="s">
        <v>1143</v>
      </c>
      <c r="D1053" t="s">
        <v>58</v>
      </c>
      <c r="E1053" t="s">
        <v>497</v>
      </c>
      <c r="F1053" t="s">
        <v>2536</v>
      </c>
      <c r="G1053">
        <v>50000</v>
      </c>
      <c r="H1053">
        <v>1979</v>
      </c>
      <c r="I1053" t="s">
        <v>58</v>
      </c>
      <c r="J1053" t="s">
        <v>58</v>
      </c>
      <c r="K1053" t="s">
        <v>58</v>
      </c>
      <c r="L1053" t="s">
        <v>58</v>
      </c>
      <c r="M1053" t="s">
        <v>58</v>
      </c>
      <c r="N1053" t="s">
        <v>61</v>
      </c>
      <c r="Q1053" t="s">
        <v>58</v>
      </c>
      <c r="R1053" s="11" t="str">
        <f>HYPERLINK("\\imagefiles.bcgov\imagery\scanned_maps\moe_terrain_maps\Scanned_T_maps_all\I14\I14-3150","\\imagefiles.bcgov\imagery\scanned_maps\moe_terrain_maps\Scanned_T_maps_all\I14\I14-3150")</f>
        <v>\\imagefiles.bcgov\imagery\scanned_maps\moe_terrain_maps\Scanned_T_maps_all\I14\I14-3150</v>
      </c>
      <c r="S1053" t="s">
        <v>62</v>
      </c>
      <c r="T1053" s="11" t="str">
        <f>HYPERLINK("http://www.env.gov.bc.ca/esd/distdata/ecosystems/TEI_Scanned_Maps/I14/I14-3150","http://www.env.gov.bc.ca/esd/distdata/ecosystems/TEI_Scanned_Maps/I14/I14-3150")</f>
        <v>http://www.env.gov.bc.ca/esd/distdata/ecosystems/TEI_Scanned_Maps/I14/I14-3150</v>
      </c>
      <c r="U1053" t="s">
        <v>58</v>
      </c>
      <c r="V1053" t="s">
        <v>58</v>
      </c>
      <c r="W1053" t="s">
        <v>58</v>
      </c>
      <c r="X1053" t="s">
        <v>58</v>
      </c>
      <c r="Y1053" t="s">
        <v>58</v>
      </c>
      <c r="Z1053" t="s">
        <v>58</v>
      </c>
      <c r="AA1053" t="s">
        <v>58</v>
      </c>
      <c r="AC1053" t="s">
        <v>58</v>
      </c>
      <c r="AE1053" t="s">
        <v>58</v>
      </c>
      <c r="AG1053" t="s">
        <v>63</v>
      </c>
      <c r="AH1053" s="11" t="str">
        <f t="shared" si="19"/>
        <v>mailto: soilterrain@victoria1.gov.bc.ca</v>
      </c>
    </row>
    <row r="1054" spans="1:34">
      <c r="A1054" t="s">
        <v>2537</v>
      </c>
      <c r="B1054" t="s">
        <v>56</v>
      </c>
      <c r="C1054" s="10" t="s">
        <v>1157</v>
      </c>
      <c r="D1054" t="s">
        <v>58</v>
      </c>
      <c r="E1054" t="s">
        <v>497</v>
      </c>
      <c r="F1054" t="s">
        <v>2538</v>
      </c>
      <c r="G1054">
        <v>50000</v>
      </c>
      <c r="H1054">
        <v>1979</v>
      </c>
      <c r="I1054" t="s">
        <v>58</v>
      </c>
      <c r="J1054" t="s">
        <v>58</v>
      </c>
      <c r="K1054" t="s">
        <v>58</v>
      </c>
      <c r="L1054" t="s">
        <v>58</v>
      </c>
      <c r="M1054" t="s">
        <v>58</v>
      </c>
      <c r="N1054" t="s">
        <v>61</v>
      </c>
      <c r="Q1054" t="s">
        <v>58</v>
      </c>
      <c r="R1054" s="11" t="str">
        <f>HYPERLINK("\\imagefiles.bcgov\imagery\scanned_maps\moe_terrain_maps\Scanned_T_maps_all\I14\I14-3151","\\imagefiles.bcgov\imagery\scanned_maps\moe_terrain_maps\Scanned_T_maps_all\I14\I14-3151")</f>
        <v>\\imagefiles.bcgov\imagery\scanned_maps\moe_terrain_maps\Scanned_T_maps_all\I14\I14-3151</v>
      </c>
      <c r="S1054" t="s">
        <v>62</v>
      </c>
      <c r="T1054" s="11" t="str">
        <f>HYPERLINK("http://www.env.gov.bc.ca/esd/distdata/ecosystems/TEI_Scanned_Maps/I14/I14-3151","http://www.env.gov.bc.ca/esd/distdata/ecosystems/TEI_Scanned_Maps/I14/I14-3151")</f>
        <v>http://www.env.gov.bc.ca/esd/distdata/ecosystems/TEI_Scanned_Maps/I14/I14-3151</v>
      </c>
      <c r="U1054" t="s">
        <v>58</v>
      </c>
      <c r="V1054" t="s">
        <v>58</v>
      </c>
      <c r="W1054" t="s">
        <v>58</v>
      </c>
      <c r="X1054" t="s">
        <v>58</v>
      </c>
      <c r="Y1054" t="s">
        <v>58</v>
      </c>
      <c r="Z1054" t="s">
        <v>58</v>
      </c>
      <c r="AA1054" t="s">
        <v>58</v>
      </c>
      <c r="AC1054" t="s">
        <v>58</v>
      </c>
      <c r="AE1054" t="s">
        <v>58</v>
      </c>
      <c r="AG1054" t="s">
        <v>63</v>
      </c>
      <c r="AH1054" s="11" t="str">
        <f t="shared" si="19"/>
        <v>mailto: soilterrain@victoria1.gov.bc.ca</v>
      </c>
    </row>
    <row r="1055" spans="1:34">
      <c r="A1055" t="s">
        <v>2539</v>
      </c>
      <c r="B1055" t="s">
        <v>56</v>
      </c>
      <c r="C1055" s="10" t="s">
        <v>1159</v>
      </c>
      <c r="D1055" t="s">
        <v>58</v>
      </c>
      <c r="E1055" t="s">
        <v>497</v>
      </c>
      <c r="F1055" t="s">
        <v>2540</v>
      </c>
      <c r="G1055">
        <v>50000</v>
      </c>
      <c r="H1055">
        <v>1979</v>
      </c>
      <c r="I1055" t="s">
        <v>58</v>
      </c>
      <c r="J1055" t="s">
        <v>58</v>
      </c>
      <c r="K1055" t="s">
        <v>58</v>
      </c>
      <c r="L1055" t="s">
        <v>58</v>
      </c>
      <c r="M1055" t="s">
        <v>58</v>
      </c>
      <c r="N1055" t="s">
        <v>61</v>
      </c>
      <c r="Q1055" t="s">
        <v>58</v>
      </c>
      <c r="R1055" s="11" t="str">
        <f>HYPERLINK("\\imagefiles.bcgov\imagery\scanned_maps\moe_terrain_maps\Scanned_T_maps_all\I14\I14-3152","\\imagefiles.bcgov\imagery\scanned_maps\moe_terrain_maps\Scanned_T_maps_all\I14\I14-3152")</f>
        <v>\\imagefiles.bcgov\imagery\scanned_maps\moe_terrain_maps\Scanned_T_maps_all\I14\I14-3152</v>
      </c>
      <c r="S1055" t="s">
        <v>62</v>
      </c>
      <c r="T1055" s="11" t="str">
        <f>HYPERLINK("http://www.env.gov.bc.ca/esd/distdata/ecosystems/TEI_Scanned_Maps/I14/I14-3152","http://www.env.gov.bc.ca/esd/distdata/ecosystems/TEI_Scanned_Maps/I14/I14-3152")</f>
        <v>http://www.env.gov.bc.ca/esd/distdata/ecosystems/TEI_Scanned_Maps/I14/I14-3152</v>
      </c>
      <c r="U1055" t="s">
        <v>58</v>
      </c>
      <c r="V1055" t="s">
        <v>58</v>
      </c>
      <c r="W1055" t="s">
        <v>58</v>
      </c>
      <c r="X1055" t="s">
        <v>58</v>
      </c>
      <c r="Y1055" t="s">
        <v>58</v>
      </c>
      <c r="Z1055" t="s">
        <v>58</v>
      </c>
      <c r="AA1055" t="s">
        <v>58</v>
      </c>
      <c r="AC1055" t="s">
        <v>58</v>
      </c>
      <c r="AE1055" t="s">
        <v>58</v>
      </c>
      <c r="AG1055" t="s">
        <v>63</v>
      </c>
      <c r="AH1055" s="11" t="str">
        <f t="shared" si="19"/>
        <v>mailto: soilterrain@victoria1.gov.bc.ca</v>
      </c>
    </row>
    <row r="1056" spans="1:34">
      <c r="A1056" t="s">
        <v>2541</v>
      </c>
      <c r="B1056" t="s">
        <v>56</v>
      </c>
      <c r="C1056" s="10" t="s">
        <v>1161</v>
      </c>
      <c r="D1056" t="s">
        <v>58</v>
      </c>
      <c r="E1056" t="s">
        <v>497</v>
      </c>
      <c r="F1056" t="s">
        <v>2542</v>
      </c>
      <c r="G1056">
        <v>50000</v>
      </c>
      <c r="H1056">
        <v>1979</v>
      </c>
      <c r="I1056" t="s">
        <v>58</v>
      </c>
      <c r="J1056" t="s">
        <v>58</v>
      </c>
      <c r="K1056" t="s">
        <v>58</v>
      </c>
      <c r="L1056" t="s">
        <v>58</v>
      </c>
      <c r="M1056" t="s">
        <v>58</v>
      </c>
      <c r="N1056" t="s">
        <v>61</v>
      </c>
      <c r="Q1056" t="s">
        <v>58</v>
      </c>
      <c r="R1056" s="11" t="str">
        <f>HYPERLINK("\\imagefiles.bcgov\imagery\scanned_maps\moe_terrain_maps\Scanned_T_maps_all\I14\I14-3153","\\imagefiles.bcgov\imagery\scanned_maps\moe_terrain_maps\Scanned_T_maps_all\I14\I14-3153")</f>
        <v>\\imagefiles.bcgov\imagery\scanned_maps\moe_terrain_maps\Scanned_T_maps_all\I14\I14-3153</v>
      </c>
      <c r="S1056" t="s">
        <v>62</v>
      </c>
      <c r="T1056" s="11" t="str">
        <f>HYPERLINK("http://www.env.gov.bc.ca/esd/distdata/ecosystems/TEI_Scanned_Maps/I14/I14-3153","http://www.env.gov.bc.ca/esd/distdata/ecosystems/TEI_Scanned_Maps/I14/I14-3153")</f>
        <v>http://www.env.gov.bc.ca/esd/distdata/ecosystems/TEI_Scanned_Maps/I14/I14-3153</v>
      </c>
      <c r="U1056" t="s">
        <v>58</v>
      </c>
      <c r="V1056" t="s">
        <v>58</v>
      </c>
      <c r="W1056" t="s">
        <v>58</v>
      </c>
      <c r="X1056" t="s">
        <v>58</v>
      </c>
      <c r="Y1056" t="s">
        <v>58</v>
      </c>
      <c r="Z1056" t="s">
        <v>58</v>
      </c>
      <c r="AA1056" t="s">
        <v>58</v>
      </c>
      <c r="AC1056" t="s">
        <v>58</v>
      </c>
      <c r="AE1056" t="s">
        <v>58</v>
      </c>
      <c r="AG1056" t="s">
        <v>63</v>
      </c>
      <c r="AH1056" s="11" t="str">
        <f t="shared" si="19"/>
        <v>mailto: soilterrain@victoria1.gov.bc.ca</v>
      </c>
    </row>
    <row r="1057" spans="1:34">
      <c r="A1057" t="s">
        <v>2543</v>
      </c>
      <c r="B1057" t="s">
        <v>56</v>
      </c>
      <c r="C1057" s="10" t="s">
        <v>1173</v>
      </c>
      <c r="D1057" t="s">
        <v>58</v>
      </c>
      <c r="E1057" t="s">
        <v>497</v>
      </c>
      <c r="F1057" t="s">
        <v>2544</v>
      </c>
      <c r="G1057">
        <v>50000</v>
      </c>
      <c r="H1057">
        <v>1979</v>
      </c>
      <c r="I1057" t="s">
        <v>58</v>
      </c>
      <c r="J1057" t="s">
        <v>58</v>
      </c>
      <c r="K1057" t="s">
        <v>58</v>
      </c>
      <c r="L1057" t="s">
        <v>58</v>
      </c>
      <c r="M1057" t="s">
        <v>58</v>
      </c>
      <c r="N1057" t="s">
        <v>61</v>
      </c>
      <c r="Q1057" t="s">
        <v>58</v>
      </c>
      <c r="R1057" s="11" t="str">
        <f>HYPERLINK("\\imagefiles.bcgov\imagery\scanned_maps\moe_terrain_maps\Scanned_T_maps_all\I14\I14-3154","\\imagefiles.bcgov\imagery\scanned_maps\moe_terrain_maps\Scanned_T_maps_all\I14\I14-3154")</f>
        <v>\\imagefiles.bcgov\imagery\scanned_maps\moe_terrain_maps\Scanned_T_maps_all\I14\I14-3154</v>
      </c>
      <c r="S1057" t="s">
        <v>62</v>
      </c>
      <c r="T1057" s="11" t="str">
        <f>HYPERLINK("http://www.env.gov.bc.ca/esd/distdata/ecosystems/TEI_Scanned_Maps/I14/I14-3154","http://www.env.gov.bc.ca/esd/distdata/ecosystems/TEI_Scanned_Maps/I14/I14-3154")</f>
        <v>http://www.env.gov.bc.ca/esd/distdata/ecosystems/TEI_Scanned_Maps/I14/I14-3154</v>
      </c>
      <c r="U1057" t="s">
        <v>58</v>
      </c>
      <c r="V1057" t="s">
        <v>58</v>
      </c>
      <c r="W1057" t="s">
        <v>58</v>
      </c>
      <c r="X1057" t="s">
        <v>58</v>
      </c>
      <c r="Y1057" t="s">
        <v>58</v>
      </c>
      <c r="Z1057" t="s">
        <v>58</v>
      </c>
      <c r="AA1057" t="s">
        <v>58</v>
      </c>
      <c r="AC1057" t="s">
        <v>58</v>
      </c>
      <c r="AE1057" t="s">
        <v>58</v>
      </c>
      <c r="AG1057" t="s">
        <v>63</v>
      </c>
      <c r="AH1057" s="11" t="str">
        <f t="shared" si="19"/>
        <v>mailto: soilterrain@victoria1.gov.bc.ca</v>
      </c>
    </row>
    <row r="1058" spans="1:34">
      <c r="A1058" t="s">
        <v>2545</v>
      </c>
      <c r="B1058" t="s">
        <v>56</v>
      </c>
      <c r="C1058" s="10" t="s">
        <v>1201</v>
      </c>
      <c r="D1058" t="s">
        <v>58</v>
      </c>
      <c r="E1058" t="s">
        <v>497</v>
      </c>
      <c r="F1058" t="s">
        <v>2546</v>
      </c>
      <c r="G1058">
        <v>50000</v>
      </c>
      <c r="H1058">
        <v>1979</v>
      </c>
      <c r="I1058" t="s">
        <v>58</v>
      </c>
      <c r="J1058" t="s">
        <v>58</v>
      </c>
      <c r="K1058" t="s">
        <v>58</v>
      </c>
      <c r="L1058" t="s">
        <v>58</v>
      </c>
      <c r="M1058" t="s">
        <v>58</v>
      </c>
      <c r="N1058" t="s">
        <v>61</v>
      </c>
      <c r="Q1058" t="s">
        <v>58</v>
      </c>
      <c r="R1058" s="11" t="str">
        <f>HYPERLINK("\\imagefiles.bcgov\imagery\scanned_maps\moe_terrain_maps\Scanned_T_maps_all\I14\I14-3155","\\imagefiles.bcgov\imagery\scanned_maps\moe_terrain_maps\Scanned_T_maps_all\I14\I14-3155")</f>
        <v>\\imagefiles.bcgov\imagery\scanned_maps\moe_terrain_maps\Scanned_T_maps_all\I14\I14-3155</v>
      </c>
      <c r="S1058" t="s">
        <v>62</v>
      </c>
      <c r="T1058" s="11" t="str">
        <f>HYPERLINK("http://www.env.gov.bc.ca/esd/distdata/ecosystems/TEI_Scanned_Maps/I14/I14-3155","http://www.env.gov.bc.ca/esd/distdata/ecosystems/TEI_Scanned_Maps/I14/I14-3155")</f>
        <v>http://www.env.gov.bc.ca/esd/distdata/ecosystems/TEI_Scanned_Maps/I14/I14-3155</v>
      </c>
      <c r="U1058" t="s">
        <v>58</v>
      </c>
      <c r="V1058" t="s">
        <v>58</v>
      </c>
      <c r="W1058" t="s">
        <v>58</v>
      </c>
      <c r="X1058" t="s">
        <v>58</v>
      </c>
      <c r="Y1058" t="s">
        <v>58</v>
      </c>
      <c r="Z1058" t="s">
        <v>58</v>
      </c>
      <c r="AA1058" t="s">
        <v>58</v>
      </c>
      <c r="AC1058" t="s">
        <v>58</v>
      </c>
      <c r="AE1058" t="s">
        <v>58</v>
      </c>
      <c r="AG1058" t="s">
        <v>63</v>
      </c>
      <c r="AH1058" s="11" t="str">
        <f t="shared" si="19"/>
        <v>mailto: soilterrain@victoria1.gov.bc.ca</v>
      </c>
    </row>
    <row r="1059" spans="1:34">
      <c r="A1059" t="s">
        <v>2547</v>
      </c>
      <c r="B1059" t="s">
        <v>56</v>
      </c>
      <c r="C1059" s="10" t="s">
        <v>1203</v>
      </c>
      <c r="D1059" t="s">
        <v>58</v>
      </c>
      <c r="E1059" t="s">
        <v>497</v>
      </c>
      <c r="F1059" t="s">
        <v>2548</v>
      </c>
      <c r="G1059">
        <v>50000</v>
      </c>
      <c r="H1059">
        <v>1979</v>
      </c>
      <c r="I1059" t="s">
        <v>58</v>
      </c>
      <c r="J1059" t="s">
        <v>58</v>
      </c>
      <c r="K1059" t="s">
        <v>58</v>
      </c>
      <c r="L1059" t="s">
        <v>58</v>
      </c>
      <c r="M1059" t="s">
        <v>58</v>
      </c>
      <c r="N1059" t="s">
        <v>61</v>
      </c>
      <c r="Q1059" t="s">
        <v>58</v>
      </c>
      <c r="R1059" s="11" t="str">
        <f>HYPERLINK("\\imagefiles.bcgov\imagery\scanned_maps\moe_terrain_maps\Scanned_T_maps_all\I14\I14-3156","\\imagefiles.bcgov\imagery\scanned_maps\moe_terrain_maps\Scanned_T_maps_all\I14\I14-3156")</f>
        <v>\\imagefiles.bcgov\imagery\scanned_maps\moe_terrain_maps\Scanned_T_maps_all\I14\I14-3156</v>
      </c>
      <c r="S1059" t="s">
        <v>62</v>
      </c>
      <c r="T1059" s="11" t="str">
        <f>HYPERLINK("http://www.env.gov.bc.ca/esd/distdata/ecosystems/TEI_Scanned_Maps/I14/I14-3156","http://www.env.gov.bc.ca/esd/distdata/ecosystems/TEI_Scanned_Maps/I14/I14-3156")</f>
        <v>http://www.env.gov.bc.ca/esd/distdata/ecosystems/TEI_Scanned_Maps/I14/I14-3156</v>
      </c>
      <c r="U1059" t="s">
        <v>58</v>
      </c>
      <c r="V1059" t="s">
        <v>58</v>
      </c>
      <c r="W1059" t="s">
        <v>58</v>
      </c>
      <c r="X1059" t="s">
        <v>58</v>
      </c>
      <c r="Y1059" t="s">
        <v>58</v>
      </c>
      <c r="Z1059" t="s">
        <v>58</v>
      </c>
      <c r="AA1059" t="s">
        <v>58</v>
      </c>
      <c r="AC1059" t="s">
        <v>58</v>
      </c>
      <c r="AE1059" t="s">
        <v>58</v>
      </c>
      <c r="AG1059" t="s">
        <v>63</v>
      </c>
      <c r="AH1059" s="11" t="str">
        <f t="shared" si="19"/>
        <v>mailto: soilterrain@victoria1.gov.bc.ca</v>
      </c>
    </row>
    <row r="1060" spans="1:34">
      <c r="A1060" t="s">
        <v>2549</v>
      </c>
      <c r="B1060" t="s">
        <v>56</v>
      </c>
      <c r="C1060" s="10" t="s">
        <v>507</v>
      </c>
      <c r="D1060" t="s">
        <v>58</v>
      </c>
      <c r="E1060" t="s">
        <v>497</v>
      </c>
      <c r="F1060" t="s">
        <v>2550</v>
      </c>
      <c r="G1060">
        <v>50000</v>
      </c>
      <c r="H1060">
        <v>1979</v>
      </c>
      <c r="I1060" t="s">
        <v>58</v>
      </c>
      <c r="J1060" t="s">
        <v>58</v>
      </c>
      <c r="K1060" t="s">
        <v>58</v>
      </c>
      <c r="L1060" t="s">
        <v>58</v>
      </c>
      <c r="M1060" t="s">
        <v>58</v>
      </c>
      <c r="N1060" t="s">
        <v>61</v>
      </c>
      <c r="Q1060" t="s">
        <v>58</v>
      </c>
      <c r="R1060" s="11" t="str">
        <f>HYPERLINK("\\imagefiles.bcgov\imagery\scanned_maps\moe_terrain_maps\Scanned_T_maps_all\I14\I14-3157","\\imagefiles.bcgov\imagery\scanned_maps\moe_terrain_maps\Scanned_T_maps_all\I14\I14-3157")</f>
        <v>\\imagefiles.bcgov\imagery\scanned_maps\moe_terrain_maps\Scanned_T_maps_all\I14\I14-3157</v>
      </c>
      <c r="S1060" t="s">
        <v>62</v>
      </c>
      <c r="T1060" s="11" t="str">
        <f>HYPERLINK("http://www.env.gov.bc.ca/esd/distdata/ecosystems/TEI_Scanned_Maps/I14/I14-3157","http://www.env.gov.bc.ca/esd/distdata/ecosystems/TEI_Scanned_Maps/I14/I14-3157")</f>
        <v>http://www.env.gov.bc.ca/esd/distdata/ecosystems/TEI_Scanned_Maps/I14/I14-3157</v>
      </c>
      <c r="U1060" t="s">
        <v>58</v>
      </c>
      <c r="V1060" t="s">
        <v>58</v>
      </c>
      <c r="W1060" t="s">
        <v>58</v>
      </c>
      <c r="X1060" t="s">
        <v>58</v>
      </c>
      <c r="Y1060" t="s">
        <v>58</v>
      </c>
      <c r="Z1060" t="s">
        <v>58</v>
      </c>
      <c r="AA1060" t="s">
        <v>58</v>
      </c>
      <c r="AC1060" t="s">
        <v>58</v>
      </c>
      <c r="AE1060" t="s">
        <v>58</v>
      </c>
      <c r="AG1060" t="s">
        <v>63</v>
      </c>
      <c r="AH1060" s="11" t="str">
        <f t="shared" si="19"/>
        <v>mailto: soilterrain@victoria1.gov.bc.ca</v>
      </c>
    </row>
    <row r="1061" spans="1:34">
      <c r="A1061" t="s">
        <v>2551</v>
      </c>
      <c r="B1061" t="s">
        <v>56</v>
      </c>
      <c r="C1061" s="10" t="s">
        <v>510</v>
      </c>
      <c r="D1061" t="s">
        <v>58</v>
      </c>
      <c r="E1061" t="s">
        <v>497</v>
      </c>
      <c r="F1061" t="s">
        <v>2552</v>
      </c>
      <c r="G1061">
        <v>50000</v>
      </c>
      <c r="H1061">
        <v>1979</v>
      </c>
      <c r="I1061" t="s">
        <v>58</v>
      </c>
      <c r="J1061" t="s">
        <v>58</v>
      </c>
      <c r="K1061" t="s">
        <v>58</v>
      </c>
      <c r="L1061" t="s">
        <v>58</v>
      </c>
      <c r="M1061" t="s">
        <v>58</v>
      </c>
      <c r="N1061" t="s">
        <v>61</v>
      </c>
      <c r="Q1061" t="s">
        <v>58</v>
      </c>
      <c r="R1061" s="11" t="str">
        <f>HYPERLINK("\\imagefiles.bcgov\imagery\scanned_maps\moe_terrain_maps\Scanned_T_maps_all\I14\I14-4907","\\imagefiles.bcgov\imagery\scanned_maps\moe_terrain_maps\Scanned_T_maps_all\I14\I14-4907")</f>
        <v>\\imagefiles.bcgov\imagery\scanned_maps\moe_terrain_maps\Scanned_T_maps_all\I14\I14-4907</v>
      </c>
      <c r="S1061" t="s">
        <v>62</v>
      </c>
      <c r="T1061" s="11" t="str">
        <f>HYPERLINK("http://www.env.gov.bc.ca/esd/distdata/ecosystems/TEI_Scanned_Maps/I14/I14-4907","http://www.env.gov.bc.ca/esd/distdata/ecosystems/TEI_Scanned_Maps/I14/I14-4907")</f>
        <v>http://www.env.gov.bc.ca/esd/distdata/ecosystems/TEI_Scanned_Maps/I14/I14-4907</v>
      </c>
      <c r="U1061" t="s">
        <v>58</v>
      </c>
      <c r="V1061" t="s">
        <v>58</v>
      </c>
      <c r="W1061" t="s">
        <v>58</v>
      </c>
      <c r="X1061" t="s">
        <v>58</v>
      </c>
      <c r="Y1061" t="s">
        <v>58</v>
      </c>
      <c r="Z1061" t="s">
        <v>58</v>
      </c>
      <c r="AA1061" t="s">
        <v>58</v>
      </c>
      <c r="AC1061" t="s">
        <v>58</v>
      </c>
      <c r="AE1061" t="s">
        <v>58</v>
      </c>
      <c r="AG1061" t="s">
        <v>63</v>
      </c>
      <c r="AH1061" s="11" t="str">
        <f t="shared" si="19"/>
        <v>mailto: soilterrain@victoria1.gov.bc.ca</v>
      </c>
    </row>
    <row r="1062" spans="1:34">
      <c r="A1062" t="s">
        <v>2553</v>
      </c>
      <c r="B1062" t="s">
        <v>56</v>
      </c>
      <c r="C1062" s="10" t="s">
        <v>2554</v>
      </c>
      <c r="D1062" t="s">
        <v>58</v>
      </c>
      <c r="E1062" t="s">
        <v>497</v>
      </c>
      <c r="F1062" t="s">
        <v>2555</v>
      </c>
      <c r="G1062">
        <v>50000</v>
      </c>
      <c r="H1062">
        <v>1988</v>
      </c>
      <c r="I1062" t="s">
        <v>58</v>
      </c>
      <c r="J1062" t="s">
        <v>58</v>
      </c>
      <c r="K1062" t="s">
        <v>58</v>
      </c>
      <c r="L1062" t="s">
        <v>58</v>
      </c>
      <c r="M1062" t="s">
        <v>58</v>
      </c>
      <c r="N1062" t="s">
        <v>61</v>
      </c>
      <c r="Q1062" t="s">
        <v>58</v>
      </c>
      <c r="R1062" s="11" t="str">
        <f>HYPERLINK("\\imagefiles.bcgov\imagery\scanned_maps\moe_terrain_maps\Scanned_T_maps_all\I14\I14-877","\\imagefiles.bcgov\imagery\scanned_maps\moe_terrain_maps\Scanned_T_maps_all\I14\I14-877")</f>
        <v>\\imagefiles.bcgov\imagery\scanned_maps\moe_terrain_maps\Scanned_T_maps_all\I14\I14-877</v>
      </c>
      <c r="S1062" t="s">
        <v>62</v>
      </c>
      <c r="T1062" s="11" t="str">
        <f>HYPERLINK("http://www.env.gov.bc.ca/esd/distdata/ecosystems/TEI_Scanned_Maps/I14/I14-877","http://www.env.gov.bc.ca/esd/distdata/ecosystems/TEI_Scanned_Maps/I14/I14-877")</f>
        <v>http://www.env.gov.bc.ca/esd/distdata/ecosystems/TEI_Scanned_Maps/I14/I14-877</v>
      </c>
      <c r="U1062" t="s">
        <v>58</v>
      </c>
      <c r="V1062" t="s">
        <v>58</v>
      </c>
      <c r="W1062" t="s">
        <v>58</v>
      </c>
      <c r="X1062" t="s">
        <v>58</v>
      </c>
      <c r="Y1062" t="s">
        <v>58</v>
      </c>
      <c r="Z1062" t="s">
        <v>58</v>
      </c>
      <c r="AA1062" t="s">
        <v>58</v>
      </c>
      <c r="AC1062" t="s">
        <v>58</v>
      </c>
      <c r="AE1062" t="s">
        <v>58</v>
      </c>
      <c r="AG1062" t="s">
        <v>63</v>
      </c>
      <c r="AH1062" s="11" t="str">
        <f t="shared" si="19"/>
        <v>mailto: soilterrain@victoria1.gov.bc.ca</v>
      </c>
    </row>
    <row r="1063" spans="1:34">
      <c r="A1063" t="s">
        <v>2556</v>
      </c>
      <c r="B1063" t="s">
        <v>56</v>
      </c>
      <c r="C1063" s="10" t="s">
        <v>1359</v>
      </c>
      <c r="D1063" t="s">
        <v>58</v>
      </c>
      <c r="E1063" t="s">
        <v>497</v>
      </c>
      <c r="F1063" t="s">
        <v>2557</v>
      </c>
      <c r="G1063">
        <v>50000</v>
      </c>
      <c r="H1063">
        <v>1979</v>
      </c>
      <c r="I1063" t="s">
        <v>58</v>
      </c>
      <c r="J1063" t="s">
        <v>58</v>
      </c>
      <c r="K1063" t="s">
        <v>58</v>
      </c>
      <c r="L1063" t="s">
        <v>58</v>
      </c>
      <c r="M1063" t="s">
        <v>58</v>
      </c>
      <c r="N1063" t="s">
        <v>61</v>
      </c>
      <c r="Q1063" t="s">
        <v>58</v>
      </c>
      <c r="R1063" s="11" t="str">
        <f>HYPERLINK("\\imagefiles.bcgov\imagery\scanned_maps\moe_terrain_maps\Scanned_T_maps_all\I15\I15-3158","\\imagefiles.bcgov\imagery\scanned_maps\moe_terrain_maps\Scanned_T_maps_all\I15\I15-3158")</f>
        <v>\\imagefiles.bcgov\imagery\scanned_maps\moe_terrain_maps\Scanned_T_maps_all\I15\I15-3158</v>
      </c>
      <c r="S1063" t="s">
        <v>62</v>
      </c>
      <c r="T1063" s="11" t="str">
        <f>HYPERLINK("http://www.env.gov.bc.ca/esd/distdata/ecosystems/TEI_Scanned_Maps/I15/I15-3158","http://www.env.gov.bc.ca/esd/distdata/ecosystems/TEI_Scanned_Maps/I15/I15-3158")</f>
        <v>http://www.env.gov.bc.ca/esd/distdata/ecosystems/TEI_Scanned_Maps/I15/I15-3158</v>
      </c>
      <c r="U1063" t="s">
        <v>58</v>
      </c>
      <c r="V1063" t="s">
        <v>58</v>
      </c>
      <c r="W1063" t="s">
        <v>58</v>
      </c>
      <c r="X1063" t="s">
        <v>58</v>
      </c>
      <c r="Y1063" t="s">
        <v>58</v>
      </c>
      <c r="Z1063" t="s">
        <v>58</v>
      </c>
      <c r="AA1063" t="s">
        <v>58</v>
      </c>
      <c r="AC1063" t="s">
        <v>58</v>
      </c>
      <c r="AE1063" t="s">
        <v>58</v>
      </c>
      <c r="AG1063" t="s">
        <v>63</v>
      </c>
      <c r="AH1063" s="11" t="str">
        <f t="shared" si="19"/>
        <v>mailto: soilterrain@victoria1.gov.bc.ca</v>
      </c>
    </row>
    <row r="1064" spans="1:34">
      <c r="A1064" t="s">
        <v>2558</v>
      </c>
      <c r="B1064" t="s">
        <v>56</v>
      </c>
      <c r="C1064" s="10" t="s">
        <v>1363</v>
      </c>
      <c r="D1064" t="s">
        <v>58</v>
      </c>
      <c r="E1064" t="s">
        <v>497</v>
      </c>
      <c r="F1064" t="s">
        <v>2559</v>
      </c>
      <c r="G1064">
        <v>50000</v>
      </c>
      <c r="H1064">
        <v>1979</v>
      </c>
      <c r="I1064" t="s">
        <v>58</v>
      </c>
      <c r="J1064" t="s">
        <v>58</v>
      </c>
      <c r="K1064" t="s">
        <v>58</v>
      </c>
      <c r="L1064" t="s">
        <v>58</v>
      </c>
      <c r="M1064" t="s">
        <v>58</v>
      </c>
      <c r="N1064" t="s">
        <v>61</v>
      </c>
      <c r="Q1064" t="s">
        <v>58</v>
      </c>
      <c r="R1064" s="11" t="str">
        <f>HYPERLINK("\\imagefiles.bcgov\imagery\scanned_maps\moe_terrain_maps\Scanned_T_maps_all\I15\I15-3159","\\imagefiles.bcgov\imagery\scanned_maps\moe_terrain_maps\Scanned_T_maps_all\I15\I15-3159")</f>
        <v>\\imagefiles.bcgov\imagery\scanned_maps\moe_terrain_maps\Scanned_T_maps_all\I15\I15-3159</v>
      </c>
      <c r="S1064" t="s">
        <v>62</v>
      </c>
      <c r="T1064" s="11" t="str">
        <f>HYPERLINK("http://www.env.gov.bc.ca/esd/distdata/ecosystems/TEI_Scanned_Maps/I15/I15-3159","http://www.env.gov.bc.ca/esd/distdata/ecosystems/TEI_Scanned_Maps/I15/I15-3159")</f>
        <v>http://www.env.gov.bc.ca/esd/distdata/ecosystems/TEI_Scanned_Maps/I15/I15-3159</v>
      </c>
      <c r="U1064" t="s">
        <v>58</v>
      </c>
      <c r="V1064" t="s">
        <v>58</v>
      </c>
      <c r="W1064" t="s">
        <v>58</v>
      </c>
      <c r="X1064" t="s">
        <v>58</v>
      </c>
      <c r="Y1064" t="s">
        <v>58</v>
      </c>
      <c r="Z1064" t="s">
        <v>58</v>
      </c>
      <c r="AA1064" t="s">
        <v>58</v>
      </c>
      <c r="AC1064" t="s">
        <v>58</v>
      </c>
      <c r="AE1064" t="s">
        <v>58</v>
      </c>
      <c r="AG1064" t="s">
        <v>63</v>
      </c>
      <c r="AH1064" s="11" t="str">
        <f t="shared" si="19"/>
        <v>mailto: soilterrain@victoria1.gov.bc.ca</v>
      </c>
    </row>
    <row r="1065" spans="1:34">
      <c r="A1065" t="s">
        <v>2560</v>
      </c>
      <c r="B1065" t="s">
        <v>56</v>
      </c>
      <c r="C1065" s="10" t="s">
        <v>1365</v>
      </c>
      <c r="D1065" t="s">
        <v>58</v>
      </c>
      <c r="E1065" t="s">
        <v>497</v>
      </c>
      <c r="F1065" t="s">
        <v>2561</v>
      </c>
      <c r="G1065">
        <v>50000</v>
      </c>
      <c r="H1065">
        <v>1979</v>
      </c>
      <c r="I1065" t="s">
        <v>58</v>
      </c>
      <c r="J1065" t="s">
        <v>58</v>
      </c>
      <c r="K1065" t="s">
        <v>58</v>
      </c>
      <c r="L1065" t="s">
        <v>58</v>
      </c>
      <c r="M1065" t="s">
        <v>58</v>
      </c>
      <c r="N1065" t="s">
        <v>61</v>
      </c>
      <c r="Q1065" t="s">
        <v>58</v>
      </c>
      <c r="R1065" s="11" t="str">
        <f>HYPERLINK("\\imagefiles.bcgov\imagery\scanned_maps\moe_terrain_maps\Scanned_T_maps_all\I15\I15-3160","\\imagefiles.bcgov\imagery\scanned_maps\moe_terrain_maps\Scanned_T_maps_all\I15\I15-3160")</f>
        <v>\\imagefiles.bcgov\imagery\scanned_maps\moe_terrain_maps\Scanned_T_maps_all\I15\I15-3160</v>
      </c>
      <c r="S1065" t="s">
        <v>62</v>
      </c>
      <c r="T1065" s="11" t="str">
        <f>HYPERLINK("http://www.env.gov.bc.ca/esd/distdata/ecosystems/TEI_Scanned_Maps/I15/I15-3160","http://www.env.gov.bc.ca/esd/distdata/ecosystems/TEI_Scanned_Maps/I15/I15-3160")</f>
        <v>http://www.env.gov.bc.ca/esd/distdata/ecosystems/TEI_Scanned_Maps/I15/I15-3160</v>
      </c>
      <c r="U1065" t="s">
        <v>58</v>
      </c>
      <c r="V1065" t="s">
        <v>58</v>
      </c>
      <c r="W1065" t="s">
        <v>58</v>
      </c>
      <c r="X1065" t="s">
        <v>58</v>
      </c>
      <c r="Y1065" t="s">
        <v>58</v>
      </c>
      <c r="Z1065" t="s">
        <v>58</v>
      </c>
      <c r="AA1065" t="s">
        <v>58</v>
      </c>
      <c r="AC1065" t="s">
        <v>58</v>
      </c>
      <c r="AE1065" t="s">
        <v>58</v>
      </c>
      <c r="AG1065" t="s">
        <v>63</v>
      </c>
      <c r="AH1065" s="11" t="str">
        <f t="shared" si="19"/>
        <v>mailto: soilterrain@victoria1.gov.bc.ca</v>
      </c>
    </row>
    <row r="1066" spans="1:34">
      <c r="A1066" t="s">
        <v>2562</v>
      </c>
      <c r="B1066" t="s">
        <v>56</v>
      </c>
      <c r="C1066" s="10" t="s">
        <v>1367</v>
      </c>
      <c r="D1066" t="s">
        <v>58</v>
      </c>
      <c r="E1066" t="s">
        <v>497</v>
      </c>
      <c r="F1066" t="s">
        <v>2563</v>
      </c>
      <c r="G1066">
        <v>50000</v>
      </c>
      <c r="H1066">
        <v>1979</v>
      </c>
      <c r="I1066" t="s">
        <v>58</v>
      </c>
      <c r="J1066" t="s">
        <v>58</v>
      </c>
      <c r="K1066" t="s">
        <v>58</v>
      </c>
      <c r="L1066" t="s">
        <v>58</v>
      </c>
      <c r="M1066" t="s">
        <v>58</v>
      </c>
      <c r="N1066" t="s">
        <v>61</v>
      </c>
      <c r="Q1066" t="s">
        <v>58</v>
      </c>
      <c r="R1066" s="11" t="str">
        <f>HYPERLINK("\\imagefiles.bcgov\imagery\scanned_maps\moe_terrain_maps\Scanned_T_maps_all\I15\I15-3161","\\imagefiles.bcgov\imagery\scanned_maps\moe_terrain_maps\Scanned_T_maps_all\I15\I15-3161")</f>
        <v>\\imagefiles.bcgov\imagery\scanned_maps\moe_terrain_maps\Scanned_T_maps_all\I15\I15-3161</v>
      </c>
      <c r="S1066" t="s">
        <v>62</v>
      </c>
      <c r="T1066" s="11" t="str">
        <f>HYPERLINK("http://www.env.gov.bc.ca/esd/distdata/ecosystems/TEI_Scanned_Maps/I15/I15-3161","http://www.env.gov.bc.ca/esd/distdata/ecosystems/TEI_Scanned_Maps/I15/I15-3161")</f>
        <v>http://www.env.gov.bc.ca/esd/distdata/ecosystems/TEI_Scanned_Maps/I15/I15-3161</v>
      </c>
      <c r="U1066" t="s">
        <v>58</v>
      </c>
      <c r="V1066" t="s">
        <v>58</v>
      </c>
      <c r="W1066" t="s">
        <v>58</v>
      </c>
      <c r="X1066" t="s">
        <v>58</v>
      </c>
      <c r="Y1066" t="s">
        <v>58</v>
      </c>
      <c r="Z1066" t="s">
        <v>58</v>
      </c>
      <c r="AA1066" t="s">
        <v>58</v>
      </c>
      <c r="AC1066" t="s">
        <v>58</v>
      </c>
      <c r="AE1066" t="s">
        <v>58</v>
      </c>
      <c r="AG1066" t="s">
        <v>63</v>
      </c>
      <c r="AH1066" s="11" t="str">
        <f t="shared" si="19"/>
        <v>mailto: soilterrain@victoria1.gov.bc.ca</v>
      </c>
    </row>
    <row r="1067" spans="1:34">
      <c r="A1067" t="s">
        <v>2564</v>
      </c>
      <c r="B1067" t="s">
        <v>56</v>
      </c>
      <c r="C1067" s="10" t="s">
        <v>1369</v>
      </c>
      <c r="D1067" t="s">
        <v>58</v>
      </c>
      <c r="E1067" t="s">
        <v>497</v>
      </c>
      <c r="F1067" t="s">
        <v>2565</v>
      </c>
      <c r="G1067">
        <v>50000</v>
      </c>
      <c r="H1067">
        <v>1979</v>
      </c>
      <c r="I1067" t="s">
        <v>58</v>
      </c>
      <c r="J1067" t="s">
        <v>58</v>
      </c>
      <c r="K1067" t="s">
        <v>58</v>
      </c>
      <c r="L1067" t="s">
        <v>58</v>
      </c>
      <c r="M1067" t="s">
        <v>58</v>
      </c>
      <c r="N1067" t="s">
        <v>61</v>
      </c>
      <c r="Q1067" t="s">
        <v>58</v>
      </c>
      <c r="R1067" s="11" t="str">
        <f>HYPERLINK("\\imagefiles.bcgov\imagery\scanned_maps\moe_terrain_maps\Scanned_T_maps_all\I15\I15-3162","\\imagefiles.bcgov\imagery\scanned_maps\moe_terrain_maps\Scanned_T_maps_all\I15\I15-3162")</f>
        <v>\\imagefiles.bcgov\imagery\scanned_maps\moe_terrain_maps\Scanned_T_maps_all\I15\I15-3162</v>
      </c>
      <c r="S1067" t="s">
        <v>62</v>
      </c>
      <c r="T1067" s="11" t="str">
        <f>HYPERLINK("http://www.env.gov.bc.ca/esd/distdata/ecosystems/TEI_Scanned_Maps/I15/I15-3162","http://www.env.gov.bc.ca/esd/distdata/ecosystems/TEI_Scanned_Maps/I15/I15-3162")</f>
        <v>http://www.env.gov.bc.ca/esd/distdata/ecosystems/TEI_Scanned_Maps/I15/I15-3162</v>
      </c>
      <c r="U1067" t="s">
        <v>58</v>
      </c>
      <c r="V1067" t="s">
        <v>58</v>
      </c>
      <c r="W1067" t="s">
        <v>58</v>
      </c>
      <c r="X1067" t="s">
        <v>58</v>
      </c>
      <c r="Y1067" t="s">
        <v>58</v>
      </c>
      <c r="Z1067" t="s">
        <v>58</v>
      </c>
      <c r="AA1067" t="s">
        <v>58</v>
      </c>
      <c r="AC1067" t="s">
        <v>58</v>
      </c>
      <c r="AE1067" t="s">
        <v>58</v>
      </c>
      <c r="AG1067" t="s">
        <v>63</v>
      </c>
      <c r="AH1067" s="11" t="str">
        <f t="shared" si="19"/>
        <v>mailto: soilterrain@victoria1.gov.bc.ca</v>
      </c>
    </row>
    <row r="1068" spans="1:34">
      <c r="A1068" t="s">
        <v>2566</v>
      </c>
      <c r="B1068" t="s">
        <v>56</v>
      </c>
      <c r="C1068" s="10" t="s">
        <v>1371</v>
      </c>
      <c r="D1068" t="s">
        <v>58</v>
      </c>
      <c r="E1068" t="s">
        <v>497</v>
      </c>
      <c r="F1068" t="s">
        <v>2567</v>
      </c>
      <c r="G1068">
        <v>50000</v>
      </c>
      <c r="H1068">
        <v>1979</v>
      </c>
      <c r="I1068" t="s">
        <v>58</v>
      </c>
      <c r="J1068" t="s">
        <v>58</v>
      </c>
      <c r="K1068" t="s">
        <v>58</v>
      </c>
      <c r="L1068" t="s">
        <v>58</v>
      </c>
      <c r="M1068" t="s">
        <v>58</v>
      </c>
      <c r="N1068" t="s">
        <v>61</v>
      </c>
      <c r="Q1068" t="s">
        <v>58</v>
      </c>
      <c r="R1068" s="11" t="str">
        <f>HYPERLINK("\\imagefiles.bcgov\imagery\scanned_maps\moe_terrain_maps\Scanned_T_maps_all\I15\I15-3163","\\imagefiles.bcgov\imagery\scanned_maps\moe_terrain_maps\Scanned_T_maps_all\I15\I15-3163")</f>
        <v>\\imagefiles.bcgov\imagery\scanned_maps\moe_terrain_maps\Scanned_T_maps_all\I15\I15-3163</v>
      </c>
      <c r="S1068" t="s">
        <v>62</v>
      </c>
      <c r="T1068" s="11" t="str">
        <f>HYPERLINK("http://www.env.gov.bc.ca/esd/distdata/ecosystems/TEI_Scanned_Maps/I15/I15-3163","http://www.env.gov.bc.ca/esd/distdata/ecosystems/TEI_Scanned_Maps/I15/I15-3163")</f>
        <v>http://www.env.gov.bc.ca/esd/distdata/ecosystems/TEI_Scanned_Maps/I15/I15-3163</v>
      </c>
      <c r="U1068" t="s">
        <v>58</v>
      </c>
      <c r="V1068" t="s">
        <v>58</v>
      </c>
      <c r="W1068" t="s">
        <v>58</v>
      </c>
      <c r="X1068" t="s">
        <v>58</v>
      </c>
      <c r="Y1068" t="s">
        <v>58</v>
      </c>
      <c r="Z1068" t="s">
        <v>58</v>
      </c>
      <c r="AA1068" t="s">
        <v>58</v>
      </c>
      <c r="AC1068" t="s">
        <v>58</v>
      </c>
      <c r="AE1068" t="s">
        <v>58</v>
      </c>
      <c r="AG1068" t="s">
        <v>63</v>
      </c>
      <c r="AH1068" s="11" t="str">
        <f t="shared" si="19"/>
        <v>mailto: soilterrain@victoria1.gov.bc.ca</v>
      </c>
    </row>
    <row r="1069" spans="1:34">
      <c r="A1069" t="s">
        <v>2568</v>
      </c>
      <c r="B1069" t="s">
        <v>56</v>
      </c>
      <c r="C1069" s="10" t="s">
        <v>1373</v>
      </c>
      <c r="D1069" t="s">
        <v>58</v>
      </c>
      <c r="E1069" t="s">
        <v>497</v>
      </c>
      <c r="F1069" t="s">
        <v>2569</v>
      </c>
      <c r="G1069">
        <v>50000</v>
      </c>
      <c r="H1069">
        <v>1979</v>
      </c>
      <c r="I1069" t="s">
        <v>58</v>
      </c>
      <c r="J1069" t="s">
        <v>58</v>
      </c>
      <c r="K1069" t="s">
        <v>58</v>
      </c>
      <c r="L1069" t="s">
        <v>58</v>
      </c>
      <c r="M1069" t="s">
        <v>58</v>
      </c>
      <c r="N1069" t="s">
        <v>61</v>
      </c>
      <c r="Q1069" t="s">
        <v>58</v>
      </c>
      <c r="R1069" s="11" t="str">
        <f>HYPERLINK("\\imagefiles.bcgov\imagery\scanned_maps\moe_terrain_maps\Scanned_T_maps_all\I15\I15-3164","\\imagefiles.bcgov\imagery\scanned_maps\moe_terrain_maps\Scanned_T_maps_all\I15\I15-3164")</f>
        <v>\\imagefiles.bcgov\imagery\scanned_maps\moe_terrain_maps\Scanned_T_maps_all\I15\I15-3164</v>
      </c>
      <c r="S1069" t="s">
        <v>62</v>
      </c>
      <c r="T1069" s="11" t="str">
        <f>HYPERLINK("http://www.env.gov.bc.ca/esd/distdata/ecosystems/TEI_Scanned_Maps/I15/I15-3164","http://www.env.gov.bc.ca/esd/distdata/ecosystems/TEI_Scanned_Maps/I15/I15-3164")</f>
        <v>http://www.env.gov.bc.ca/esd/distdata/ecosystems/TEI_Scanned_Maps/I15/I15-3164</v>
      </c>
      <c r="U1069" t="s">
        <v>58</v>
      </c>
      <c r="V1069" t="s">
        <v>58</v>
      </c>
      <c r="W1069" t="s">
        <v>58</v>
      </c>
      <c r="X1069" t="s">
        <v>58</v>
      </c>
      <c r="Y1069" t="s">
        <v>58</v>
      </c>
      <c r="Z1069" t="s">
        <v>58</v>
      </c>
      <c r="AA1069" t="s">
        <v>58</v>
      </c>
      <c r="AC1069" t="s">
        <v>58</v>
      </c>
      <c r="AE1069" t="s">
        <v>58</v>
      </c>
      <c r="AG1069" t="s">
        <v>63</v>
      </c>
      <c r="AH1069" s="11" t="str">
        <f t="shared" si="19"/>
        <v>mailto: soilterrain@victoria1.gov.bc.ca</v>
      </c>
    </row>
    <row r="1070" spans="1:34">
      <c r="A1070" t="s">
        <v>2570</v>
      </c>
      <c r="B1070" t="s">
        <v>56</v>
      </c>
      <c r="C1070" s="10" t="s">
        <v>1375</v>
      </c>
      <c r="D1070" t="s">
        <v>58</v>
      </c>
      <c r="E1070" t="s">
        <v>497</v>
      </c>
      <c r="F1070" t="s">
        <v>2571</v>
      </c>
      <c r="G1070">
        <v>50000</v>
      </c>
      <c r="H1070">
        <v>1979</v>
      </c>
      <c r="I1070" t="s">
        <v>58</v>
      </c>
      <c r="J1070" t="s">
        <v>58</v>
      </c>
      <c r="K1070" t="s">
        <v>58</v>
      </c>
      <c r="L1070" t="s">
        <v>58</v>
      </c>
      <c r="M1070" t="s">
        <v>58</v>
      </c>
      <c r="N1070" t="s">
        <v>61</v>
      </c>
      <c r="Q1070" t="s">
        <v>58</v>
      </c>
      <c r="R1070" s="11" t="str">
        <f>HYPERLINK("\\imagefiles.bcgov\imagery\scanned_maps\moe_terrain_maps\Scanned_T_maps_all\I15\I15-3165","\\imagefiles.bcgov\imagery\scanned_maps\moe_terrain_maps\Scanned_T_maps_all\I15\I15-3165")</f>
        <v>\\imagefiles.bcgov\imagery\scanned_maps\moe_terrain_maps\Scanned_T_maps_all\I15\I15-3165</v>
      </c>
      <c r="S1070" t="s">
        <v>62</v>
      </c>
      <c r="T1070" s="11" t="str">
        <f>HYPERLINK("http://www.env.gov.bc.ca/esd/distdata/ecosystems/TEI_Scanned_Maps/I15/I15-3165","http://www.env.gov.bc.ca/esd/distdata/ecosystems/TEI_Scanned_Maps/I15/I15-3165")</f>
        <v>http://www.env.gov.bc.ca/esd/distdata/ecosystems/TEI_Scanned_Maps/I15/I15-3165</v>
      </c>
      <c r="U1070" t="s">
        <v>58</v>
      </c>
      <c r="V1070" t="s">
        <v>58</v>
      </c>
      <c r="W1070" t="s">
        <v>58</v>
      </c>
      <c r="X1070" t="s">
        <v>58</v>
      </c>
      <c r="Y1070" t="s">
        <v>58</v>
      </c>
      <c r="Z1070" t="s">
        <v>58</v>
      </c>
      <c r="AA1070" t="s">
        <v>58</v>
      </c>
      <c r="AC1070" t="s">
        <v>58</v>
      </c>
      <c r="AE1070" t="s">
        <v>58</v>
      </c>
      <c r="AG1070" t="s">
        <v>63</v>
      </c>
      <c r="AH1070" s="11" t="str">
        <f t="shared" si="19"/>
        <v>mailto: soilterrain@victoria1.gov.bc.ca</v>
      </c>
    </row>
    <row r="1071" spans="1:34">
      <c r="A1071" t="s">
        <v>2572</v>
      </c>
      <c r="B1071" t="s">
        <v>56</v>
      </c>
      <c r="C1071" s="10" t="s">
        <v>1377</v>
      </c>
      <c r="D1071" t="s">
        <v>58</v>
      </c>
      <c r="E1071" t="s">
        <v>497</v>
      </c>
      <c r="F1071" t="s">
        <v>2573</v>
      </c>
      <c r="G1071">
        <v>50000</v>
      </c>
      <c r="H1071">
        <v>1979</v>
      </c>
      <c r="I1071" t="s">
        <v>58</v>
      </c>
      <c r="J1071" t="s">
        <v>58</v>
      </c>
      <c r="K1071" t="s">
        <v>58</v>
      </c>
      <c r="L1071" t="s">
        <v>58</v>
      </c>
      <c r="M1071" t="s">
        <v>58</v>
      </c>
      <c r="N1071" t="s">
        <v>61</v>
      </c>
      <c r="Q1071" t="s">
        <v>58</v>
      </c>
      <c r="R1071" s="11" t="str">
        <f>HYPERLINK("\\imagefiles.bcgov\imagery\scanned_maps\moe_terrain_maps\Scanned_T_maps_all\I15\I15-3166","\\imagefiles.bcgov\imagery\scanned_maps\moe_terrain_maps\Scanned_T_maps_all\I15\I15-3166")</f>
        <v>\\imagefiles.bcgov\imagery\scanned_maps\moe_terrain_maps\Scanned_T_maps_all\I15\I15-3166</v>
      </c>
      <c r="S1071" t="s">
        <v>62</v>
      </c>
      <c r="T1071" s="11" t="str">
        <f>HYPERLINK("http://www.env.gov.bc.ca/esd/distdata/ecosystems/TEI_Scanned_Maps/I15/I15-3166","http://www.env.gov.bc.ca/esd/distdata/ecosystems/TEI_Scanned_Maps/I15/I15-3166")</f>
        <v>http://www.env.gov.bc.ca/esd/distdata/ecosystems/TEI_Scanned_Maps/I15/I15-3166</v>
      </c>
      <c r="U1071" t="s">
        <v>58</v>
      </c>
      <c r="V1071" t="s">
        <v>58</v>
      </c>
      <c r="W1071" t="s">
        <v>58</v>
      </c>
      <c r="X1071" t="s">
        <v>58</v>
      </c>
      <c r="Y1071" t="s">
        <v>58</v>
      </c>
      <c r="Z1071" t="s">
        <v>58</v>
      </c>
      <c r="AA1071" t="s">
        <v>58</v>
      </c>
      <c r="AC1071" t="s">
        <v>58</v>
      </c>
      <c r="AE1071" t="s">
        <v>58</v>
      </c>
      <c r="AG1071" t="s">
        <v>63</v>
      </c>
      <c r="AH1071" s="11" t="str">
        <f t="shared" si="19"/>
        <v>mailto: soilterrain@victoria1.gov.bc.ca</v>
      </c>
    </row>
    <row r="1072" spans="1:34">
      <c r="A1072" t="s">
        <v>2574</v>
      </c>
      <c r="B1072" t="s">
        <v>56</v>
      </c>
      <c r="C1072" s="10" t="s">
        <v>1389</v>
      </c>
      <c r="D1072" t="s">
        <v>58</v>
      </c>
      <c r="E1072" t="s">
        <v>497</v>
      </c>
      <c r="F1072" t="s">
        <v>2575</v>
      </c>
      <c r="G1072">
        <v>50000</v>
      </c>
      <c r="H1072">
        <v>1979</v>
      </c>
      <c r="I1072" t="s">
        <v>58</v>
      </c>
      <c r="J1072" t="s">
        <v>58</v>
      </c>
      <c r="K1072" t="s">
        <v>58</v>
      </c>
      <c r="L1072" t="s">
        <v>58</v>
      </c>
      <c r="M1072" t="s">
        <v>58</v>
      </c>
      <c r="N1072" t="s">
        <v>61</v>
      </c>
      <c r="Q1072" t="s">
        <v>58</v>
      </c>
      <c r="R1072" s="11" t="str">
        <f>HYPERLINK("\\imagefiles.bcgov\imagery\scanned_maps\moe_terrain_maps\Scanned_T_maps_all\I15\I15-3167","\\imagefiles.bcgov\imagery\scanned_maps\moe_terrain_maps\Scanned_T_maps_all\I15\I15-3167")</f>
        <v>\\imagefiles.bcgov\imagery\scanned_maps\moe_terrain_maps\Scanned_T_maps_all\I15\I15-3167</v>
      </c>
      <c r="S1072" t="s">
        <v>62</v>
      </c>
      <c r="T1072" s="11" t="str">
        <f>HYPERLINK("http://www.env.gov.bc.ca/esd/distdata/ecosystems/TEI_Scanned_Maps/I15/I15-3167","http://www.env.gov.bc.ca/esd/distdata/ecosystems/TEI_Scanned_Maps/I15/I15-3167")</f>
        <v>http://www.env.gov.bc.ca/esd/distdata/ecosystems/TEI_Scanned_Maps/I15/I15-3167</v>
      </c>
      <c r="U1072" t="s">
        <v>58</v>
      </c>
      <c r="V1072" t="s">
        <v>58</v>
      </c>
      <c r="W1072" t="s">
        <v>58</v>
      </c>
      <c r="X1072" t="s">
        <v>58</v>
      </c>
      <c r="Y1072" t="s">
        <v>58</v>
      </c>
      <c r="Z1072" t="s">
        <v>58</v>
      </c>
      <c r="AA1072" t="s">
        <v>58</v>
      </c>
      <c r="AC1072" t="s">
        <v>58</v>
      </c>
      <c r="AE1072" t="s">
        <v>58</v>
      </c>
      <c r="AG1072" t="s">
        <v>63</v>
      </c>
      <c r="AH1072" s="11" t="str">
        <f t="shared" si="19"/>
        <v>mailto: soilterrain@victoria1.gov.bc.ca</v>
      </c>
    </row>
    <row r="1073" spans="1:34">
      <c r="A1073" t="s">
        <v>2576</v>
      </c>
      <c r="B1073" t="s">
        <v>56</v>
      </c>
      <c r="C1073" s="10" t="s">
        <v>1391</v>
      </c>
      <c r="D1073" t="s">
        <v>58</v>
      </c>
      <c r="E1073" t="s">
        <v>497</v>
      </c>
      <c r="F1073" t="s">
        <v>2577</v>
      </c>
      <c r="G1073">
        <v>50000</v>
      </c>
      <c r="H1073">
        <v>1979</v>
      </c>
      <c r="I1073" t="s">
        <v>58</v>
      </c>
      <c r="J1073" t="s">
        <v>58</v>
      </c>
      <c r="K1073" t="s">
        <v>58</v>
      </c>
      <c r="L1073" t="s">
        <v>58</v>
      </c>
      <c r="M1073" t="s">
        <v>58</v>
      </c>
      <c r="N1073" t="s">
        <v>61</v>
      </c>
      <c r="Q1073" t="s">
        <v>58</v>
      </c>
      <c r="R1073" s="11" t="str">
        <f>HYPERLINK("\\imagefiles.bcgov\imagery\scanned_maps\moe_terrain_maps\Scanned_T_maps_all\I15\I15-3168","\\imagefiles.bcgov\imagery\scanned_maps\moe_terrain_maps\Scanned_T_maps_all\I15\I15-3168")</f>
        <v>\\imagefiles.bcgov\imagery\scanned_maps\moe_terrain_maps\Scanned_T_maps_all\I15\I15-3168</v>
      </c>
      <c r="S1073" t="s">
        <v>62</v>
      </c>
      <c r="T1073" s="11" t="str">
        <f>HYPERLINK("http://www.env.gov.bc.ca/esd/distdata/ecosystems/TEI_Scanned_Maps/I15/I15-3168","http://www.env.gov.bc.ca/esd/distdata/ecosystems/TEI_Scanned_Maps/I15/I15-3168")</f>
        <v>http://www.env.gov.bc.ca/esd/distdata/ecosystems/TEI_Scanned_Maps/I15/I15-3168</v>
      </c>
      <c r="U1073" t="s">
        <v>58</v>
      </c>
      <c r="V1073" t="s">
        <v>58</v>
      </c>
      <c r="W1073" t="s">
        <v>58</v>
      </c>
      <c r="X1073" t="s">
        <v>58</v>
      </c>
      <c r="Y1073" t="s">
        <v>58</v>
      </c>
      <c r="Z1073" t="s">
        <v>58</v>
      </c>
      <c r="AA1073" t="s">
        <v>58</v>
      </c>
      <c r="AC1073" t="s">
        <v>58</v>
      </c>
      <c r="AE1073" t="s">
        <v>58</v>
      </c>
      <c r="AG1073" t="s">
        <v>63</v>
      </c>
      <c r="AH1073" s="11" t="str">
        <f t="shared" si="19"/>
        <v>mailto: soilterrain@victoria1.gov.bc.ca</v>
      </c>
    </row>
    <row r="1074" spans="1:34">
      <c r="A1074" t="s">
        <v>2578</v>
      </c>
      <c r="B1074" t="s">
        <v>56</v>
      </c>
      <c r="C1074" s="10" t="s">
        <v>1397</v>
      </c>
      <c r="D1074" t="s">
        <v>58</v>
      </c>
      <c r="E1074" t="s">
        <v>497</v>
      </c>
      <c r="F1074" t="s">
        <v>2579</v>
      </c>
      <c r="G1074">
        <v>50000</v>
      </c>
      <c r="H1074">
        <v>1979</v>
      </c>
      <c r="I1074" t="s">
        <v>58</v>
      </c>
      <c r="J1074" t="s">
        <v>58</v>
      </c>
      <c r="K1074" t="s">
        <v>58</v>
      </c>
      <c r="L1074" t="s">
        <v>58</v>
      </c>
      <c r="M1074" t="s">
        <v>58</v>
      </c>
      <c r="N1074" t="s">
        <v>61</v>
      </c>
      <c r="Q1074" t="s">
        <v>58</v>
      </c>
      <c r="R1074" s="11" t="str">
        <f>HYPERLINK("\\imagefiles.bcgov\imagery\scanned_maps\moe_terrain_maps\Scanned_T_maps_all\I15\I15-3169","\\imagefiles.bcgov\imagery\scanned_maps\moe_terrain_maps\Scanned_T_maps_all\I15\I15-3169")</f>
        <v>\\imagefiles.bcgov\imagery\scanned_maps\moe_terrain_maps\Scanned_T_maps_all\I15\I15-3169</v>
      </c>
      <c r="S1074" t="s">
        <v>62</v>
      </c>
      <c r="T1074" s="11" t="str">
        <f>HYPERLINK("http://www.env.gov.bc.ca/esd/distdata/ecosystems/TEI_Scanned_Maps/I15/I15-3169","http://www.env.gov.bc.ca/esd/distdata/ecosystems/TEI_Scanned_Maps/I15/I15-3169")</f>
        <v>http://www.env.gov.bc.ca/esd/distdata/ecosystems/TEI_Scanned_Maps/I15/I15-3169</v>
      </c>
      <c r="U1074" t="s">
        <v>58</v>
      </c>
      <c r="V1074" t="s">
        <v>58</v>
      </c>
      <c r="W1074" t="s">
        <v>58</v>
      </c>
      <c r="X1074" t="s">
        <v>58</v>
      </c>
      <c r="Y1074" t="s">
        <v>58</v>
      </c>
      <c r="Z1074" t="s">
        <v>58</v>
      </c>
      <c r="AA1074" t="s">
        <v>58</v>
      </c>
      <c r="AC1074" t="s">
        <v>58</v>
      </c>
      <c r="AE1074" t="s">
        <v>58</v>
      </c>
      <c r="AG1074" t="s">
        <v>63</v>
      </c>
      <c r="AH1074" s="11" t="str">
        <f t="shared" si="19"/>
        <v>mailto: soilterrain@victoria1.gov.bc.ca</v>
      </c>
    </row>
    <row r="1075" spans="1:34">
      <c r="A1075" t="s">
        <v>2580</v>
      </c>
      <c r="B1075" t="s">
        <v>56</v>
      </c>
      <c r="C1075" s="10" t="s">
        <v>1399</v>
      </c>
      <c r="D1075" t="s">
        <v>58</v>
      </c>
      <c r="E1075" t="s">
        <v>497</v>
      </c>
      <c r="F1075" t="s">
        <v>2581</v>
      </c>
      <c r="G1075">
        <v>50000</v>
      </c>
      <c r="H1075">
        <v>1979</v>
      </c>
      <c r="I1075" t="s">
        <v>58</v>
      </c>
      <c r="J1075" t="s">
        <v>58</v>
      </c>
      <c r="K1075" t="s">
        <v>58</v>
      </c>
      <c r="L1075" t="s">
        <v>58</v>
      </c>
      <c r="M1075" t="s">
        <v>58</v>
      </c>
      <c r="N1075" t="s">
        <v>61</v>
      </c>
      <c r="Q1075" t="s">
        <v>58</v>
      </c>
      <c r="R1075" s="11" t="str">
        <f>HYPERLINK("\\imagefiles.bcgov\imagery\scanned_maps\moe_terrain_maps\Scanned_T_maps_all\I15\I15-3170","\\imagefiles.bcgov\imagery\scanned_maps\moe_terrain_maps\Scanned_T_maps_all\I15\I15-3170")</f>
        <v>\\imagefiles.bcgov\imagery\scanned_maps\moe_terrain_maps\Scanned_T_maps_all\I15\I15-3170</v>
      </c>
      <c r="S1075" t="s">
        <v>62</v>
      </c>
      <c r="T1075" s="11" t="str">
        <f>HYPERLINK("http://www.env.gov.bc.ca/esd/distdata/ecosystems/TEI_Scanned_Maps/I15/I15-3170","http://www.env.gov.bc.ca/esd/distdata/ecosystems/TEI_Scanned_Maps/I15/I15-3170")</f>
        <v>http://www.env.gov.bc.ca/esd/distdata/ecosystems/TEI_Scanned_Maps/I15/I15-3170</v>
      </c>
      <c r="U1075" t="s">
        <v>58</v>
      </c>
      <c r="V1075" t="s">
        <v>58</v>
      </c>
      <c r="W1075" t="s">
        <v>58</v>
      </c>
      <c r="X1075" t="s">
        <v>58</v>
      </c>
      <c r="Y1075" t="s">
        <v>58</v>
      </c>
      <c r="Z1075" t="s">
        <v>58</v>
      </c>
      <c r="AA1075" t="s">
        <v>58</v>
      </c>
      <c r="AC1075" t="s">
        <v>58</v>
      </c>
      <c r="AE1075" t="s">
        <v>58</v>
      </c>
      <c r="AG1075" t="s">
        <v>63</v>
      </c>
      <c r="AH1075" s="11" t="str">
        <f t="shared" si="19"/>
        <v>mailto: soilterrain@victoria1.gov.bc.ca</v>
      </c>
    </row>
    <row r="1076" spans="1:34">
      <c r="A1076" t="s">
        <v>2582</v>
      </c>
      <c r="B1076" t="s">
        <v>56</v>
      </c>
      <c r="C1076" s="10" t="s">
        <v>1401</v>
      </c>
      <c r="D1076" t="s">
        <v>58</v>
      </c>
      <c r="E1076" t="s">
        <v>497</v>
      </c>
      <c r="F1076" t="s">
        <v>2583</v>
      </c>
      <c r="G1076">
        <v>50000</v>
      </c>
      <c r="H1076">
        <v>1979</v>
      </c>
      <c r="I1076" t="s">
        <v>58</v>
      </c>
      <c r="J1076" t="s">
        <v>58</v>
      </c>
      <c r="K1076" t="s">
        <v>58</v>
      </c>
      <c r="L1076" t="s">
        <v>58</v>
      </c>
      <c r="M1076" t="s">
        <v>58</v>
      </c>
      <c r="N1076" t="s">
        <v>61</v>
      </c>
      <c r="Q1076" t="s">
        <v>58</v>
      </c>
      <c r="R1076" s="11" t="str">
        <f>HYPERLINK("\\imagefiles.bcgov\imagery\scanned_maps\moe_terrain_maps\Scanned_T_maps_all\I15\I15-3171","\\imagefiles.bcgov\imagery\scanned_maps\moe_terrain_maps\Scanned_T_maps_all\I15\I15-3171")</f>
        <v>\\imagefiles.bcgov\imagery\scanned_maps\moe_terrain_maps\Scanned_T_maps_all\I15\I15-3171</v>
      </c>
      <c r="S1076" t="s">
        <v>62</v>
      </c>
      <c r="T1076" s="11" t="str">
        <f>HYPERLINK("http://www.env.gov.bc.ca/esd/distdata/ecosystems/TEI_Scanned_Maps/I15/I15-3171","http://www.env.gov.bc.ca/esd/distdata/ecosystems/TEI_Scanned_Maps/I15/I15-3171")</f>
        <v>http://www.env.gov.bc.ca/esd/distdata/ecosystems/TEI_Scanned_Maps/I15/I15-3171</v>
      </c>
      <c r="U1076" t="s">
        <v>58</v>
      </c>
      <c r="V1076" t="s">
        <v>58</v>
      </c>
      <c r="W1076" t="s">
        <v>58</v>
      </c>
      <c r="X1076" t="s">
        <v>58</v>
      </c>
      <c r="Y1076" t="s">
        <v>58</v>
      </c>
      <c r="Z1076" t="s">
        <v>58</v>
      </c>
      <c r="AA1076" t="s">
        <v>58</v>
      </c>
      <c r="AC1076" t="s">
        <v>58</v>
      </c>
      <c r="AE1076" t="s">
        <v>58</v>
      </c>
      <c r="AG1076" t="s">
        <v>63</v>
      </c>
      <c r="AH1076" s="11" t="str">
        <f t="shared" si="19"/>
        <v>mailto: soilterrain@victoria1.gov.bc.ca</v>
      </c>
    </row>
    <row r="1077" spans="1:34">
      <c r="A1077" t="s">
        <v>2584</v>
      </c>
      <c r="B1077" t="s">
        <v>56</v>
      </c>
      <c r="C1077" s="10" t="s">
        <v>1403</v>
      </c>
      <c r="D1077" t="s">
        <v>58</v>
      </c>
      <c r="E1077" t="s">
        <v>497</v>
      </c>
      <c r="F1077" t="s">
        <v>2585</v>
      </c>
      <c r="G1077">
        <v>50000</v>
      </c>
      <c r="H1077">
        <v>1979</v>
      </c>
      <c r="I1077" t="s">
        <v>58</v>
      </c>
      <c r="J1077" t="s">
        <v>58</v>
      </c>
      <c r="K1077" t="s">
        <v>58</v>
      </c>
      <c r="L1077" t="s">
        <v>58</v>
      </c>
      <c r="M1077" t="s">
        <v>58</v>
      </c>
      <c r="N1077" t="s">
        <v>61</v>
      </c>
      <c r="Q1077" t="s">
        <v>58</v>
      </c>
      <c r="R1077" s="11" t="str">
        <f>HYPERLINK("\\imagefiles.bcgov\imagery\scanned_maps\moe_terrain_maps\Scanned_T_maps_all\I15\I15-3172","\\imagefiles.bcgov\imagery\scanned_maps\moe_terrain_maps\Scanned_T_maps_all\I15\I15-3172")</f>
        <v>\\imagefiles.bcgov\imagery\scanned_maps\moe_terrain_maps\Scanned_T_maps_all\I15\I15-3172</v>
      </c>
      <c r="S1077" t="s">
        <v>62</v>
      </c>
      <c r="T1077" s="11" t="str">
        <f>HYPERLINK("http://www.env.gov.bc.ca/esd/distdata/ecosystems/TEI_Scanned_Maps/I15/I15-3172","http://www.env.gov.bc.ca/esd/distdata/ecosystems/TEI_Scanned_Maps/I15/I15-3172")</f>
        <v>http://www.env.gov.bc.ca/esd/distdata/ecosystems/TEI_Scanned_Maps/I15/I15-3172</v>
      </c>
      <c r="U1077" t="s">
        <v>58</v>
      </c>
      <c r="V1077" t="s">
        <v>58</v>
      </c>
      <c r="W1077" t="s">
        <v>58</v>
      </c>
      <c r="X1077" t="s">
        <v>58</v>
      </c>
      <c r="Y1077" t="s">
        <v>58</v>
      </c>
      <c r="Z1077" t="s">
        <v>58</v>
      </c>
      <c r="AA1077" t="s">
        <v>58</v>
      </c>
      <c r="AC1077" t="s">
        <v>58</v>
      </c>
      <c r="AE1077" t="s">
        <v>58</v>
      </c>
      <c r="AG1077" t="s">
        <v>63</v>
      </c>
      <c r="AH1077" s="11" t="str">
        <f t="shared" si="19"/>
        <v>mailto: soilterrain@victoria1.gov.bc.ca</v>
      </c>
    </row>
    <row r="1078" spans="1:34">
      <c r="A1078" t="s">
        <v>2586</v>
      </c>
      <c r="B1078" t="s">
        <v>56</v>
      </c>
      <c r="C1078" s="10" t="s">
        <v>1405</v>
      </c>
      <c r="D1078" t="s">
        <v>58</v>
      </c>
      <c r="E1078" t="s">
        <v>497</v>
      </c>
      <c r="F1078" t="s">
        <v>2587</v>
      </c>
      <c r="G1078">
        <v>50000</v>
      </c>
      <c r="H1078">
        <v>1979</v>
      </c>
      <c r="I1078" t="s">
        <v>58</v>
      </c>
      <c r="J1078" t="s">
        <v>58</v>
      </c>
      <c r="K1078" t="s">
        <v>58</v>
      </c>
      <c r="L1078" t="s">
        <v>58</v>
      </c>
      <c r="M1078" t="s">
        <v>58</v>
      </c>
      <c r="N1078" t="s">
        <v>61</v>
      </c>
      <c r="Q1078" t="s">
        <v>58</v>
      </c>
      <c r="R1078" s="11" t="str">
        <f>HYPERLINK("\\imagefiles.bcgov\imagery\scanned_maps\moe_terrain_maps\Scanned_T_maps_all\I15\I15-3173","\\imagefiles.bcgov\imagery\scanned_maps\moe_terrain_maps\Scanned_T_maps_all\I15\I15-3173")</f>
        <v>\\imagefiles.bcgov\imagery\scanned_maps\moe_terrain_maps\Scanned_T_maps_all\I15\I15-3173</v>
      </c>
      <c r="S1078" t="s">
        <v>62</v>
      </c>
      <c r="T1078" s="11" t="str">
        <f>HYPERLINK("http://www.env.gov.bc.ca/esd/distdata/ecosystems/TEI_Scanned_Maps/I15/I15-3173","http://www.env.gov.bc.ca/esd/distdata/ecosystems/TEI_Scanned_Maps/I15/I15-3173")</f>
        <v>http://www.env.gov.bc.ca/esd/distdata/ecosystems/TEI_Scanned_Maps/I15/I15-3173</v>
      </c>
      <c r="U1078" t="s">
        <v>58</v>
      </c>
      <c r="V1078" t="s">
        <v>58</v>
      </c>
      <c r="W1078" t="s">
        <v>58</v>
      </c>
      <c r="X1078" t="s">
        <v>58</v>
      </c>
      <c r="Y1078" t="s">
        <v>58</v>
      </c>
      <c r="Z1078" t="s">
        <v>58</v>
      </c>
      <c r="AA1078" t="s">
        <v>58</v>
      </c>
      <c r="AC1078" t="s">
        <v>58</v>
      </c>
      <c r="AE1078" t="s">
        <v>58</v>
      </c>
      <c r="AG1078" t="s">
        <v>63</v>
      </c>
      <c r="AH1078" s="11" t="str">
        <f t="shared" si="19"/>
        <v>mailto: soilterrain@victoria1.gov.bc.ca</v>
      </c>
    </row>
    <row r="1079" spans="1:34">
      <c r="A1079" t="s">
        <v>2588</v>
      </c>
      <c r="B1079" t="s">
        <v>56</v>
      </c>
      <c r="C1079" s="10" t="s">
        <v>1407</v>
      </c>
      <c r="D1079" t="s">
        <v>58</v>
      </c>
      <c r="E1079" t="s">
        <v>497</v>
      </c>
      <c r="F1079" t="s">
        <v>2589</v>
      </c>
      <c r="G1079">
        <v>50000</v>
      </c>
      <c r="H1079">
        <v>1979</v>
      </c>
      <c r="I1079" t="s">
        <v>58</v>
      </c>
      <c r="J1079" t="s">
        <v>58</v>
      </c>
      <c r="K1079" t="s">
        <v>58</v>
      </c>
      <c r="L1079" t="s">
        <v>58</v>
      </c>
      <c r="M1079" t="s">
        <v>58</v>
      </c>
      <c r="N1079" t="s">
        <v>61</v>
      </c>
      <c r="Q1079" t="s">
        <v>58</v>
      </c>
      <c r="R1079" s="11" t="str">
        <f>HYPERLINK("\\imagefiles.bcgov\imagery\scanned_maps\moe_terrain_maps\Scanned_T_maps_all\I15\I15-3174","\\imagefiles.bcgov\imagery\scanned_maps\moe_terrain_maps\Scanned_T_maps_all\I15\I15-3174")</f>
        <v>\\imagefiles.bcgov\imagery\scanned_maps\moe_terrain_maps\Scanned_T_maps_all\I15\I15-3174</v>
      </c>
      <c r="S1079" t="s">
        <v>62</v>
      </c>
      <c r="T1079" s="11" t="str">
        <f>HYPERLINK("http://www.env.gov.bc.ca/esd/distdata/ecosystems/TEI_Scanned_Maps/I15/I15-3174","http://www.env.gov.bc.ca/esd/distdata/ecosystems/TEI_Scanned_Maps/I15/I15-3174")</f>
        <v>http://www.env.gov.bc.ca/esd/distdata/ecosystems/TEI_Scanned_Maps/I15/I15-3174</v>
      </c>
      <c r="U1079" t="s">
        <v>58</v>
      </c>
      <c r="V1079" t="s">
        <v>58</v>
      </c>
      <c r="W1079" t="s">
        <v>58</v>
      </c>
      <c r="X1079" t="s">
        <v>58</v>
      </c>
      <c r="Y1079" t="s">
        <v>58</v>
      </c>
      <c r="Z1079" t="s">
        <v>58</v>
      </c>
      <c r="AA1079" t="s">
        <v>58</v>
      </c>
      <c r="AC1079" t="s">
        <v>58</v>
      </c>
      <c r="AE1079" t="s">
        <v>58</v>
      </c>
      <c r="AG1079" t="s">
        <v>63</v>
      </c>
      <c r="AH1079" s="11" t="str">
        <f t="shared" si="19"/>
        <v>mailto: soilterrain@victoria1.gov.bc.ca</v>
      </c>
    </row>
    <row r="1080" spans="1:34">
      <c r="A1080" t="s">
        <v>2590</v>
      </c>
      <c r="B1080" t="s">
        <v>56</v>
      </c>
      <c r="C1080" s="10" t="s">
        <v>1409</v>
      </c>
      <c r="D1080" t="s">
        <v>58</v>
      </c>
      <c r="E1080" t="s">
        <v>497</v>
      </c>
      <c r="F1080" t="s">
        <v>2591</v>
      </c>
      <c r="G1080">
        <v>50000</v>
      </c>
      <c r="H1080">
        <v>1979</v>
      </c>
      <c r="I1080" t="s">
        <v>58</v>
      </c>
      <c r="J1080" t="s">
        <v>58</v>
      </c>
      <c r="K1080" t="s">
        <v>58</v>
      </c>
      <c r="L1080" t="s">
        <v>58</v>
      </c>
      <c r="M1080" t="s">
        <v>58</v>
      </c>
      <c r="N1080" t="s">
        <v>61</v>
      </c>
      <c r="Q1080" t="s">
        <v>58</v>
      </c>
      <c r="R1080" s="11" t="str">
        <f>HYPERLINK("\\imagefiles.bcgov\imagery\scanned_maps\moe_terrain_maps\Scanned_T_maps_all\I15\I15-3175","\\imagefiles.bcgov\imagery\scanned_maps\moe_terrain_maps\Scanned_T_maps_all\I15\I15-3175")</f>
        <v>\\imagefiles.bcgov\imagery\scanned_maps\moe_terrain_maps\Scanned_T_maps_all\I15\I15-3175</v>
      </c>
      <c r="S1080" t="s">
        <v>62</v>
      </c>
      <c r="T1080" s="11" t="str">
        <f>HYPERLINK("http://www.env.gov.bc.ca/esd/distdata/ecosystems/TEI_Scanned_Maps/I15/I15-3175","http://www.env.gov.bc.ca/esd/distdata/ecosystems/TEI_Scanned_Maps/I15/I15-3175")</f>
        <v>http://www.env.gov.bc.ca/esd/distdata/ecosystems/TEI_Scanned_Maps/I15/I15-3175</v>
      </c>
      <c r="U1080" t="s">
        <v>58</v>
      </c>
      <c r="V1080" t="s">
        <v>58</v>
      </c>
      <c r="W1080" t="s">
        <v>58</v>
      </c>
      <c r="X1080" t="s">
        <v>58</v>
      </c>
      <c r="Y1080" t="s">
        <v>58</v>
      </c>
      <c r="Z1080" t="s">
        <v>58</v>
      </c>
      <c r="AA1080" t="s">
        <v>58</v>
      </c>
      <c r="AC1080" t="s">
        <v>58</v>
      </c>
      <c r="AE1080" t="s">
        <v>58</v>
      </c>
      <c r="AG1080" t="s">
        <v>63</v>
      </c>
      <c r="AH1080" s="11" t="str">
        <f t="shared" si="19"/>
        <v>mailto: soilterrain@victoria1.gov.bc.ca</v>
      </c>
    </row>
    <row r="1081" spans="1:34">
      <c r="A1081" t="s">
        <v>2592</v>
      </c>
      <c r="B1081" t="s">
        <v>56</v>
      </c>
      <c r="C1081" s="10" t="s">
        <v>1430</v>
      </c>
      <c r="D1081" t="s">
        <v>58</v>
      </c>
      <c r="E1081" t="s">
        <v>497</v>
      </c>
      <c r="F1081" t="s">
        <v>2593</v>
      </c>
      <c r="G1081">
        <v>50000</v>
      </c>
      <c r="H1081">
        <v>1979</v>
      </c>
      <c r="I1081" t="s">
        <v>58</v>
      </c>
      <c r="J1081" t="s">
        <v>58</v>
      </c>
      <c r="K1081" t="s">
        <v>58</v>
      </c>
      <c r="L1081" t="s">
        <v>58</v>
      </c>
      <c r="M1081" t="s">
        <v>58</v>
      </c>
      <c r="N1081" t="s">
        <v>61</v>
      </c>
      <c r="Q1081" t="s">
        <v>58</v>
      </c>
      <c r="R1081" s="11" t="str">
        <f>HYPERLINK("\\imagefiles.bcgov\imagery\scanned_maps\moe_terrain_maps\Scanned_T_maps_all\I15\I15-3176","\\imagefiles.bcgov\imagery\scanned_maps\moe_terrain_maps\Scanned_T_maps_all\I15\I15-3176")</f>
        <v>\\imagefiles.bcgov\imagery\scanned_maps\moe_terrain_maps\Scanned_T_maps_all\I15\I15-3176</v>
      </c>
      <c r="S1081" t="s">
        <v>62</v>
      </c>
      <c r="T1081" s="11" t="str">
        <f>HYPERLINK("http://www.env.gov.bc.ca/esd/distdata/ecosystems/TEI_Scanned_Maps/I15/I15-3176","http://www.env.gov.bc.ca/esd/distdata/ecosystems/TEI_Scanned_Maps/I15/I15-3176")</f>
        <v>http://www.env.gov.bc.ca/esd/distdata/ecosystems/TEI_Scanned_Maps/I15/I15-3176</v>
      </c>
      <c r="U1081" t="s">
        <v>58</v>
      </c>
      <c r="V1081" t="s">
        <v>58</v>
      </c>
      <c r="W1081" t="s">
        <v>58</v>
      </c>
      <c r="X1081" t="s">
        <v>58</v>
      </c>
      <c r="Y1081" t="s">
        <v>58</v>
      </c>
      <c r="Z1081" t="s">
        <v>58</v>
      </c>
      <c r="AA1081" t="s">
        <v>58</v>
      </c>
      <c r="AC1081" t="s">
        <v>58</v>
      </c>
      <c r="AE1081" t="s">
        <v>58</v>
      </c>
      <c r="AG1081" t="s">
        <v>63</v>
      </c>
      <c r="AH1081" s="11" t="str">
        <f t="shared" si="19"/>
        <v>mailto: soilterrain@victoria1.gov.bc.ca</v>
      </c>
    </row>
    <row r="1082" spans="1:34">
      <c r="A1082" t="s">
        <v>2594</v>
      </c>
      <c r="B1082" t="s">
        <v>56</v>
      </c>
      <c r="C1082" s="10" t="s">
        <v>1432</v>
      </c>
      <c r="D1082" t="s">
        <v>58</v>
      </c>
      <c r="E1082" t="s">
        <v>497</v>
      </c>
      <c r="F1082" t="s">
        <v>2595</v>
      </c>
      <c r="G1082">
        <v>50000</v>
      </c>
      <c r="H1082">
        <v>1979</v>
      </c>
      <c r="I1082" t="s">
        <v>58</v>
      </c>
      <c r="J1082" t="s">
        <v>58</v>
      </c>
      <c r="K1082" t="s">
        <v>58</v>
      </c>
      <c r="L1082" t="s">
        <v>58</v>
      </c>
      <c r="M1082" t="s">
        <v>58</v>
      </c>
      <c r="N1082" t="s">
        <v>61</v>
      </c>
      <c r="Q1082" t="s">
        <v>58</v>
      </c>
      <c r="R1082" s="11" t="str">
        <f>HYPERLINK("\\imagefiles.bcgov\imagery\scanned_maps\moe_terrain_maps\Scanned_T_maps_all\I15\I15-3177","\\imagefiles.bcgov\imagery\scanned_maps\moe_terrain_maps\Scanned_T_maps_all\I15\I15-3177")</f>
        <v>\\imagefiles.bcgov\imagery\scanned_maps\moe_terrain_maps\Scanned_T_maps_all\I15\I15-3177</v>
      </c>
      <c r="S1082" t="s">
        <v>62</v>
      </c>
      <c r="T1082" s="11" t="str">
        <f>HYPERLINK("http://www.env.gov.bc.ca/esd/distdata/ecosystems/TEI_Scanned_Maps/I15/I15-3177","http://www.env.gov.bc.ca/esd/distdata/ecosystems/TEI_Scanned_Maps/I15/I15-3177")</f>
        <v>http://www.env.gov.bc.ca/esd/distdata/ecosystems/TEI_Scanned_Maps/I15/I15-3177</v>
      </c>
      <c r="U1082" t="s">
        <v>58</v>
      </c>
      <c r="V1082" t="s">
        <v>58</v>
      </c>
      <c r="W1082" t="s">
        <v>58</v>
      </c>
      <c r="X1082" t="s">
        <v>58</v>
      </c>
      <c r="Y1082" t="s">
        <v>58</v>
      </c>
      <c r="Z1082" t="s">
        <v>58</v>
      </c>
      <c r="AA1082" t="s">
        <v>58</v>
      </c>
      <c r="AC1082" t="s">
        <v>58</v>
      </c>
      <c r="AE1082" t="s">
        <v>58</v>
      </c>
      <c r="AG1082" t="s">
        <v>63</v>
      </c>
      <c r="AH1082" s="11" t="str">
        <f t="shared" si="19"/>
        <v>mailto: soilterrain@victoria1.gov.bc.ca</v>
      </c>
    </row>
    <row r="1083" spans="1:34">
      <c r="A1083" t="s">
        <v>2596</v>
      </c>
      <c r="B1083" t="s">
        <v>56</v>
      </c>
      <c r="C1083" s="10" t="s">
        <v>1434</v>
      </c>
      <c r="D1083" t="s">
        <v>58</v>
      </c>
      <c r="E1083" t="s">
        <v>497</v>
      </c>
      <c r="F1083" t="s">
        <v>2597</v>
      </c>
      <c r="G1083">
        <v>50000</v>
      </c>
      <c r="H1083">
        <v>1979</v>
      </c>
      <c r="I1083" t="s">
        <v>58</v>
      </c>
      <c r="J1083" t="s">
        <v>58</v>
      </c>
      <c r="K1083" t="s">
        <v>58</v>
      </c>
      <c r="L1083" t="s">
        <v>58</v>
      </c>
      <c r="M1083" t="s">
        <v>58</v>
      </c>
      <c r="N1083" t="s">
        <v>61</v>
      </c>
      <c r="Q1083" t="s">
        <v>58</v>
      </c>
      <c r="R1083" s="11" t="str">
        <f>HYPERLINK("\\imagefiles.bcgov\imagery\scanned_maps\moe_terrain_maps\Scanned_T_maps_all\I15\I15-3178","\\imagefiles.bcgov\imagery\scanned_maps\moe_terrain_maps\Scanned_T_maps_all\I15\I15-3178")</f>
        <v>\\imagefiles.bcgov\imagery\scanned_maps\moe_terrain_maps\Scanned_T_maps_all\I15\I15-3178</v>
      </c>
      <c r="S1083" t="s">
        <v>62</v>
      </c>
      <c r="T1083" s="11" t="str">
        <f>HYPERLINK("http://www.env.gov.bc.ca/esd/distdata/ecosystems/TEI_Scanned_Maps/I15/I15-3178","http://www.env.gov.bc.ca/esd/distdata/ecosystems/TEI_Scanned_Maps/I15/I15-3178")</f>
        <v>http://www.env.gov.bc.ca/esd/distdata/ecosystems/TEI_Scanned_Maps/I15/I15-3178</v>
      </c>
      <c r="U1083" t="s">
        <v>58</v>
      </c>
      <c r="V1083" t="s">
        <v>58</v>
      </c>
      <c r="W1083" t="s">
        <v>58</v>
      </c>
      <c r="X1083" t="s">
        <v>58</v>
      </c>
      <c r="Y1083" t="s">
        <v>58</v>
      </c>
      <c r="Z1083" t="s">
        <v>58</v>
      </c>
      <c r="AA1083" t="s">
        <v>58</v>
      </c>
      <c r="AC1083" t="s">
        <v>58</v>
      </c>
      <c r="AE1083" t="s">
        <v>58</v>
      </c>
      <c r="AG1083" t="s">
        <v>63</v>
      </c>
      <c r="AH1083" s="11" t="str">
        <f t="shared" si="19"/>
        <v>mailto: soilterrain@victoria1.gov.bc.ca</v>
      </c>
    </row>
    <row r="1084" spans="1:34">
      <c r="A1084" t="s">
        <v>2598</v>
      </c>
      <c r="B1084" t="s">
        <v>56</v>
      </c>
      <c r="C1084" s="10" t="s">
        <v>1436</v>
      </c>
      <c r="D1084" t="s">
        <v>58</v>
      </c>
      <c r="E1084" t="s">
        <v>497</v>
      </c>
      <c r="F1084" t="s">
        <v>2599</v>
      </c>
      <c r="G1084">
        <v>50000</v>
      </c>
      <c r="H1084">
        <v>1979</v>
      </c>
      <c r="I1084" t="s">
        <v>58</v>
      </c>
      <c r="J1084" t="s">
        <v>58</v>
      </c>
      <c r="K1084" t="s">
        <v>58</v>
      </c>
      <c r="L1084" t="s">
        <v>58</v>
      </c>
      <c r="M1084" t="s">
        <v>58</v>
      </c>
      <c r="N1084" t="s">
        <v>61</v>
      </c>
      <c r="Q1084" t="s">
        <v>58</v>
      </c>
      <c r="R1084" s="11" t="str">
        <f>HYPERLINK("\\imagefiles.bcgov\imagery\scanned_maps\moe_terrain_maps\Scanned_T_maps_all\I15\I15-3179","\\imagefiles.bcgov\imagery\scanned_maps\moe_terrain_maps\Scanned_T_maps_all\I15\I15-3179")</f>
        <v>\\imagefiles.bcgov\imagery\scanned_maps\moe_terrain_maps\Scanned_T_maps_all\I15\I15-3179</v>
      </c>
      <c r="S1084" t="s">
        <v>62</v>
      </c>
      <c r="T1084" s="11" t="str">
        <f>HYPERLINK("http://www.env.gov.bc.ca/esd/distdata/ecosystems/TEI_Scanned_Maps/I15/I15-3179","http://www.env.gov.bc.ca/esd/distdata/ecosystems/TEI_Scanned_Maps/I15/I15-3179")</f>
        <v>http://www.env.gov.bc.ca/esd/distdata/ecosystems/TEI_Scanned_Maps/I15/I15-3179</v>
      </c>
      <c r="U1084" t="s">
        <v>58</v>
      </c>
      <c r="V1084" t="s">
        <v>58</v>
      </c>
      <c r="W1084" t="s">
        <v>58</v>
      </c>
      <c r="X1084" t="s">
        <v>58</v>
      </c>
      <c r="Y1084" t="s">
        <v>58</v>
      </c>
      <c r="Z1084" t="s">
        <v>58</v>
      </c>
      <c r="AA1084" t="s">
        <v>58</v>
      </c>
      <c r="AC1084" t="s">
        <v>58</v>
      </c>
      <c r="AE1084" t="s">
        <v>58</v>
      </c>
      <c r="AG1084" t="s">
        <v>63</v>
      </c>
      <c r="AH1084" s="11" t="str">
        <f t="shared" si="19"/>
        <v>mailto: soilterrain@victoria1.gov.bc.ca</v>
      </c>
    </row>
    <row r="1085" spans="1:34">
      <c r="A1085" t="s">
        <v>2600</v>
      </c>
      <c r="B1085" t="s">
        <v>56</v>
      </c>
      <c r="C1085" s="10" t="s">
        <v>1438</v>
      </c>
      <c r="D1085" t="s">
        <v>58</v>
      </c>
      <c r="E1085" t="s">
        <v>497</v>
      </c>
      <c r="F1085" t="s">
        <v>2601</v>
      </c>
      <c r="G1085">
        <v>50000</v>
      </c>
      <c r="H1085">
        <v>1979</v>
      </c>
      <c r="I1085" t="s">
        <v>58</v>
      </c>
      <c r="J1085" t="s">
        <v>58</v>
      </c>
      <c r="K1085" t="s">
        <v>58</v>
      </c>
      <c r="L1085" t="s">
        <v>58</v>
      </c>
      <c r="M1085" t="s">
        <v>58</v>
      </c>
      <c r="N1085" t="s">
        <v>61</v>
      </c>
      <c r="Q1085" t="s">
        <v>58</v>
      </c>
      <c r="R1085" s="11" t="str">
        <f>HYPERLINK("\\imagefiles.bcgov\imagery\scanned_maps\moe_terrain_maps\Scanned_T_maps_all\I15\I15-3180","\\imagefiles.bcgov\imagery\scanned_maps\moe_terrain_maps\Scanned_T_maps_all\I15\I15-3180")</f>
        <v>\\imagefiles.bcgov\imagery\scanned_maps\moe_terrain_maps\Scanned_T_maps_all\I15\I15-3180</v>
      </c>
      <c r="S1085" t="s">
        <v>62</v>
      </c>
      <c r="T1085" s="11" t="str">
        <f>HYPERLINK("http://www.env.gov.bc.ca/esd/distdata/ecosystems/TEI_Scanned_Maps/I15/I15-3180","http://www.env.gov.bc.ca/esd/distdata/ecosystems/TEI_Scanned_Maps/I15/I15-3180")</f>
        <v>http://www.env.gov.bc.ca/esd/distdata/ecosystems/TEI_Scanned_Maps/I15/I15-3180</v>
      </c>
      <c r="U1085" t="s">
        <v>58</v>
      </c>
      <c r="V1085" t="s">
        <v>58</v>
      </c>
      <c r="W1085" t="s">
        <v>58</v>
      </c>
      <c r="X1085" t="s">
        <v>58</v>
      </c>
      <c r="Y1085" t="s">
        <v>58</v>
      </c>
      <c r="Z1085" t="s">
        <v>58</v>
      </c>
      <c r="AA1085" t="s">
        <v>58</v>
      </c>
      <c r="AC1085" t="s">
        <v>58</v>
      </c>
      <c r="AE1085" t="s">
        <v>58</v>
      </c>
      <c r="AG1085" t="s">
        <v>63</v>
      </c>
      <c r="AH1085" s="11" t="str">
        <f t="shared" si="19"/>
        <v>mailto: soilterrain@victoria1.gov.bc.ca</v>
      </c>
    </row>
    <row r="1086" spans="1:34">
      <c r="A1086" t="s">
        <v>2602</v>
      </c>
      <c r="B1086" t="s">
        <v>56</v>
      </c>
      <c r="C1086" s="10" t="s">
        <v>1440</v>
      </c>
      <c r="D1086" t="s">
        <v>58</v>
      </c>
      <c r="E1086" t="s">
        <v>497</v>
      </c>
      <c r="F1086" t="s">
        <v>2603</v>
      </c>
      <c r="G1086">
        <v>50000</v>
      </c>
      <c r="H1086">
        <v>1979</v>
      </c>
      <c r="I1086" t="s">
        <v>58</v>
      </c>
      <c r="J1086" t="s">
        <v>58</v>
      </c>
      <c r="K1086" t="s">
        <v>58</v>
      </c>
      <c r="L1086" t="s">
        <v>58</v>
      </c>
      <c r="M1086" t="s">
        <v>58</v>
      </c>
      <c r="N1086" t="s">
        <v>61</v>
      </c>
      <c r="Q1086" t="s">
        <v>58</v>
      </c>
      <c r="R1086" s="11" t="str">
        <f>HYPERLINK("\\imagefiles.bcgov\imagery\scanned_maps\moe_terrain_maps\Scanned_T_maps_all\I15\I15-3181","\\imagefiles.bcgov\imagery\scanned_maps\moe_terrain_maps\Scanned_T_maps_all\I15\I15-3181")</f>
        <v>\\imagefiles.bcgov\imagery\scanned_maps\moe_terrain_maps\Scanned_T_maps_all\I15\I15-3181</v>
      </c>
      <c r="S1086" t="s">
        <v>62</v>
      </c>
      <c r="T1086" s="11" t="str">
        <f>HYPERLINK("http://www.env.gov.bc.ca/esd/distdata/ecosystems/TEI_Scanned_Maps/I15/I15-3181","http://www.env.gov.bc.ca/esd/distdata/ecosystems/TEI_Scanned_Maps/I15/I15-3181")</f>
        <v>http://www.env.gov.bc.ca/esd/distdata/ecosystems/TEI_Scanned_Maps/I15/I15-3181</v>
      </c>
      <c r="U1086" t="s">
        <v>58</v>
      </c>
      <c r="V1086" t="s">
        <v>58</v>
      </c>
      <c r="W1086" t="s">
        <v>58</v>
      </c>
      <c r="X1086" t="s">
        <v>58</v>
      </c>
      <c r="Y1086" t="s">
        <v>58</v>
      </c>
      <c r="Z1086" t="s">
        <v>58</v>
      </c>
      <c r="AA1086" t="s">
        <v>58</v>
      </c>
      <c r="AC1086" t="s">
        <v>58</v>
      </c>
      <c r="AE1086" t="s">
        <v>58</v>
      </c>
      <c r="AG1086" t="s">
        <v>63</v>
      </c>
      <c r="AH1086" s="11" t="str">
        <f t="shared" si="19"/>
        <v>mailto: soilterrain@victoria1.gov.bc.ca</v>
      </c>
    </row>
    <row r="1087" spans="1:34">
      <c r="A1087" t="s">
        <v>2604</v>
      </c>
      <c r="B1087" t="s">
        <v>56</v>
      </c>
      <c r="C1087" s="10" t="s">
        <v>1602</v>
      </c>
      <c r="D1087" t="s">
        <v>58</v>
      </c>
      <c r="E1087" t="s">
        <v>497</v>
      </c>
      <c r="F1087" t="s">
        <v>2605</v>
      </c>
      <c r="G1087">
        <v>50000</v>
      </c>
      <c r="H1087">
        <v>1979</v>
      </c>
      <c r="I1087" t="s">
        <v>58</v>
      </c>
      <c r="J1087" t="s">
        <v>58</v>
      </c>
      <c r="K1087" t="s">
        <v>58</v>
      </c>
      <c r="L1087" t="s">
        <v>58</v>
      </c>
      <c r="M1087" t="s">
        <v>58</v>
      </c>
      <c r="N1087" t="s">
        <v>61</v>
      </c>
      <c r="Q1087" t="s">
        <v>58</v>
      </c>
      <c r="R1087" s="11" t="str">
        <f>HYPERLINK("\\imagefiles.bcgov\imagery\scanned_maps\moe_terrain_maps\Scanned_T_maps_all\I15\I15-3182","\\imagefiles.bcgov\imagery\scanned_maps\moe_terrain_maps\Scanned_T_maps_all\I15\I15-3182")</f>
        <v>\\imagefiles.bcgov\imagery\scanned_maps\moe_terrain_maps\Scanned_T_maps_all\I15\I15-3182</v>
      </c>
      <c r="S1087" t="s">
        <v>62</v>
      </c>
      <c r="T1087" s="11" t="str">
        <f>HYPERLINK("http://www.env.gov.bc.ca/esd/distdata/ecosystems/TEI_Scanned_Maps/I15/I15-3182","http://www.env.gov.bc.ca/esd/distdata/ecosystems/TEI_Scanned_Maps/I15/I15-3182")</f>
        <v>http://www.env.gov.bc.ca/esd/distdata/ecosystems/TEI_Scanned_Maps/I15/I15-3182</v>
      </c>
      <c r="U1087" t="s">
        <v>58</v>
      </c>
      <c r="V1087" t="s">
        <v>58</v>
      </c>
      <c r="W1087" t="s">
        <v>58</v>
      </c>
      <c r="X1087" t="s">
        <v>58</v>
      </c>
      <c r="Y1087" t="s">
        <v>58</v>
      </c>
      <c r="Z1087" t="s">
        <v>58</v>
      </c>
      <c r="AA1087" t="s">
        <v>58</v>
      </c>
      <c r="AC1087" t="s">
        <v>58</v>
      </c>
      <c r="AE1087" t="s">
        <v>58</v>
      </c>
      <c r="AG1087" t="s">
        <v>63</v>
      </c>
      <c r="AH1087" s="11" t="str">
        <f t="shared" si="19"/>
        <v>mailto: soilterrain@victoria1.gov.bc.ca</v>
      </c>
    </row>
    <row r="1088" spans="1:34">
      <c r="A1088" t="s">
        <v>2606</v>
      </c>
      <c r="B1088" t="s">
        <v>56</v>
      </c>
      <c r="C1088" s="10" t="s">
        <v>1444</v>
      </c>
      <c r="D1088" t="s">
        <v>58</v>
      </c>
      <c r="E1088" t="s">
        <v>497</v>
      </c>
      <c r="F1088" t="s">
        <v>2607</v>
      </c>
      <c r="G1088">
        <v>50000</v>
      </c>
      <c r="H1088">
        <v>1979</v>
      </c>
      <c r="I1088" t="s">
        <v>58</v>
      </c>
      <c r="J1088" t="s">
        <v>58</v>
      </c>
      <c r="K1088" t="s">
        <v>58</v>
      </c>
      <c r="L1088" t="s">
        <v>58</v>
      </c>
      <c r="M1088" t="s">
        <v>58</v>
      </c>
      <c r="N1088" t="s">
        <v>61</v>
      </c>
      <c r="Q1088" t="s">
        <v>58</v>
      </c>
      <c r="R1088" s="11" t="str">
        <f>HYPERLINK("\\imagefiles.bcgov\imagery\scanned_maps\moe_terrain_maps\Scanned_T_maps_all\I15\I15-3183","\\imagefiles.bcgov\imagery\scanned_maps\moe_terrain_maps\Scanned_T_maps_all\I15\I15-3183")</f>
        <v>\\imagefiles.bcgov\imagery\scanned_maps\moe_terrain_maps\Scanned_T_maps_all\I15\I15-3183</v>
      </c>
      <c r="S1088" t="s">
        <v>62</v>
      </c>
      <c r="T1088" s="11" t="str">
        <f>HYPERLINK("http://www.env.gov.bc.ca/esd/distdata/ecosystems/TEI_Scanned_Maps/I15/I15-3183","http://www.env.gov.bc.ca/esd/distdata/ecosystems/TEI_Scanned_Maps/I15/I15-3183")</f>
        <v>http://www.env.gov.bc.ca/esd/distdata/ecosystems/TEI_Scanned_Maps/I15/I15-3183</v>
      </c>
      <c r="U1088" t="s">
        <v>58</v>
      </c>
      <c r="V1088" t="s">
        <v>58</v>
      </c>
      <c r="W1088" t="s">
        <v>58</v>
      </c>
      <c r="X1088" t="s">
        <v>58</v>
      </c>
      <c r="Y1088" t="s">
        <v>58</v>
      </c>
      <c r="Z1088" t="s">
        <v>58</v>
      </c>
      <c r="AA1088" t="s">
        <v>58</v>
      </c>
      <c r="AC1088" t="s">
        <v>58</v>
      </c>
      <c r="AE1088" t="s">
        <v>58</v>
      </c>
      <c r="AG1088" t="s">
        <v>63</v>
      </c>
      <c r="AH1088" s="11" t="str">
        <f t="shared" si="19"/>
        <v>mailto: soilterrain@victoria1.gov.bc.ca</v>
      </c>
    </row>
    <row r="1089" spans="1:34">
      <c r="A1089" t="s">
        <v>2608</v>
      </c>
      <c r="B1089" t="s">
        <v>56</v>
      </c>
      <c r="C1089" s="10" t="s">
        <v>1446</v>
      </c>
      <c r="D1089" t="s">
        <v>58</v>
      </c>
      <c r="E1089" t="s">
        <v>497</v>
      </c>
      <c r="F1089" t="s">
        <v>2609</v>
      </c>
      <c r="G1089">
        <v>50000</v>
      </c>
      <c r="H1089">
        <v>1979</v>
      </c>
      <c r="I1089" t="s">
        <v>58</v>
      </c>
      <c r="J1089" t="s">
        <v>58</v>
      </c>
      <c r="K1089" t="s">
        <v>58</v>
      </c>
      <c r="L1089" t="s">
        <v>58</v>
      </c>
      <c r="M1089" t="s">
        <v>58</v>
      </c>
      <c r="N1089" t="s">
        <v>61</v>
      </c>
      <c r="Q1089" t="s">
        <v>58</v>
      </c>
      <c r="R1089" s="11" t="str">
        <f>HYPERLINK("\\imagefiles.bcgov\imagery\scanned_maps\moe_terrain_maps\Scanned_T_maps_all\I15\I15-3184","\\imagefiles.bcgov\imagery\scanned_maps\moe_terrain_maps\Scanned_T_maps_all\I15\I15-3184")</f>
        <v>\\imagefiles.bcgov\imagery\scanned_maps\moe_terrain_maps\Scanned_T_maps_all\I15\I15-3184</v>
      </c>
      <c r="S1089" t="s">
        <v>62</v>
      </c>
      <c r="T1089" s="11" t="str">
        <f>HYPERLINK("http://www.env.gov.bc.ca/esd/distdata/ecosystems/TEI_Scanned_Maps/I15/I15-3184","http://www.env.gov.bc.ca/esd/distdata/ecosystems/TEI_Scanned_Maps/I15/I15-3184")</f>
        <v>http://www.env.gov.bc.ca/esd/distdata/ecosystems/TEI_Scanned_Maps/I15/I15-3184</v>
      </c>
      <c r="U1089" t="s">
        <v>58</v>
      </c>
      <c r="V1089" t="s">
        <v>58</v>
      </c>
      <c r="W1089" t="s">
        <v>58</v>
      </c>
      <c r="X1089" t="s">
        <v>58</v>
      </c>
      <c r="Y1089" t="s">
        <v>58</v>
      </c>
      <c r="Z1089" t="s">
        <v>58</v>
      </c>
      <c r="AA1089" t="s">
        <v>58</v>
      </c>
      <c r="AC1089" t="s">
        <v>58</v>
      </c>
      <c r="AE1089" t="s">
        <v>58</v>
      </c>
      <c r="AG1089" t="s">
        <v>63</v>
      </c>
      <c r="AH1089" s="11" t="str">
        <f t="shared" si="19"/>
        <v>mailto: soilterrain@victoria1.gov.bc.ca</v>
      </c>
    </row>
    <row r="1090" spans="1:34">
      <c r="A1090" t="s">
        <v>2610</v>
      </c>
      <c r="B1090" t="s">
        <v>56</v>
      </c>
      <c r="C1090" s="10" t="s">
        <v>1448</v>
      </c>
      <c r="D1090" t="s">
        <v>58</v>
      </c>
      <c r="E1090" t="s">
        <v>497</v>
      </c>
      <c r="F1090" t="s">
        <v>2611</v>
      </c>
      <c r="G1090">
        <v>50000</v>
      </c>
      <c r="H1090">
        <v>1979</v>
      </c>
      <c r="I1090" t="s">
        <v>58</v>
      </c>
      <c r="J1090" t="s">
        <v>58</v>
      </c>
      <c r="K1090" t="s">
        <v>58</v>
      </c>
      <c r="L1090" t="s">
        <v>58</v>
      </c>
      <c r="M1090" t="s">
        <v>58</v>
      </c>
      <c r="N1090" t="s">
        <v>61</v>
      </c>
      <c r="Q1090" t="s">
        <v>58</v>
      </c>
      <c r="R1090" s="11" t="str">
        <f>HYPERLINK("\\imagefiles.bcgov\imagery\scanned_maps\moe_terrain_maps\Scanned_T_maps_all\I15\I15-3185","\\imagefiles.bcgov\imagery\scanned_maps\moe_terrain_maps\Scanned_T_maps_all\I15\I15-3185")</f>
        <v>\\imagefiles.bcgov\imagery\scanned_maps\moe_terrain_maps\Scanned_T_maps_all\I15\I15-3185</v>
      </c>
      <c r="S1090" t="s">
        <v>62</v>
      </c>
      <c r="T1090" s="11" t="str">
        <f>HYPERLINK("http://www.env.gov.bc.ca/esd/distdata/ecosystems/TEI_Scanned_Maps/I15/I15-3185","http://www.env.gov.bc.ca/esd/distdata/ecosystems/TEI_Scanned_Maps/I15/I15-3185")</f>
        <v>http://www.env.gov.bc.ca/esd/distdata/ecosystems/TEI_Scanned_Maps/I15/I15-3185</v>
      </c>
      <c r="U1090" t="s">
        <v>58</v>
      </c>
      <c r="V1090" t="s">
        <v>58</v>
      </c>
      <c r="W1090" t="s">
        <v>58</v>
      </c>
      <c r="X1090" t="s">
        <v>58</v>
      </c>
      <c r="Y1090" t="s">
        <v>58</v>
      </c>
      <c r="Z1090" t="s">
        <v>58</v>
      </c>
      <c r="AA1090" t="s">
        <v>58</v>
      </c>
      <c r="AC1090" t="s">
        <v>58</v>
      </c>
      <c r="AE1090" t="s">
        <v>58</v>
      </c>
      <c r="AG1090" t="s">
        <v>63</v>
      </c>
      <c r="AH1090" s="11" t="str">
        <f t="shared" ref="AH1090:AH1153" si="20">HYPERLINK("mailto: soilterrain@victoria1.gov.bc.ca","mailto: soilterrain@victoria1.gov.bc.ca")</f>
        <v>mailto: soilterrain@victoria1.gov.bc.ca</v>
      </c>
    </row>
    <row r="1091" spans="1:34">
      <c r="A1091" t="s">
        <v>2612</v>
      </c>
      <c r="B1091" t="s">
        <v>56</v>
      </c>
      <c r="C1091" s="10" t="s">
        <v>1450</v>
      </c>
      <c r="D1091" t="s">
        <v>58</v>
      </c>
      <c r="E1091" t="s">
        <v>497</v>
      </c>
      <c r="F1091" t="s">
        <v>2613</v>
      </c>
      <c r="G1091">
        <v>50000</v>
      </c>
      <c r="H1091">
        <v>1979</v>
      </c>
      <c r="I1091" t="s">
        <v>58</v>
      </c>
      <c r="J1091" t="s">
        <v>58</v>
      </c>
      <c r="K1091" t="s">
        <v>58</v>
      </c>
      <c r="L1091" t="s">
        <v>58</v>
      </c>
      <c r="M1091" t="s">
        <v>58</v>
      </c>
      <c r="N1091" t="s">
        <v>61</v>
      </c>
      <c r="Q1091" t="s">
        <v>58</v>
      </c>
      <c r="R1091" s="11" t="str">
        <f>HYPERLINK("\\imagefiles.bcgov\imagery\scanned_maps\moe_terrain_maps\Scanned_T_maps_all\I15\I15-3186","\\imagefiles.bcgov\imagery\scanned_maps\moe_terrain_maps\Scanned_T_maps_all\I15\I15-3186")</f>
        <v>\\imagefiles.bcgov\imagery\scanned_maps\moe_terrain_maps\Scanned_T_maps_all\I15\I15-3186</v>
      </c>
      <c r="S1091" t="s">
        <v>62</v>
      </c>
      <c r="T1091" s="11" t="str">
        <f>HYPERLINK("http://www.env.gov.bc.ca/esd/distdata/ecosystems/TEI_Scanned_Maps/I15/I15-3186","http://www.env.gov.bc.ca/esd/distdata/ecosystems/TEI_Scanned_Maps/I15/I15-3186")</f>
        <v>http://www.env.gov.bc.ca/esd/distdata/ecosystems/TEI_Scanned_Maps/I15/I15-3186</v>
      </c>
      <c r="U1091" t="s">
        <v>58</v>
      </c>
      <c r="V1091" t="s">
        <v>58</v>
      </c>
      <c r="W1091" t="s">
        <v>58</v>
      </c>
      <c r="X1091" t="s">
        <v>58</v>
      </c>
      <c r="Y1091" t="s">
        <v>58</v>
      </c>
      <c r="Z1091" t="s">
        <v>58</v>
      </c>
      <c r="AA1091" t="s">
        <v>58</v>
      </c>
      <c r="AC1091" t="s">
        <v>58</v>
      </c>
      <c r="AE1091" t="s">
        <v>58</v>
      </c>
      <c r="AG1091" t="s">
        <v>63</v>
      </c>
      <c r="AH1091" s="11" t="str">
        <f t="shared" si="20"/>
        <v>mailto: soilterrain@victoria1.gov.bc.ca</v>
      </c>
    </row>
    <row r="1092" spans="1:34">
      <c r="A1092" t="s">
        <v>2614</v>
      </c>
      <c r="B1092" t="s">
        <v>56</v>
      </c>
      <c r="C1092" s="10" t="s">
        <v>1452</v>
      </c>
      <c r="D1092" t="s">
        <v>58</v>
      </c>
      <c r="E1092" t="s">
        <v>497</v>
      </c>
      <c r="F1092" t="s">
        <v>2615</v>
      </c>
      <c r="G1092">
        <v>50000</v>
      </c>
      <c r="H1092">
        <v>1979</v>
      </c>
      <c r="I1092" t="s">
        <v>58</v>
      </c>
      <c r="J1092" t="s">
        <v>58</v>
      </c>
      <c r="K1092" t="s">
        <v>58</v>
      </c>
      <c r="L1092" t="s">
        <v>58</v>
      </c>
      <c r="M1092" t="s">
        <v>58</v>
      </c>
      <c r="N1092" t="s">
        <v>61</v>
      </c>
      <c r="Q1092" t="s">
        <v>58</v>
      </c>
      <c r="R1092" s="11" t="str">
        <f>HYPERLINK("\\imagefiles.bcgov\imagery\scanned_maps\moe_terrain_maps\Scanned_T_maps_all\I15\I15-3187","\\imagefiles.bcgov\imagery\scanned_maps\moe_terrain_maps\Scanned_T_maps_all\I15\I15-3187")</f>
        <v>\\imagefiles.bcgov\imagery\scanned_maps\moe_terrain_maps\Scanned_T_maps_all\I15\I15-3187</v>
      </c>
      <c r="S1092" t="s">
        <v>62</v>
      </c>
      <c r="T1092" s="11" t="str">
        <f>HYPERLINK("http://www.env.gov.bc.ca/esd/distdata/ecosystems/TEI_Scanned_Maps/I15/I15-3187","http://www.env.gov.bc.ca/esd/distdata/ecosystems/TEI_Scanned_Maps/I15/I15-3187")</f>
        <v>http://www.env.gov.bc.ca/esd/distdata/ecosystems/TEI_Scanned_Maps/I15/I15-3187</v>
      </c>
      <c r="U1092" t="s">
        <v>58</v>
      </c>
      <c r="V1092" t="s">
        <v>58</v>
      </c>
      <c r="W1092" t="s">
        <v>58</v>
      </c>
      <c r="X1092" t="s">
        <v>58</v>
      </c>
      <c r="Y1092" t="s">
        <v>58</v>
      </c>
      <c r="Z1092" t="s">
        <v>58</v>
      </c>
      <c r="AA1092" t="s">
        <v>58</v>
      </c>
      <c r="AC1092" t="s">
        <v>58</v>
      </c>
      <c r="AE1092" t="s">
        <v>58</v>
      </c>
      <c r="AG1092" t="s">
        <v>63</v>
      </c>
      <c r="AH1092" s="11" t="str">
        <f t="shared" si="20"/>
        <v>mailto: soilterrain@victoria1.gov.bc.ca</v>
      </c>
    </row>
    <row r="1093" spans="1:34">
      <c r="A1093" t="s">
        <v>2616</v>
      </c>
      <c r="B1093" t="s">
        <v>56</v>
      </c>
      <c r="C1093" s="10" t="s">
        <v>1454</v>
      </c>
      <c r="D1093" t="s">
        <v>58</v>
      </c>
      <c r="E1093" t="s">
        <v>497</v>
      </c>
      <c r="F1093" t="s">
        <v>2617</v>
      </c>
      <c r="G1093">
        <v>50000</v>
      </c>
      <c r="H1093">
        <v>1979</v>
      </c>
      <c r="I1093" t="s">
        <v>58</v>
      </c>
      <c r="J1093" t="s">
        <v>58</v>
      </c>
      <c r="K1093" t="s">
        <v>58</v>
      </c>
      <c r="L1093" t="s">
        <v>58</v>
      </c>
      <c r="M1093" t="s">
        <v>58</v>
      </c>
      <c r="N1093" t="s">
        <v>61</v>
      </c>
      <c r="Q1093" t="s">
        <v>58</v>
      </c>
      <c r="R1093" s="11" t="str">
        <f>HYPERLINK("\\imagefiles.bcgov\imagery\scanned_maps\moe_terrain_maps\Scanned_T_maps_all\I15\I15-3188","\\imagefiles.bcgov\imagery\scanned_maps\moe_terrain_maps\Scanned_T_maps_all\I15\I15-3188")</f>
        <v>\\imagefiles.bcgov\imagery\scanned_maps\moe_terrain_maps\Scanned_T_maps_all\I15\I15-3188</v>
      </c>
      <c r="S1093" t="s">
        <v>62</v>
      </c>
      <c r="T1093" s="11" t="str">
        <f>HYPERLINK("http://www.env.gov.bc.ca/esd/distdata/ecosystems/TEI_Scanned_Maps/I15/I15-3188","http://www.env.gov.bc.ca/esd/distdata/ecosystems/TEI_Scanned_Maps/I15/I15-3188")</f>
        <v>http://www.env.gov.bc.ca/esd/distdata/ecosystems/TEI_Scanned_Maps/I15/I15-3188</v>
      </c>
      <c r="U1093" t="s">
        <v>58</v>
      </c>
      <c r="V1093" t="s">
        <v>58</v>
      </c>
      <c r="W1093" t="s">
        <v>58</v>
      </c>
      <c r="X1093" t="s">
        <v>58</v>
      </c>
      <c r="Y1093" t="s">
        <v>58</v>
      </c>
      <c r="Z1093" t="s">
        <v>58</v>
      </c>
      <c r="AA1093" t="s">
        <v>58</v>
      </c>
      <c r="AC1093" t="s">
        <v>58</v>
      </c>
      <c r="AE1093" t="s">
        <v>58</v>
      </c>
      <c r="AG1093" t="s">
        <v>63</v>
      </c>
      <c r="AH1093" s="11" t="str">
        <f t="shared" si="20"/>
        <v>mailto: soilterrain@victoria1.gov.bc.ca</v>
      </c>
    </row>
    <row r="1094" spans="1:34">
      <c r="A1094" t="s">
        <v>2618</v>
      </c>
      <c r="B1094" t="s">
        <v>56</v>
      </c>
      <c r="C1094" s="10" t="s">
        <v>1456</v>
      </c>
      <c r="D1094" t="s">
        <v>58</v>
      </c>
      <c r="E1094" t="s">
        <v>497</v>
      </c>
      <c r="F1094" t="s">
        <v>2619</v>
      </c>
      <c r="G1094">
        <v>50000</v>
      </c>
      <c r="H1094">
        <v>1979</v>
      </c>
      <c r="I1094" t="s">
        <v>58</v>
      </c>
      <c r="J1094" t="s">
        <v>58</v>
      </c>
      <c r="K1094" t="s">
        <v>58</v>
      </c>
      <c r="L1094" t="s">
        <v>58</v>
      </c>
      <c r="M1094" t="s">
        <v>58</v>
      </c>
      <c r="N1094" t="s">
        <v>61</v>
      </c>
      <c r="Q1094" t="s">
        <v>58</v>
      </c>
      <c r="R1094" s="11" t="str">
        <f>HYPERLINK("\\imagefiles.bcgov\imagery\scanned_maps\moe_terrain_maps\Scanned_T_maps_all\I15\I15-3189","\\imagefiles.bcgov\imagery\scanned_maps\moe_terrain_maps\Scanned_T_maps_all\I15\I15-3189")</f>
        <v>\\imagefiles.bcgov\imagery\scanned_maps\moe_terrain_maps\Scanned_T_maps_all\I15\I15-3189</v>
      </c>
      <c r="S1094" t="s">
        <v>62</v>
      </c>
      <c r="T1094" s="11" t="str">
        <f>HYPERLINK("http://www.env.gov.bc.ca/esd/distdata/ecosystems/TEI_Scanned_Maps/I15/I15-3189","http://www.env.gov.bc.ca/esd/distdata/ecosystems/TEI_Scanned_Maps/I15/I15-3189")</f>
        <v>http://www.env.gov.bc.ca/esd/distdata/ecosystems/TEI_Scanned_Maps/I15/I15-3189</v>
      </c>
      <c r="U1094" t="s">
        <v>58</v>
      </c>
      <c r="V1094" t="s">
        <v>58</v>
      </c>
      <c r="W1094" t="s">
        <v>58</v>
      </c>
      <c r="X1094" t="s">
        <v>58</v>
      </c>
      <c r="Y1094" t="s">
        <v>58</v>
      </c>
      <c r="Z1094" t="s">
        <v>58</v>
      </c>
      <c r="AA1094" t="s">
        <v>58</v>
      </c>
      <c r="AC1094" t="s">
        <v>58</v>
      </c>
      <c r="AE1094" t="s">
        <v>58</v>
      </c>
      <c r="AG1094" t="s">
        <v>63</v>
      </c>
      <c r="AH1094" s="11" t="str">
        <f t="shared" si="20"/>
        <v>mailto: soilterrain@victoria1.gov.bc.ca</v>
      </c>
    </row>
    <row r="1095" spans="1:34">
      <c r="A1095" t="s">
        <v>2620</v>
      </c>
      <c r="B1095" t="s">
        <v>56</v>
      </c>
      <c r="C1095" s="10" t="s">
        <v>1458</v>
      </c>
      <c r="D1095" t="s">
        <v>58</v>
      </c>
      <c r="E1095" t="s">
        <v>497</v>
      </c>
      <c r="F1095" t="s">
        <v>2621</v>
      </c>
      <c r="G1095">
        <v>50000</v>
      </c>
      <c r="H1095">
        <v>1979</v>
      </c>
      <c r="I1095" t="s">
        <v>58</v>
      </c>
      <c r="J1095" t="s">
        <v>58</v>
      </c>
      <c r="K1095" t="s">
        <v>58</v>
      </c>
      <c r="L1095" t="s">
        <v>58</v>
      </c>
      <c r="M1095" t="s">
        <v>58</v>
      </c>
      <c r="N1095" t="s">
        <v>61</v>
      </c>
      <c r="Q1095" t="s">
        <v>58</v>
      </c>
      <c r="R1095" s="11" t="str">
        <f>HYPERLINK("\\imagefiles.bcgov\imagery\scanned_maps\moe_terrain_maps\Scanned_T_maps_all\I15\I15-3190","\\imagefiles.bcgov\imagery\scanned_maps\moe_terrain_maps\Scanned_T_maps_all\I15\I15-3190")</f>
        <v>\\imagefiles.bcgov\imagery\scanned_maps\moe_terrain_maps\Scanned_T_maps_all\I15\I15-3190</v>
      </c>
      <c r="S1095" t="s">
        <v>62</v>
      </c>
      <c r="T1095" s="11" t="str">
        <f>HYPERLINK("http://www.env.gov.bc.ca/esd/distdata/ecosystems/TEI_Scanned_Maps/I15/I15-3190","http://www.env.gov.bc.ca/esd/distdata/ecosystems/TEI_Scanned_Maps/I15/I15-3190")</f>
        <v>http://www.env.gov.bc.ca/esd/distdata/ecosystems/TEI_Scanned_Maps/I15/I15-3190</v>
      </c>
      <c r="U1095" t="s">
        <v>58</v>
      </c>
      <c r="V1095" t="s">
        <v>58</v>
      </c>
      <c r="W1095" t="s">
        <v>58</v>
      </c>
      <c r="X1095" t="s">
        <v>58</v>
      </c>
      <c r="Y1095" t="s">
        <v>58</v>
      </c>
      <c r="Z1095" t="s">
        <v>58</v>
      </c>
      <c r="AA1095" t="s">
        <v>58</v>
      </c>
      <c r="AC1095" t="s">
        <v>58</v>
      </c>
      <c r="AE1095" t="s">
        <v>58</v>
      </c>
      <c r="AG1095" t="s">
        <v>63</v>
      </c>
      <c r="AH1095" s="11" t="str">
        <f t="shared" si="20"/>
        <v>mailto: soilterrain@victoria1.gov.bc.ca</v>
      </c>
    </row>
    <row r="1096" spans="1:34">
      <c r="A1096" t="s">
        <v>2622</v>
      </c>
      <c r="B1096" t="s">
        <v>56</v>
      </c>
      <c r="C1096" s="10" t="s">
        <v>1463</v>
      </c>
      <c r="D1096" t="s">
        <v>58</v>
      </c>
      <c r="E1096" t="s">
        <v>497</v>
      </c>
      <c r="F1096" t="s">
        <v>2623</v>
      </c>
      <c r="G1096">
        <v>50000</v>
      </c>
      <c r="H1096">
        <v>1979</v>
      </c>
      <c r="I1096" t="s">
        <v>58</v>
      </c>
      <c r="J1096" t="s">
        <v>58</v>
      </c>
      <c r="K1096" t="s">
        <v>58</v>
      </c>
      <c r="L1096" t="s">
        <v>58</v>
      </c>
      <c r="M1096" t="s">
        <v>58</v>
      </c>
      <c r="N1096" t="s">
        <v>61</v>
      </c>
      <c r="Q1096" t="s">
        <v>58</v>
      </c>
      <c r="R1096" s="11" t="str">
        <f>HYPERLINK("\\imagefiles.bcgov\imagery\scanned_maps\moe_terrain_maps\Scanned_T_maps_all\I15\I15-3191","\\imagefiles.bcgov\imagery\scanned_maps\moe_terrain_maps\Scanned_T_maps_all\I15\I15-3191")</f>
        <v>\\imagefiles.bcgov\imagery\scanned_maps\moe_terrain_maps\Scanned_T_maps_all\I15\I15-3191</v>
      </c>
      <c r="S1096" t="s">
        <v>62</v>
      </c>
      <c r="T1096" s="11" t="str">
        <f>HYPERLINK("http://www.env.gov.bc.ca/esd/distdata/ecosystems/TEI_Scanned_Maps/I15/I15-3191","http://www.env.gov.bc.ca/esd/distdata/ecosystems/TEI_Scanned_Maps/I15/I15-3191")</f>
        <v>http://www.env.gov.bc.ca/esd/distdata/ecosystems/TEI_Scanned_Maps/I15/I15-3191</v>
      </c>
      <c r="U1096" t="s">
        <v>58</v>
      </c>
      <c r="V1096" t="s">
        <v>58</v>
      </c>
      <c r="W1096" t="s">
        <v>58</v>
      </c>
      <c r="X1096" t="s">
        <v>58</v>
      </c>
      <c r="Y1096" t="s">
        <v>58</v>
      </c>
      <c r="Z1096" t="s">
        <v>58</v>
      </c>
      <c r="AA1096" t="s">
        <v>58</v>
      </c>
      <c r="AC1096" t="s">
        <v>58</v>
      </c>
      <c r="AE1096" t="s">
        <v>58</v>
      </c>
      <c r="AG1096" t="s">
        <v>63</v>
      </c>
      <c r="AH1096" s="11" t="str">
        <f t="shared" si="20"/>
        <v>mailto: soilterrain@victoria1.gov.bc.ca</v>
      </c>
    </row>
    <row r="1097" spans="1:34">
      <c r="A1097" t="s">
        <v>2624</v>
      </c>
      <c r="B1097" t="s">
        <v>56</v>
      </c>
      <c r="C1097" s="10" t="s">
        <v>1474</v>
      </c>
      <c r="D1097" t="s">
        <v>58</v>
      </c>
      <c r="E1097" t="s">
        <v>497</v>
      </c>
      <c r="F1097" t="s">
        <v>2625</v>
      </c>
      <c r="G1097">
        <v>50000</v>
      </c>
      <c r="H1097">
        <v>1979</v>
      </c>
      <c r="I1097" t="s">
        <v>58</v>
      </c>
      <c r="J1097" t="s">
        <v>58</v>
      </c>
      <c r="K1097" t="s">
        <v>58</v>
      </c>
      <c r="L1097" t="s">
        <v>58</v>
      </c>
      <c r="M1097" t="s">
        <v>58</v>
      </c>
      <c r="N1097" t="s">
        <v>61</v>
      </c>
      <c r="Q1097" t="s">
        <v>58</v>
      </c>
      <c r="R1097" s="11" t="str">
        <f>HYPERLINK("\\imagefiles.bcgov\imagery\scanned_maps\moe_terrain_maps\Scanned_T_maps_all\I15\I15-3192","\\imagefiles.bcgov\imagery\scanned_maps\moe_terrain_maps\Scanned_T_maps_all\I15\I15-3192")</f>
        <v>\\imagefiles.bcgov\imagery\scanned_maps\moe_terrain_maps\Scanned_T_maps_all\I15\I15-3192</v>
      </c>
      <c r="S1097" t="s">
        <v>62</v>
      </c>
      <c r="T1097" s="11" t="str">
        <f>HYPERLINK("http://www.env.gov.bc.ca/esd/distdata/ecosystems/TEI_Scanned_Maps/I15/I15-3192","http://www.env.gov.bc.ca/esd/distdata/ecosystems/TEI_Scanned_Maps/I15/I15-3192")</f>
        <v>http://www.env.gov.bc.ca/esd/distdata/ecosystems/TEI_Scanned_Maps/I15/I15-3192</v>
      </c>
      <c r="U1097" t="s">
        <v>58</v>
      </c>
      <c r="V1097" t="s">
        <v>58</v>
      </c>
      <c r="W1097" t="s">
        <v>58</v>
      </c>
      <c r="X1097" t="s">
        <v>58</v>
      </c>
      <c r="Y1097" t="s">
        <v>58</v>
      </c>
      <c r="Z1097" t="s">
        <v>58</v>
      </c>
      <c r="AA1097" t="s">
        <v>58</v>
      </c>
      <c r="AC1097" t="s">
        <v>58</v>
      </c>
      <c r="AE1097" t="s">
        <v>58</v>
      </c>
      <c r="AG1097" t="s">
        <v>63</v>
      </c>
      <c r="AH1097" s="11" t="str">
        <f t="shared" si="20"/>
        <v>mailto: soilterrain@victoria1.gov.bc.ca</v>
      </c>
    </row>
    <row r="1098" spans="1:34">
      <c r="A1098" t="s">
        <v>2626</v>
      </c>
      <c r="B1098" t="s">
        <v>56</v>
      </c>
      <c r="C1098" s="10" t="s">
        <v>1477</v>
      </c>
      <c r="D1098" t="s">
        <v>58</v>
      </c>
      <c r="E1098" t="s">
        <v>497</v>
      </c>
      <c r="F1098" t="s">
        <v>2627</v>
      </c>
      <c r="G1098">
        <v>50000</v>
      </c>
      <c r="H1098">
        <v>1979</v>
      </c>
      <c r="I1098" t="s">
        <v>58</v>
      </c>
      <c r="J1098" t="s">
        <v>58</v>
      </c>
      <c r="K1098" t="s">
        <v>58</v>
      </c>
      <c r="L1098" t="s">
        <v>58</v>
      </c>
      <c r="M1098" t="s">
        <v>58</v>
      </c>
      <c r="N1098" t="s">
        <v>61</v>
      </c>
      <c r="Q1098" t="s">
        <v>58</v>
      </c>
      <c r="R1098" s="11" t="str">
        <f>HYPERLINK("\\imagefiles.bcgov\imagery\scanned_maps\moe_terrain_maps\Scanned_T_maps_all\I15\I15-3193","\\imagefiles.bcgov\imagery\scanned_maps\moe_terrain_maps\Scanned_T_maps_all\I15\I15-3193")</f>
        <v>\\imagefiles.bcgov\imagery\scanned_maps\moe_terrain_maps\Scanned_T_maps_all\I15\I15-3193</v>
      </c>
      <c r="S1098" t="s">
        <v>62</v>
      </c>
      <c r="T1098" s="11" t="str">
        <f>HYPERLINK("http://www.env.gov.bc.ca/esd/distdata/ecosystems/TEI_Scanned_Maps/I15/I15-3193","http://www.env.gov.bc.ca/esd/distdata/ecosystems/TEI_Scanned_Maps/I15/I15-3193")</f>
        <v>http://www.env.gov.bc.ca/esd/distdata/ecosystems/TEI_Scanned_Maps/I15/I15-3193</v>
      </c>
      <c r="U1098" t="s">
        <v>58</v>
      </c>
      <c r="V1098" t="s">
        <v>58</v>
      </c>
      <c r="W1098" t="s">
        <v>58</v>
      </c>
      <c r="X1098" t="s">
        <v>58</v>
      </c>
      <c r="Y1098" t="s">
        <v>58</v>
      </c>
      <c r="Z1098" t="s">
        <v>58</v>
      </c>
      <c r="AA1098" t="s">
        <v>58</v>
      </c>
      <c r="AC1098" t="s">
        <v>58</v>
      </c>
      <c r="AE1098" t="s">
        <v>58</v>
      </c>
      <c r="AG1098" t="s">
        <v>63</v>
      </c>
      <c r="AH1098" s="11" t="str">
        <f t="shared" si="20"/>
        <v>mailto: soilterrain@victoria1.gov.bc.ca</v>
      </c>
    </row>
    <row r="1099" spans="1:34">
      <c r="A1099" t="s">
        <v>2628</v>
      </c>
      <c r="B1099" t="s">
        <v>56</v>
      </c>
      <c r="C1099" s="10" t="s">
        <v>597</v>
      </c>
      <c r="D1099" t="s">
        <v>58</v>
      </c>
      <c r="E1099" t="s">
        <v>497</v>
      </c>
      <c r="F1099" t="s">
        <v>2629</v>
      </c>
      <c r="G1099">
        <v>50000</v>
      </c>
      <c r="H1099">
        <v>1979</v>
      </c>
      <c r="I1099" t="s">
        <v>58</v>
      </c>
      <c r="J1099" t="s">
        <v>58</v>
      </c>
      <c r="K1099" t="s">
        <v>58</v>
      </c>
      <c r="L1099" t="s">
        <v>58</v>
      </c>
      <c r="M1099" t="s">
        <v>58</v>
      </c>
      <c r="N1099" t="s">
        <v>61</v>
      </c>
      <c r="Q1099" t="s">
        <v>58</v>
      </c>
      <c r="R1099" s="11" t="str">
        <f>HYPERLINK("\\imagefiles.bcgov\imagery\scanned_maps\moe_terrain_maps\Scanned_T_maps_all\I15\I15-3194","\\imagefiles.bcgov\imagery\scanned_maps\moe_terrain_maps\Scanned_T_maps_all\I15\I15-3194")</f>
        <v>\\imagefiles.bcgov\imagery\scanned_maps\moe_terrain_maps\Scanned_T_maps_all\I15\I15-3194</v>
      </c>
      <c r="S1099" t="s">
        <v>62</v>
      </c>
      <c r="T1099" s="11" t="str">
        <f>HYPERLINK("http://www.env.gov.bc.ca/esd/distdata/ecosystems/TEI_Scanned_Maps/I15/I15-3194","http://www.env.gov.bc.ca/esd/distdata/ecosystems/TEI_Scanned_Maps/I15/I15-3194")</f>
        <v>http://www.env.gov.bc.ca/esd/distdata/ecosystems/TEI_Scanned_Maps/I15/I15-3194</v>
      </c>
      <c r="U1099" t="s">
        <v>58</v>
      </c>
      <c r="V1099" t="s">
        <v>58</v>
      </c>
      <c r="W1099" t="s">
        <v>58</v>
      </c>
      <c r="X1099" t="s">
        <v>58</v>
      </c>
      <c r="Y1099" t="s">
        <v>58</v>
      </c>
      <c r="Z1099" t="s">
        <v>58</v>
      </c>
      <c r="AA1099" t="s">
        <v>58</v>
      </c>
      <c r="AC1099" t="s">
        <v>58</v>
      </c>
      <c r="AE1099" t="s">
        <v>58</v>
      </c>
      <c r="AG1099" t="s">
        <v>63</v>
      </c>
      <c r="AH1099" s="11" t="str">
        <f t="shared" si="20"/>
        <v>mailto: soilterrain@victoria1.gov.bc.ca</v>
      </c>
    </row>
    <row r="1100" spans="1:34">
      <c r="A1100" t="s">
        <v>2630</v>
      </c>
      <c r="B1100" t="s">
        <v>56</v>
      </c>
      <c r="C1100" s="10" t="s">
        <v>600</v>
      </c>
      <c r="D1100" t="s">
        <v>58</v>
      </c>
      <c r="E1100" t="s">
        <v>497</v>
      </c>
      <c r="F1100" t="s">
        <v>2631</v>
      </c>
      <c r="G1100">
        <v>50000</v>
      </c>
      <c r="H1100">
        <v>1979</v>
      </c>
      <c r="I1100" t="s">
        <v>58</v>
      </c>
      <c r="J1100" t="s">
        <v>58</v>
      </c>
      <c r="K1100" t="s">
        <v>58</v>
      </c>
      <c r="L1100" t="s">
        <v>58</v>
      </c>
      <c r="M1100" t="s">
        <v>58</v>
      </c>
      <c r="N1100" t="s">
        <v>61</v>
      </c>
      <c r="Q1100" t="s">
        <v>58</v>
      </c>
      <c r="R1100" s="11" t="str">
        <f>HYPERLINK("\\imagefiles.bcgov\imagery\scanned_maps\moe_terrain_maps\Scanned_T_maps_all\I15\I15-3195","\\imagefiles.bcgov\imagery\scanned_maps\moe_terrain_maps\Scanned_T_maps_all\I15\I15-3195")</f>
        <v>\\imagefiles.bcgov\imagery\scanned_maps\moe_terrain_maps\Scanned_T_maps_all\I15\I15-3195</v>
      </c>
      <c r="S1100" t="s">
        <v>62</v>
      </c>
      <c r="T1100" s="11" t="str">
        <f>HYPERLINK("http://www.env.gov.bc.ca/esd/distdata/ecosystems/TEI_Scanned_Maps/I15/I15-3195","http://www.env.gov.bc.ca/esd/distdata/ecosystems/TEI_Scanned_Maps/I15/I15-3195")</f>
        <v>http://www.env.gov.bc.ca/esd/distdata/ecosystems/TEI_Scanned_Maps/I15/I15-3195</v>
      </c>
      <c r="U1100" t="s">
        <v>58</v>
      </c>
      <c r="V1100" t="s">
        <v>58</v>
      </c>
      <c r="W1100" t="s">
        <v>58</v>
      </c>
      <c r="X1100" t="s">
        <v>58</v>
      </c>
      <c r="Y1100" t="s">
        <v>58</v>
      </c>
      <c r="Z1100" t="s">
        <v>58</v>
      </c>
      <c r="AA1100" t="s">
        <v>58</v>
      </c>
      <c r="AC1100" t="s">
        <v>58</v>
      </c>
      <c r="AE1100" t="s">
        <v>58</v>
      </c>
      <c r="AG1100" t="s">
        <v>63</v>
      </c>
      <c r="AH1100" s="11" t="str">
        <f t="shared" si="20"/>
        <v>mailto: soilterrain@victoria1.gov.bc.ca</v>
      </c>
    </row>
    <row r="1101" spans="1:34">
      <c r="A1101" t="s">
        <v>2632</v>
      </c>
      <c r="B1101" t="s">
        <v>56</v>
      </c>
      <c r="C1101" s="10" t="s">
        <v>1505</v>
      </c>
      <c r="D1101" t="s">
        <v>58</v>
      </c>
      <c r="E1101" t="s">
        <v>497</v>
      </c>
      <c r="F1101" t="s">
        <v>2633</v>
      </c>
      <c r="G1101">
        <v>50000</v>
      </c>
      <c r="H1101">
        <v>1979</v>
      </c>
      <c r="I1101" t="s">
        <v>58</v>
      </c>
      <c r="J1101" t="s">
        <v>58</v>
      </c>
      <c r="K1101" t="s">
        <v>58</v>
      </c>
      <c r="L1101" t="s">
        <v>58</v>
      </c>
      <c r="M1101" t="s">
        <v>58</v>
      </c>
      <c r="N1101" t="s">
        <v>61</v>
      </c>
      <c r="Q1101" t="s">
        <v>58</v>
      </c>
      <c r="R1101" s="11" t="str">
        <f>HYPERLINK("\\imagefiles.bcgov\imagery\scanned_maps\moe_terrain_maps\Scanned_T_maps_all\I15\I15-3196","\\imagefiles.bcgov\imagery\scanned_maps\moe_terrain_maps\Scanned_T_maps_all\I15\I15-3196")</f>
        <v>\\imagefiles.bcgov\imagery\scanned_maps\moe_terrain_maps\Scanned_T_maps_all\I15\I15-3196</v>
      </c>
      <c r="S1101" t="s">
        <v>62</v>
      </c>
      <c r="T1101" s="11" t="str">
        <f>HYPERLINK("http://www.env.gov.bc.ca/esd/distdata/ecosystems/TEI_Scanned_Maps/I15/I15-3196","http://www.env.gov.bc.ca/esd/distdata/ecosystems/TEI_Scanned_Maps/I15/I15-3196")</f>
        <v>http://www.env.gov.bc.ca/esd/distdata/ecosystems/TEI_Scanned_Maps/I15/I15-3196</v>
      </c>
      <c r="U1101" t="s">
        <v>58</v>
      </c>
      <c r="V1101" t="s">
        <v>58</v>
      </c>
      <c r="W1101" t="s">
        <v>58</v>
      </c>
      <c r="X1101" t="s">
        <v>58</v>
      </c>
      <c r="Y1101" t="s">
        <v>58</v>
      </c>
      <c r="Z1101" t="s">
        <v>58</v>
      </c>
      <c r="AA1101" t="s">
        <v>58</v>
      </c>
      <c r="AC1101" t="s">
        <v>58</v>
      </c>
      <c r="AE1101" t="s">
        <v>58</v>
      </c>
      <c r="AG1101" t="s">
        <v>63</v>
      </c>
      <c r="AH1101" s="11" t="str">
        <f t="shared" si="20"/>
        <v>mailto: soilterrain@victoria1.gov.bc.ca</v>
      </c>
    </row>
    <row r="1102" spans="1:34">
      <c r="A1102" t="s">
        <v>2634</v>
      </c>
      <c r="B1102" t="s">
        <v>56</v>
      </c>
      <c r="C1102" s="10" t="s">
        <v>1508</v>
      </c>
      <c r="D1102" t="s">
        <v>58</v>
      </c>
      <c r="E1102" t="s">
        <v>497</v>
      </c>
      <c r="F1102" t="s">
        <v>2635</v>
      </c>
      <c r="G1102">
        <v>50000</v>
      </c>
      <c r="H1102">
        <v>1979</v>
      </c>
      <c r="I1102" t="s">
        <v>58</v>
      </c>
      <c r="J1102" t="s">
        <v>58</v>
      </c>
      <c r="K1102" t="s">
        <v>58</v>
      </c>
      <c r="L1102" t="s">
        <v>58</v>
      </c>
      <c r="M1102" t="s">
        <v>58</v>
      </c>
      <c r="N1102" t="s">
        <v>61</v>
      </c>
      <c r="Q1102" t="s">
        <v>58</v>
      </c>
      <c r="R1102" s="11" t="str">
        <f>HYPERLINK("\\imagefiles.bcgov\imagery\scanned_maps\moe_terrain_maps\Scanned_T_maps_all\I15\I15-3197","\\imagefiles.bcgov\imagery\scanned_maps\moe_terrain_maps\Scanned_T_maps_all\I15\I15-3197")</f>
        <v>\\imagefiles.bcgov\imagery\scanned_maps\moe_terrain_maps\Scanned_T_maps_all\I15\I15-3197</v>
      </c>
      <c r="S1102" t="s">
        <v>62</v>
      </c>
      <c r="T1102" s="11" t="str">
        <f>HYPERLINK("http://www.env.gov.bc.ca/esd/distdata/ecosystems/TEI_Scanned_Maps/I15/I15-3197","http://www.env.gov.bc.ca/esd/distdata/ecosystems/TEI_Scanned_Maps/I15/I15-3197")</f>
        <v>http://www.env.gov.bc.ca/esd/distdata/ecosystems/TEI_Scanned_Maps/I15/I15-3197</v>
      </c>
      <c r="U1102" t="s">
        <v>58</v>
      </c>
      <c r="V1102" t="s">
        <v>58</v>
      </c>
      <c r="W1102" t="s">
        <v>58</v>
      </c>
      <c r="X1102" t="s">
        <v>58</v>
      </c>
      <c r="Y1102" t="s">
        <v>58</v>
      </c>
      <c r="Z1102" t="s">
        <v>58</v>
      </c>
      <c r="AA1102" t="s">
        <v>58</v>
      </c>
      <c r="AC1102" t="s">
        <v>58</v>
      </c>
      <c r="AE1102" t="s">
        <v>58</v>
      </c>
      <c r="AG1102" t="s">
        <v>63</v>
      </c>
      <c r="AH1102" s="11" t="str">
        <f t="shared" si="20"/>
        <v>mailto: soilterrain@victoria1.gov.bc.ca</v>
      </c>
    </row>
    <row r="1103" spans="1:34">
      <c r="A1103" t="s">
        <v>2636</v>
      </c>
      <c r="B1103" t="s">
        <v>56</v>
      </c>
      <c r="C1103" s="10" t="s">
        <v>1519</v>
      </c>
      <c r="D1103" t="s">
        <v>58</v>
      </c>
      <c r="E1103" t="s">
        <v>497</v>
      </c>
      <c r="F1103" t="s">
        <v>2637</v>
      </c>
      <c r="G1103">
        <v>50000</v>
      </c>
      <c r="H1103">
        <v>1979</v>
      </c>
      <c r="I1103" t="s">
        <v>58</v>
      </c>
      <c r="J1103" t="s">
        <v>58</v>
      </c>
      <c r="K1103" t="s">
        <v>58</v>
      </c>
      <c r="L1103" t="s">
        <v>58</v>
      </c>
      <c r="M1103" t="s">
        <v>58</v>
      </c>
      <c r="N1103" t="s">
        <v>61</v>
      </c>
      <c r="Q1103" t="s">
        <v>58</v>
      </c>
      <c r="R1103" s="11" t="str">
        <f>HYPERLINK("\\imagefiles.bcgov\imagery\scanned_maps\moe_terrain_maps\Scanned_T_maps_all\I15\I15-3198","\\imagefiles.bcgov\imagery\scanned_maps\moe_terrain_maps\Scanned_T_maps_all\I15\I15-3198")</f>
        <v>\\imagefiles.bcgov\imagery\scanned_maps\moe_terrain_maps\Scanned_T_maps_all\I15\I15-3198</v>
      </c>
      <c r="S1103" t="s">
        <v>62</v>
      </c>
      <c r="T1103" s="11" t="str">
        <f>HYPERLINK("http://www.env.gov.bc.ca/esd/distdata/ecosystems/TEI_Scanned_Maps/I15/I15-3198","http://www.env.gov.bc.ca/esd/distdata/ecosystems/TEI_Scanned_Maps/I15/I15-3198")</f>
        <v>http://www.env.gov.bc.ca/esd/distdata/ecosystems/TEI_Scanned_Maps/I15/I15-3198</v>
      </c>
      <c r="U1103" t="s">
        <v>58</v>
      </c>
      <c r="V1103" t="s">
        <v>58</v>
      </c>
      <c r="W1103" t="s">
        <v>58</v>
      </c>
      <c r="X1103" t="s">
        <v>58</v>
      </c>
      <c r="Y1103" t="s">
        <v>58</v>
      </c>
      <c r="Z1103" t="s">
        <v>58</v>
      </c>
      <c r="AA1103" t="s">
        <v>58</v>
      </c>
      <c r="AC1103" t="s">
        <v>58</v>
      </c>
      <c r="AE1103" t="s">
        <v>58</v>
      </c>
      <c r="AG1103" t="s">
        <v>63</v>
      </c>
      <c r="AH1103" s="11" t="str">
        <f t="shared" si="20"/>
        <v>mailto: soilterrain@victoria1.gov.bc.ca</v>
      </c>
    </row>
    <row r="1104" spans="1:34">
      <c r="A1104" t="s">
        <v>2638</v>
      </c>
      <c r="B1104" t="s">
        <v>56</v>
      </c>
      <c r="C1104" s="10" t="s">
        <v>1522</v>
      </c>
      <c r="D1104" t="s">
        <v>58</v>
      </c>
      <c r="E1104" t="s">
        <v>497</v>
      </c>
      <c r="F1104" t="s">
        <v>2639</v>
      </c>
      <c r="G1104">
        <v>50000</v>
      </c>
      <c r="H1104">
        <v>1979</v>
      </c>
      <c r="I1104" t="s">
        <v>58</v>
      </c>
      <c r="J1104" t="s">
        <v>58</v>
      </c>
      <c r="K1104" t="s">
        <v>58</v>
      </c>
      <c r="L1104" t="s">
        <v>58</v>
      </c>
      <c r="M1104" t="s">
        <v>58</v>
      </c>
      <c r="N1104" t="s">
        <v>61</v>
      </c>
      <c r="Q1104" t="s">
        <v>58</v>
      </c>
      <c r="R1104" s="11" t="str">
        <f>HYPERLINK("\\imagefiles.bcgov\imagery\scanned_maps\moe_terrain_maps\Scanned_T_maps_all\I15\I15-3199","\\imagefiles.bcgov\imagery\scanned_maps\moe_terrain_maps\Scanned_T_maps_all\I15\I15-3199")</f>
        <v>\\imagefiles.bcgov\imagery\scanned_maps\moe_terrain_maps\Scanned_T_maps_all\I15\I15-3199</v>
      </c>
      <c r="S1104" t="s">
        <v>62</v>
      </c>
      <c r="T1104" s="11" t="str">
        <f>HYPERLINK("http://www.env.gov.bc.ca/esd/distdata/ecosystems/TEI_Scanned_Maps/I15/I15-3199","http://www.env.gov.bc.ca/esd/distdata/ecosystems/TEI_Scanned_Maps/I15/I15-3199")</f>
        <v>http://www.env.gov.bc.ca/esd/distdata/ecosystems/TEI_Scanned_Maps/I15/I15-3199</v>
      </c>
      <c r="U1104" t="s">
        <v>58</v>
      </c>
      <c r="V1104" t="s">
        <v>58</v>
      </c>
      <c r="W1104" t="s">
        <v>58</v>
      </c>
      <c r="X1104" t="s">
        <v>58</v>
      </c>
      <c r="Y1104" t="s">
        <v>58</v>
      </c>
      <c r="Z1104" t="s">
        <v>58</v>
      </c>
      <c r="AA1104" t="s">
        <v>58</v>
      </c>
      <c r="AC1104" t="s">
        <v>58</v>
      </c>
      <c r="AE1104" t="s">
        <v>58</v>
      </c>
      <c r="AG1104" t="s">
        <v>63</v>
      </c>
      <c r="AH1104" s="11" t="str">
        <f t="shared" si="20"/>
        <v>mailto: soilterrain@victoria1.gov.bc.ca</v>
      </c>
    </row>
    <row r="1105" spans="1:34">
      <c r="A1105" t="s">
        <v>2640</v>
      </c>
      <c r="B1105" t="s">
        <v>56</v>
      </c>
      <c r="C1105" s="10" t="s">
        <v>1486</v>
      </c>
      <c r="D1105" t="s">
        <v>58</v>
      </c>
      <c r="E1105" t="s">
        <v>497</v>
      </c>
      <c r="F1105" t="s">
        <v>2641</v>
      </c>
      <c r="G1105">
        <v>50000</v>
      </c>
      <c r="H1105">
        <v>1979</v>
      </c>
      <c r="I1105" t="s">
        <v>58</v>
      </c>
      <c r="J1105" t="s">
        <v>58</v>
      </c>
      <c r="K1105" t="s">
        <v>58</v>
      </c>
      <c r="L1105" t="s">
        <v>58</v>
      </c>
      <c r="M1105" t="s">
        <v>58</v>
      </c>
      <c r="N1105" t="s">
        <v>61</v>
      </c>
      <c r="Q1105" t="s">
        <v>58</v>
      </c>
      <c r="R1105" s="11" t="str">
        <f>HYPERLINK("\\imagefiles.bcgov\imagery\scanned_maps\moe_terrain_maps\Scanned_T_maps_all\I16\I16-3200","\\imagefiles.bcgov\imagery\scanned_maps\moe_terrain_maps\Scanned_T_maps_all\I16\I16-3200")</f>
        <v>\\imagefiles.bcgov\imagery\scanned_maps\moe_terrain_maps\Scanned_T_maps_all\I16\I16-3200</v>
      </c>
      <c r="S1105" t="s">
        <v>62</v>
      </c>
      <c r="T1105" s="11" t="str">
        <f>HYPERLINK("http://www.env.gov.bc.ca/esd/distdata/ecosystems/TEI_Scanned_Maps/I16/I16-3200","http://www.env.gov.bc.ca/esd/distdata/ecosystems/TEI_Scanned_Maps/I16/I16-3200")</f>
        <v>http://www.env.gov.bc.ca/esd/distdata/ecosystems/TEI_Scanned_Maps/I16/I16-3200</v>
      </c>
      <c r="U1105" t="s">
        <v>58</v>
      </c>
      <c r="V1105" t="s">
        <v>58</v>
      </c>
      <c r="W1105" t="s">
        <v>58</v>
      </c>
      <c r="X1105" t="s">
        <v>58</v>
      </c>
      <c r="Y1105" t="s">
        <v>58</v>
      </c>
      <c r="Z1105" t="s">
        <v>58</v>
      </c>
      <c r="AA1105" t="s">
        <v>58</v>
      </c>
      <c r="AC1105" t="s">
        <v>58</v>
      </c>
      <c r="AE1105" t="s">
        <v>58</v>
      </c>
      <c r="AG1105" t="s">
        <v>63</v>
      </c>
      <c r="AH1105" s="11" t="str">
        <f t="shared" si="20"/>
        <v>mailto: soilterrain@victoria1.gov.bc.ca</v>
      </c>
    </row>
    <row r="1106" spans="1:34">
      <c r="A1106" t="s">
        <v>2642</v>
      </c>
      <c r="B1106" t="s">
        <v>56</v>
      </c>
      <c r="C1106" s="10" t="s">
        <v>1488</v>
      </c>
      <c r="D1106" t="s">
        <v>58</v>
      </c>
      <c r="E1106" t="s">
        <v>497</v>
      </c>
      <c r="F1106" t="s">
        <v>2643</v>
      </c>
      <c r="G1106">
        <v>50000</v>
      </c>
      <c r="H1106">
        <v>1979</v>
      </c>
      <c r="I1106" t="s">
        <v>58</v>
      </c>
      <c r="J1106" t="s">
        <v>58</v>
      </c>
      <c r="K1106" t="s">
        <v>58</v>
      </c>
      <c r="L1106" t="s">
        <v>58</v>
      </c>
      <c r="M1106" t="s">
        <v>58</v>
      </c>
      <c r="N1106" t="s">
        <v>61</v>
      </c>
      <c r="Q1106" t="s">
        <v>58</v>
      </c>
      <c r="R1106" s="11" t="str">
        <f>HYPERLINK("\\imagefiles.bcgov\imagery\scanned_maps\moe_terrain_maps\Scanned_T_maps_all\I16\I16-3201","\\imagefiles.bcgov\imagery\scanned_maps\moe_terrain_maps\Scanned_T_maps_all\I16\I16-3201")</f>
        <v>\\imagefiles.bcgov\imagery\scanned_maps\moe_terrain_maps\Scanned_T_maps_all\I16\I16-3201</v>
      </c>
      <c r="S1106" t="s">
        <v>62</v>
      </c>
      <c r="T1106" s="11" t="str">
        <f>HYPERLINK("http://www.env.gov.bc.ca/esd/distdata/ecosystems/TEI_Scanned_Maps/I16/I16-3201","http://www.env.gov.bc.ca/esd/distdata/ecosystems/TEI_Scanned_Maps/I16/I16-3201")</f>
        <v>http://www.env.gov.bc.ca/esd/distdata/ecosystems/TEI_Scanned_Maps/I16/I16-3201</v>
      </c>
      <c r="U1106" t="s">
        <v>58</v>
      </c>
      <c r="V1106" t="s">
        <v>58</v>
      </c>
      <c r="W1106" t="s">
        <v>58</v>
      </c>
      <c r="X1106" t="s">
        <v>58</v>
      </c>
      <c r="Y1106" t="s">
        <v>58</v>
      </c>
      <c r="Z1106" t="s">
        <v>58</v>
      </c>
      <c r="AA1106" t="s">
        <v>58</v>
      </c>
      <c r="AC1106" t="s">
        <v>58</v>
      </c>
      <c r="AE1106" t="s">
        <v>58</v>
      </c>
      <c r="AG1106" t="s">
        <v>63</v>
      </c>
      <c r="AH1106" s="11" t="str">
        <f t="shared" si="20"/>
        <v>mailto: soilterrain@victoria1.gov.bc.ca</v>
      </c>
    </row>
    <row r="1107" spans="1:34">
      <c r="A1107" t="s">
        <v>2644</v>
      </c>
      <c r="B1107" t="s">
        <v>56</v>
      </c>
      <c r="C1107" s="10" t="s">
        <v>942</v>
      </c>
      <c r="D1107" t="s">
        <v>58</v>
      </c>
      <c r="E1107" t="s">
        <v>497</v>
      </c>
      <c r="F1107" t="s">
        <v>2645</v>
      </c>
      <c r="G1107">
        <v>50000</v>
      </c>
      <c r="H1107">
        <v>1979</v>
      </c>
      <c r="I1107" t="s">
        <v>58</v>
      </c>
      <c r="J1107" t="s">
        <v>58</v>
      </c>
      <c r="K1107" t="s">
        <v>58</v>
      </c>
      <c r="L1107" t="s">
        <v>58</v>
      </c>
      <c r="M1107" t="s">
        <v>58</v>
      </c>
      <c r="N1107" t="s">
        <v>61</v>
      </c>
      <c r="Q1107" t="s">
        <v>58</v>
      </c>
      <c r="R1107" s="11" t="str">
        <f>HYPERLINK("\\imagefiles.bcgov\imagery\scanned_maps\moe_terrain_maps\Scanned_T_maps_all\I16\I16-3202","\\imagefiles.bcgov\imagery\scanned_maps\moe_terrain_maps\Scanned_T_maps_all\I16\I16-3202")</f>
        <v>\\imagefiles.bcgov\imagery\scanned_maps\moe_terrain_maps\Scanned_T_maps_all\I16\I16-3202</v>
      </c>
      <c r="S1107" t="s">
        <v>62</v>
      </c>
      <c r="T1107" s="11" t="str">
        <f>HYPERLINK("http://www.env.gov.bc.ca/esd/distdata/ecosystems/TEI_Scanned_Maps/I16/I16-3202","http://www.env.gov.bc.ca/esd/distdata/ecosystems/TEI_Scanned_Maps/I16/I16-3202")</f>
        <v>http://www.env.gov.bc.ca/esd/distdata/ecosystems/TEI_Scanned_Maps/I16/I16-3202</v>
      </c>
      <c r="U1107" t="s">
        <v>58</v>
      </c>
      <c r="V1107" t="s">
        <v>58</v>
      </c>
      <c r="W1107" t="s">
        <v>58</v>
      </c>
      <c r="X1107" t="s">
        <v>58</v>
      </c>
      <c r="Y1107" t="s">
        <v>58</v>
      </c>
      <c r="Z1107" t="s">
        <v>58</v>
      </c>
      <c r="AA1107" t="s">
        <v>58</v>
      </c>
      <c r="AC1107" t="s">
        <v>58</v>
      </c>
      <c r="AE1107" t="s">
        <v>58</v>
      </c>
      <c r="AG1107" t="s">
        <v>63</v>
      </c>
      <c r="AH1107" s="11" t="str">
        <f t="shared" si="20"/>
        <v>mailto: soilterrain@victoria1.gov.bc.ca</v>
      </c>
    </row>
    <row r="1108" spans="1:34">
      <c r="A1108" t="s">
        <v>2646</v>
      </c>
      <c r="B1108" t="s">
        <v>56</v>
      </c>
      <c r="C1108" s="10" t="s">
        <v>1497</v>
      </c>
      <c r="D1108" t="s">
        <v>58</v>
      </c>
      <c r="E1108" t="s">
        <v>497</v>
      </c>
      <c r="F1108" t="s">
        <v>2647</v>
      </c>
      <c r="G1108">
        <v>50000</v>
      </c>
      <c r="H1108">
        <v>1979</v>
      </c>
      <c r="I1108" t="s">
        <v>58</v>
      </c>
      <c r="J1108" t="s">
        <v>58</v>
      </c>
      <c r="K1108" t="s">
        <v>58</v>
      </c>
      <c r="L1108" t="s">
        <v>58</v>
      </c>
      <c r="M1108" t="s">
        <v>58</v>
      </c>
      <c r="N1108" t="s">
        <v>61</v>
      </c>
      <c r="Q1108" t="s">
        <v>58</v>
      </c>
      <c r="R1108" s="11" t="str">
        <f>HYPERLINK("\\imagefiles.bcgov\imagery\scanned_maps\moe_terrain_maps\Scanned_T_maps_all\I16\I16-3203","\\imagefiles.bcgov\imagery\scanned_maps\moe_terrain_maps\Scanned_T_maps_all\I16\I16-3203")</f>
        <v>\\imagefiles.bcgov\imagery\scanned_maps\moe_terrain_maps\Scanned_T_maps_all\I16\I16-3203</v>
      </c>
      <c r="S1108" t="s">
        <v>62</v>
      </c>
      <c r="T1108" s="11" t="str">
        <f>HYPERLINK("http://www.env.gov.bc.ca/esd/distdata/ecosystems/TEI_Scanned_Maps/I16/I16-3203","http://www.env.gov.bc.ca/esd/distdata/ecosystems/TEI_Scanned_Maps/I16/I16-3203")</f>
        <v>http://www.env.gov.bc.ca/esd/distdata/ecosystems/TEI_Scanned_Maps/I16/I16-3203</v>
      </c>
      <c r="U1108" t="s">
        <v>58</v>
      </c>
      <c r="V1108" t="s">
        <v>58</v>
      </c>
      <c r="W1108" t="s">
        <v>58</v>
      </c>
      <c r="X1108" t="s">
        <v>58</v>
      </c>
      <c r="Y1108" t="s">
        <v>58</v>
      </c>
      <c r="Z1108" t="s">
        <v>58</v>
      </c>
      <c r="AA1108" t="s">
        <v>58</v>
      </c>
      <c r="AC1108" t="s">
        <v>58</v>
      </c>
      <c r="AE1108" t="s">
        <v>58</v>
      </c>
      <c r="AG1108" t="s">
        <v>63</v>
      </c>
      <c r="AH1108" s="11" t="str">
        <f t="shared" si="20"/>
        <v>mailto: soilterrain@victoria1.gov.bc.ca</v>
      </c>
    </row>
    <row r="1109" spans="1:34">
      <c r="A1109" t="s">
        <v>2648</v>
      </c>
      <c r="B1109" t="s">
        <v>56</v>
      </c>
      <c r="C1109" s="10" t="s">
        <v>1415</v>
      </c>
      <c r="D1109" t="s">
        <v>58</v>
      </c>
      <c r="E1109" t="s">
        <v>497</v>
      </c>
      <c r="F1109" t="s">
        <v>2649</v>
      </c>
      <c r="G1109">
        <v>50000</v>
      </c>
      <c r="H1109">
        <v>1979</v>
      </c>
      <c r="I1109" t="s">
        <v>58</v>
      </c>
      <c r="J1109" t="s">
        <v>58</v>
      </c>
      <c r="K1109" t="s">
        <v>58</v>
      </c>
      <c r="L1109" t="s">
        <v>58</v>
      </c>
      <c r="M1109" t="s">
        <v>58</v>
      </c>
      <c r="N1109" t="s">
        <v>61</v>
      </c>
      <c r="Q1109" t="s">
        <v>58</v>
      </c>
      <c r="R1109" s="11" t="str">
        <f>HYPERLINK("\\imagefiles.bcgov\imagery\scanned_maps\moe_terrain_maps\Scanned_T_maps_all\I16\I16-3204","\\imagefiles.bcgov\imagery\scanned_maps\moe_terrain_maps\Scanned_T_maps_all\I16\I16-3204")</f>
        <v>\\imagefiles.bcgov\imagery\scanned_maps\moe_terrain_maps\Scanned_T_maps_all\I16\I16-3204</v>
      </c>
      <c r="S1109" t="s">
        <v>62</v>
      </c>
      <c r="T1109" s="11" t="str">
        <f>HYPERLINK("http://www.env.gov.bc.ca/esd/distdata/ecosystems/TEI_Scanned_Maps/I16/I16-3204","http://www.env.gov.bc.ca/esd/distdata/ecosystems/TEI_Scanned_Maps/I16/I16-3204")</f>
        <v>http://www.env.gov.bc.ca/esd/distdata/ecosystems/TEI_Scanned_Maps/I16/I16-3204</v>
      </c>
      <c r="U1109" t="s">
        <v>58</v>
      </c>
      <c r="V1109" t="s">
        <v>58</v>
      </c>
      <c r="W1109" t="s">
        <v>58</v>
      </c>
      <c r="X1109" t="s">
        <v>58</v>
      </c>
      <c r="Y1109" t="s">
        <v>58</v>
      </c>
      <c r="Z1109" t="s">
        <v>58</v>
      </c>
      <c r="AA1109" t="s">
        <v>58</v>
      </c>
      <c r="AC1109" t="s">
        <v>58</v>
      </c>
      <c r="AE1109" t="s">
        <v>58</v>
      </c>
      <c r="AG1109" t="s">
        <v>63</v>
      </c>
      <c r="AH1109" s="11" t="str">
        <f t="shared" si="20"/>
        <v>mailto: soilterrain@victoria1.gov.bc.ca</v>
      </c>
    </row>
    <row r="1110" spans="1:34">
      <c r="A1110" t="s">
        <v>2650</v>
      </c>
      <c r="B1110" t="s">
        <v>56</v>
      </c>
      <c r="C1110" s="10" t="s">
        <v>1417</v>
      </c>
      <c r="D1110" t="s">
        <v>58</v>
      </c>
      <c r="E1110" t="s">
        <v>497</v>
      </c>
      <c r="F1110" t="s">
        <v>2651</v>
      </c>
      <c r="G1110">
        <v>50000</v>
      </c>
      <c r="H1110">
        <v>1979</v>
      </c>
      <c r="I1110" t="s">
        <v>58</v>
      </c>
      <c r="J1110" t="s">
        <v>58</v>
      </c>
      <c r="K1110" t="s">
        <v>58</v>
      </c>
      <c r="L1110" t="s">
        <v>58</v>
      </c>
      <c r="M1110" t="s">
        <v>58</v>
      </c>
      <c r="N1110" t="s">
        <v>61</v>
      </c>
      <c r="Q1110" t="s">
        <v>58</v>
      </c>
      <c r="R1110" s="11" t="str">
        <f>HYPERLINK("\\imagefiles.bcgov\imagery\scanned_maps\moe_terrain_maps\Scanned_T_maps_all\I16\I16-3205","\\imagefiles.bcgov\imagery\scanned_maps\moe_terrain_maps\Scanned_T_maps_all\I16\I16-3205")</f>
        <v>\\imagefiles.bcgov\imagery\scanned_maps\moe_terrain_maps\Scanned_T_maps_all\I16\I16-3205</v>
      </c>
      <c r="S1110" t="s">
        <v>62</v>
      </c>
      <c r="T1110" s="11" t="str">
        <f>HYPERLINK("http://www.env.gov.bc.ca/esd/distdata/ecosystems/TEI_Scanned_Maps/I16/I16-3205","http://www.env.gov.bc.ca/esd/distdata/ecosystems/TEI_Scanned_Maps/I16/I16-3205")</f>
        <v>http://www.env.gov.bc.ca/esd/distdata/ecosystems/TEI_Scanned_Maps/I16/I16-3205</v>
      </c>
      <c r="U1110" t="s">
        <v>58</v>
      </c>
      <c r="V1110" t="s">
        <v>58</v>
      </c>
      <c r="W1110" t="s">
        <v>58</v>
      </c>
      <c r="X1110" t="s">
        <v>58</v>
      </c>
      <c r="Y1110" t="s">
        <v>58</v>
      </c>
      <c r="Z1110" t="s">
        <v>58</v>
      </c>
      <c r="AA1110" t="s">
        <v>58</v>
      </c>
      <c r="AC1110" t="s">
        <v>58</v>
      </c>
      <c r="AE1110" t="s">
        <v>58</v>
      </c>
      <c r="AG1110" t="s">
        <v>63</v>
      </c>
      <c r="AH1110" s="11" t="str">
        <f t="shared" si="20"/>
        <v>mailto: soilterrain@victoria1.gov.bc.ca</v>
      </c>
    </row>
    <row r="1111" spans="1:34">
      <c r="A1111" t="s">
        <v>2652</v>
      </c>
      <c r="B1111" t="s">
        <v>56</v>
      </c>
      <c r="C1111" s="10" t="s">
        <v>1419</v>
      </c>
      <c r="D1111" t="s">
        <v>58</v>
      </c>
      <c r="E1111" t="s">
        <v>497</v>
      </c>
      <c r="F1111" t="s">
        <v>2653</v>
      </c>
      <c r="G1111">
        <v>50000</v>
      </c>
      <c r="H1111">
        <v>1979</v>
      </c>
      <c r="I1111" t="s">
        <v>58</v>
      </c>
      <c r="J1111" t="s">
        <v>58</v>
      </c>
      <c r="K1111" t="s">
        <v>58</v>
      </c>
      <c r="L1111" t="s">
        <v>58</v>
      </c>
      <c r="M1111" t="s">
        <v>58</v>
      </c>
      <c r="N1111" t="s">
        <v>61</v>
      </c>
      <c r="Q1111" t="s">
        <v>58</v>
      </c>
      <c r="R1111" s="11" t="str">
        <f>HYPERLINK("\\imagefiles.bcgov\imagery\scanned_maps\moe_terrain_maps\Scanned_T_maps_all\I16\I16-3206","\\imagefiles.bcgov\imagery\scanned_maps\moe_terrain_maps\Scanned_T_maps_all\I16\I16-3206")</f>
        <v>\\imagefiles.bcgov\imagery\scanned_maps\moe_terrain_maps\Scanned_T_maps_all\I16\I16-3206</v>
      </c>
      <c r="S1111" t="s">
        <v>62</v>
      </c>
      <c r="T1111" s="11" t="str">
        <f>HYPERLINK("http://www.env.gov.bc.ca/esd/distdata/ecosystems/TEI_Scanned_Maps/I16/I16-3206","http://www.env.gov.bc.ca/esd/distdata/ecosystems/TEI_Scanned_Maps/I16/I16-3206")</f>
        <v>http://www.env.gov.bc.ca/esd/distdata/ecosystems/TEI_Scanned_Maps/I16/I16-3206</v>
      </c>
      <c r="U1111" t="s">
        <v>58</v>
      </c>
      <c r="V1111" t="s">
        <v>58</v>
      </c>
      <c r="W1111" t="s">
        <v>58</v>
      </c>
      <c r="X1111" t="s">
        <v>58</v>
      </c>
      <c r="Y1111" t="s">
        <v>58</v>
      </c>
      <c r="Z1111" t="s">
        <v>58</v>
      </c>
      <c r="AA1111" t="s">
        <v>58</v>
      </c>
      <c r="AC1111" t="s">
        <v>58</v>
      </c>
      <c r="AE1111" t="s">
        <v>58</v>
      </c>
      <c r="AG1111" t="s">
        <v>63</v>
      </c>
      <c r="AH1111" s="11" t="str">
        <f t="shared" si="20"/>
        <v>mailto: soilterrain@victoria1.gov.bc.ca</v>
      </c>
    </row>
    <row r="1112" spans="1:34">
      <c r="A1112" t="s">
        <v>2654</v>
      </c>
      <c r="B1112" t="s">
        <v>56</v>
      </c>
      <c r="C1112" s="10" t="s">
        <v>1627</v>
      </c>
      <c r="D1112" t="s">
        <v>58</v>
      </c>
      <c r="E1112" t="s">
        <v>497</v>
      </c>
      <c r="F1112" t="s">
        <v>2655</v>
      </c>
      <c r="G1112">
        <v>50000</v>
      </c>
      <c r="H1112">
        <v>1979</v>
      </c>
      <c r="I1112" t="s">
        <v>58</v>
      </c>
      <c r="J1112" t="s">
        <v>58</v>
      </c>
      <c r="K1112" t="s">
        <v>58</v>
      </c>
      <c r="L1112" t="s">
        <v>58</v>
      </c>
      <c r="M1112" t="s">
        <v>58</v>
      </c>
      <c r="N1112" t="s">
        <v>61</v>
      </c>
      <c r="Q1112" t="s">
        <v>58</v>
      </c>
      <c r="R1112" s="11" t="str">
        <f>HYPERLINK("\\imagefiles.bcgov\imagery\scanned_maps\moe_terrain_maps\Scanned_T_maps_all\I16\I16-3207","\\imagefiles.bcgov\imagery\scanned_maps\moe_terrain_maps\Scanned_T_maps_all\I16\I16-3207")</f>
        <v>\\imagefiles.bcgov\imagery\scanned_maps\moe_terrain_maps\Scanned_T_maps_all\I16\I16-3207</v>
      </c>
      <c r="S1112" t="s">
        <v>62</v>
      </c>
      <c r="T1112" s="11" t="str">
        <f>HYPERLINK("http://www.env.gov.bc.ca/esd/distdata/ecosystems/TEI_Scanned_Maps/I16/I16-3207","http://www.env.gov.bc.ca/esd/distdata/ecosystems/TEI_Scanned_Maps/I16/I16-3207")</f>
        <v>http://www.env.gov.bc.ca/esd/distdata/ecosystems/TEI_Scanned_Maps/I16/I16-3207</v>
      </c>
      <c r="U1112" t="s">
        <v>58</v>
      </c>
      <c r="V1112" t="s">
        <v>58</v>
      </c>
      <c r="W1112" t="s">
        <v>58</v>
      </c>
      <c r="X1112" t="s">
        <v>58</v>
      </c>
      <c r="Y1112" t="s">
        <v>58</v>
      </c>
      <c r="Z1112" t="s">
        <v>58</v>
      </c>
      <c r="AA1112" t="s">
        <v>58</v>
      </c>
      <c r="AC1112" t="s">
        <v>58</v>
      </c>
      <c r="AE1112" t="s">
        <v>58</v>
      </c>
      <c r="AG1112" t="s">
        <v>63</v>
      </c>
      <c r="AH1112" s="11" t="str">
        <f t="shared" si="20"/>
        <v>mailto: soilterrain@victoria1.gov.bc.ca</v>
      </c>
    </row>
    <row r="1113" spans="1:34">
      <c r="A1113" t="s">
        <v>2656</v>
      </c>
      <c r="B1113" t="s">
        <v>56</v>
      </c>
      <c r="C1113" s="10" t="s">
        <v>1630</v>
      </c>
      <c r="D1113" t="s">
        <v>58</v>
      </c>
      <c r="E1113" t="s">
        <v>497</v>
      </c>
      <c r="F1113" t="s">
        <v>2657</v>
      </c>
      <c r="G1113">
        <v>50000</v>
      </c>
      <c r="H1113">
        <v>1979</v>
      </c>
      <c r="I1113" t="s">
        <v>58</v>
      </c>
      <c r="J1113" t="s">
        <v>58</v>
      </c>
      <c r="K1113" t="s">
        <v>58</v>
      </c>
      <c r="L1113" t="s">
        <v>58</v>
      </c>
      <c r="M1113" t="s">
        <v>58</v>
      </c>
      <c r="N1113" t="s">
        <v>61</v>
      </c>
      <c r="Q1113" t="s">
        <v>58</v>
      </c>
      <c r="R1113" s="11" t="str">
        <f>HYPERLINK("\\imagefiles.bcgov\imagery\scanned_maps\moe_terrain_maps\Scanned_T_maps_all\I16\I16-3208","\\imagefiles.bcgov\imagery\scanned_maps\moe_terrain_maps\Scanned_T_maps_all\I16\I16-3208")</f>
        <v>\\imagefiles.bcgov\imagery\scanned_maps\moe_terrain_maps\Scanned_T_maps_all\I16\I16-3208</v>
      </c>
      <c r="S1113" t="s">
        <v>62</v>
      </c>
      <c r="T1113" s="11" t="str">
        <f>HYPERLINK("http://www.env.gov.bc.ca/esd/distdata/ecosystems/TEI_Scanned_Maps/I16/I16-3208","http://www.env.gov.bc.ca/esd/distdata/ecosystems/TEI_Scanned_Maps/I16/I16-3208")</f>
        <v>http://www.env.gov.bc.ca/esd/distdata/ecosystems/TEI_Scanned_Maps/I16/I16-3208</v>
      </c>
      <c r="U1113" t="s">
        <v>58</v>
      </c>
      <c r="V1113" t="s">
        <v>58</v>
      </c>
      <c r="W1113" t="s">
        <v>58</v>
      </c>
      <c r="X1113" t="s">
        <v>58</v>
      </c>
      <c r="Y1113" t="s">
        <v>58</v>
      </c>
      <c r="Z1113" t="s">
        <v>58</v>
      </c>
      <c r="AA1113" t="s">
        <v>58</v>
      </c>
      <c r="AC1113" t="s">
        <v>58</v>
      </c>
      <c r="AE1113" t="s">
        <v>58</v>
      </c>
      <c r="AG1113" t="s">
        <v>63</v>
      </c>
      <c r="AH1113" s="11" t="str">
        <f t="shared" si="20"/>
        <v>mailto: soilterrain@victoria1.gov.bc.ca</v>
      </c>
    </row>
    <row r="1114" spans="1:34">
      <c r="A1114" t="s">
        <v>2658</v>
      </c>
      <c r="B1114" t="s">
        <v>56</v>
      </c>
      <c r="C1114" s="10" t="s">
        <v>1633</v>
      </c>
      <c r="D1114" t="s">
        <v>58</v>
      </c>
      <c r="E1114" t="s">
        <v>497</v>
      </c>
      <c r="F1114" t="s">
        <v>2659</v>
      </c>
      <c r="G1114">
        <v>50000</v>
      </c>
      <c r="H1114">
        <v>1979</v>
      </c>
      <c r="I1114" t="s">
        <v>58</v>
      </c>
      <c r="J1114" t="s">
        <v>58</v>
      </c>
      <c r="K1114" t="s">
        <v>58</v>
      </c>
      <c r="L1114" t="s">
        <v>58</v>
      </c>
      <c r="M1114" t="s">
        <v>58</v>
      </c>
      <c r="N1114" t="s">
        <v>61</v>
      </c>
      <c r="Q1114" t="s">
        <v>58</v>
      </c>
      <c r="R1114" s="11" t="str">
        <f>HYPERLINK("\\imagefiles.bcgov\imagery\scanned_maps\moe_terrain_maps\Scanned_T_maps_all\I16\I16-3209","\\imagefiles.bcgov\imagery\scanned_maps\moe_terrain_maps\Scanned_T_maps_all\I16\I16-3209")</f>
        <v>\\imagefiles.bcgov\imagery\scanned_maps\moe_terrain_maps\Scanned_T_maps_all\I16\I16-3209</v>
      </c>
      <c r="S1114" t="s">
        <v>62</v>
      </c>
      <c r="T1114" s="11" t="str">
        <f>HYPERLINK("http://www.env.gov.bc.ca/esd/distdata/ecosystems/TEI_Scanned_Maps/I16/I16-3209","http://www.env.gov.bc.ca/esd/distdata/ecosystems/TEI_Scanned_Maps/I16/I16-3209")</f>
        <v>http://www.env.gov.bc.ca/esd/distdata/ecosystems/TEI_Scanned_Maps/I16/I16-3209</v>
      </c>
      <c r="U1114" t="s">
        <v>58</v>
      </c>
      <c r="V1114" t="s">
        <v>58</v>
      </c>
      <c r="W1114" t="s">
        <v>58</v>
      </c>
      <c r="X1114" t="s">
        <v>58</v>
      </c>
      <c r="Y1114" t="s">
        <v>58</v>
      </c>
      <c r="Z1114" t="s">
        <v>58</v>
      </c>
      <c r="AA1114" t="s">
        <v>58</v>
      </c>
      <c r="AC1114" t="s">
        <v>58</v>
      </c>
      <c r="AE1114" t="s">
        <v>58</v>
      </c>
      <c r="AG1114" t="s">
        <v>63</v>
      </c>
      <c r="AH1114" s="11" t="str">
        <f t="shared" si="20"/>
        <v>mailto: soilterrain@victoria1.gov.bc.ca</v>
      </c>
    </row>
    <row r="1115" spans="1:34">
      <c r="A1115" t="s">
        <v>2660</v>
      </c>
      <c r="B1115" t="s">
        <v>56</v>
      </c>
      <c r="C1115" s="10" t="s">
        <v>1636</v>
      </c>
      <c r="D1115" t="s">
        <v>58</v>
      </c>
      <c r="E1115" t="s">
        <v>497</v>
      </c>
      <c r="F1115" t="s">
        <v>2661</v>
      </c>
      <c r="G1115">
        <v>50000</v>
      </c>
      <c r="H1115">
        <v>1979</v>
      </c>
      <c r="I1115" t="s">
        <v>58</v>
      </c>
      <c r="J1115" t="s">
        <v>58</v>
      </c>
      <c r="K1115" t="s">
        <v>58</v>
      </c>
      <c r="L1115" t="s">
        <v>58</v>
      </c>
      <c r="M1115" t="s">
        <v>58</v>
      </c>
      <c r="N1115" t="s">
        <v>61</v>
      </c>
      <c r="Q1115" t="s">
        <v>58</v>
      </c>
      <c r="R1115" s="11" t="str">
        <f>HYPERLINK("\\imagefiles.bcgov\imagery\scanned_maps\moe_terrain_maps\Scanned_T_maps_all\I16\I16-3210","\\imagefiles.bcgov\imagery\scanned_maps\moe_terrain_maps\Scanned_T_maps_all\I16\I16-3210")</f>
        <v>\\imagefiles.bcgov\imagery\scanned_maps\moe_terrain_maps\Scanned_T_maps_all\I16\I16-3210</v>
      </c>
      <c r="S1115" t="s">
        <v>62</v>
      </c>
      <c r="T1115" s="11" t="str">
        <f>HYPERLINK("http://www.env.gov.bc.ca/esd/distdata/ecosystems/TEI_Scanned_Maps/I16/I16-3210","http://www.env.gov.bc.ca/esd/distdata/ecosystems/TEI_Scanned_Maps/I16/I16-3210")</f>
        <v>http://www.env.gov.bc.ca/esd/distdata/ecosystems/TEI_Scanned_Maps/I16/I16-3210</v>
      </c>
      <c r="U1115" t="s">
        <v>58</v>
      </c>
      <c r="V1115" t="s">
        <v>58</v>
      </c>
      <c r="W1115" t="s">
        <v>58</v>
      </c>
      <c r="X1115" t="s">
        <v>58</v>
      </c>
      <c r="Y1115" t="s">
        <v>58</v>
      </c>
      <c r="Z1115" t="s">
        <v>58</v>
      </c>
      <c r="AA1115" t="s">
        <v>58</v>
      </c>
      <c r="AC1115" t="s">
        <v>58</v>
      </c>
      <c r="AE1115" t="s">
        <v>58</v>
      </c>
      <c r="AG1115" t="s">
        <v>63</v>
      </c>
      <c r="AH1115" s="11" t="str">
        <f t="shared" si="20"/>
        <v>mailto: soilterrain@victoria1.gov.bc.ca</v>
      </c>
    </row>
    <row r="1116" spans="1:34">
      <c r="A1116" t="s">
        <v>2662</v>
      </c>
      <c r="B1116" t="s">
        <v>56</v>
      </c>
      <c r="C1116" s="10" t="s">
        <v>1639</v>
      </c>
      <c r="D1116" t="s">
        <v>58</v>
      </c>
      <c r="E1116" t="s">
        <v>497</v>
      </c>
      <c r="F1116" t="s">
        <v>2663</v>
      </c>
      <c r="G1116">
        <v>50000</v>
      </c>
      <c r="H1116">
        <v>1979</v>
      </c>
      <c r="I1116" t="s">
        <v>58</v>
      </c>
      <c r="J1116" t="s">
        <v>58</v>
      </c>
      <c r="K1116" t="s">
        <v>58</v>
      </c>
      <c r="L1116" t="s">
        <v>58</v>
      </c>
      <c r="M1116" t="s">
        <v>58</v>
      </c>
      <c r="N1116" t="s">
        <v>61</v>
      </c>
      <c r="Q1116" t="s">
        <v>58</v>
      </c>
      <c r="R1116" s="11" t="str">
        <f>HYPERLINK("\\imagefiles.bcgov\imagery\scanned_maps\moe_terrain_maps\Scanned_T_maps_all\I16\I16-3211","\\imagefiles.bcgov\imagery\scanned_maps\moe_terrain_maps\Scanned_T_maps_all\I16\I16-3211")</f>
        <v>\\imagefiles.bcgov\imagery\scanned_maps\moe_terrain_maps\Scanned_T_maps_all\I16\I16-3211</v>
      </c>
      <c r="S1116" t="s">
        <v>62</v>
      </c>
      <c r="T1116" s="11" t="str">
        <f>HYPERLINK("http://www.env.gov.bc.ca/esd/distdata/ecosystems/TEI_Scanned_Maps/I16/I16-3211","http://www.env.gov.bc.ca/esd/distdata/ecosystems/TEI_Scanned_Maps/I16/I16-3211")</f>
        <v>http://www.env.gov.bc.ca/esd/distdata/ecosystems/TEI_Scanned_Maps/I16/I16-3211</v>
      </c>
      <c r="U1116" t="s">
        <v>58</v>
      </c>
      <c r="V1116" t="s">
        <v>58</v>
      </c>
      <c r="W1116" t="s">
        <v>58</v>
      </c>
      <c r="X1116" t="s">
        <v>58</v>
      </c>
      <c r="Y1116" t="s">
        <v>58</v>
      </c>
      <c r="Z1116" t="s">
        <v>58</v>
      </c>
      <c r="AA1116" t="s">
        <v>58</v>
      </c>
      <c r="AC1116" t="s">
        <v>58</v>
      </c>
      <c r="AE1116" t="s">
        <v>58</v>
      </c>
      <c r="AG1116" t="s">
        <v>63</v>
      </c>
      <c r="AH1116" s="11" t="str">
        <f t="shared" si="20"/>
        <v>mailto: soilterrain@victoria1.gov.bc.ca</v>
      </c>
    </row>
    <row r="1117" spans="1:34">
      <c r="A1117" t="s">
        <v>2664</v>
      </c>
      <c r="B1117" t="s">
        <v>56</v>
      </c>
      <c r="C1117" s="10" t="s">
        <v>1642</v>
      </c>
      <c r="D1117" t="s">
        <v>58</v>
      </c>
      <c r="E1117" t="s">
        <v>497</v>
      </c>
      <c r="F1117" t="s">
        <v>2665</v>
      </c>
      <c r="G1117">
        <v>50000</v>
      </c>
      <c r="H1117">
        <v>1979</v>
      </c>
      <c r="I1117" t="s">
        <v>58</v>
      </c>
      <c r="J1117" t="s">
        <v>58</v>
      </c>
      <c r="K1117" t="s">
        <v>58</v>
      </c>
      <c r="L1117" t="s">
        <v>58</v>
      </c>
      <c r="M1117" t="s">
        <v>58</v>
      </c>
      <c r="N1117" t="s">
        <v>61</v>
      </c>
      <c r="Q1117" t="s">
        <v>58</v>
      </c>
      <c r="R1117" s="11" t="str">
        <f>HYPERLINK("\\imagefiles.bcgov\imagery\scanned_maps\moe_terrain_maps\Scanned_T_maps_all\I16\I16-3212","\\imagefiles.bcgov\imagery\scanned_maps\moe_terrain_maps\Scanned_T_maps_all\I16\I16-3212")</f>
        <v>\\imagefiles.bcgov\imagery\scanned_maps\moe_terrain_maps\Scanned_T_maps_all\I16\I16-3212</v>
      </c>
      <c r="S1117" t="s">
        <v>62</v>
      </c>
      <c r="T1117" s="11" t="str">
        <f>HYPERLINK("http://www.env.gov.bc.ca/esd/distdata/ecosystems/TEI_Scanned_Maps/I16/I16-3212","http://www.env.gov.bc.ca/esd/distdata/ecosystems/TEI_Scanned_Maps/I16/I16-3212")</f>
        <v>http://www.env.gov.bc.ca/esd/distdata/ecosystems/TEI_Scanned_Maps/I16/I16-3212</v>
      </c>
      <c r="U1117" t="s">
        <v>58</v>
      </c>
      <c r="V1117" t="s">
        <v>58</v>
      </c>
      <c r="W1117" t="s">
        <v>58</v>
      </c>
      <c r="X1117" t="s">
        <v>58</v>
      </c>
      <c r="Y1117" t="s">
        <v>58</v>
      </c>
      <c r="Z1117" t="s">
        <v>58</v>
      </c>
      <c r="AA1117" t="s">
        <v>58</v>
      </c>
      <c r="AC1117" t="s">
        <v>58</v>
      </c>
      <c r="AE1117" t="s">
        <v>58</v>
      </c>
      <c r="AG1117" t="s">
        <v>63</v>
      </c>
      <c r="AH1117" s="11" t="str">
        <f t="shared" si="20"/>
        <v>mailto: soilterrain@victoria1.gov.bc.ca</v>
      </c>
    </row>
    <row r="1118" spans="1:34">
      <c r="A1118" t="s">
        <v>2666</v>
      </c>
      <c r="B1118" t="s">
        <v>56</v>
      </c>
      <c r="C1118" s="10" t="s">
        <v>1645</v>
      </c>
      <c r="D1118" t="s">
        <v>58</v>
      </c>
      <c r="E1118" t="s">
        <v>497</v>
      </c>
      <c r="F1118" t="s">
        <v>2667</v>
      </c>
      <c r="G1118">
        <v>50000</v>
      </c>
      <c r="H1118">
        <v>1979</v>
      </c>
      <c r="I1118" t="s">
        <v>58</v>
      </c>
      <c r="J1118" t="s">
        <v>58</v>
      </c>
      <c r="K1118" t="s">
        <v>58</v>
      </c>
      <c r="L1118" t="s">
        <v>58</v>
      </c>
      <c r="M1118" t="s">
        <v>58</v>
      </c>
      <c r="N1118" t="s">
        <v>61</v>
      </c>
      <c r="Q1118" t="s">
        <v>58</v>
      </c>
      <c r="R1118" s="11" t="str">
        <f>HYPERLINK("\\imagefiles.bcgov\imagery\scanned_maps\moe_terrain_maps\Scanned_T_maps_all\I16\I16-3213","\\imagefiles.bcgov\imagery\scanned_maps\moe_terrain_maps\Scanned_T_maps_all\I16\I16-3213")</f>
        <v>\\imagefiles.bcgov\imagery\scanned_maps\moe_terrain_maps\Scanned_T_maps_all\I16\I16-3213</v>
      </c>
      <c r="S1118" t="s">
        <v>62</v>
      </c>
      <c r="T1118" s="11" t="str">
        <f>HYPERLINK("http://www.env.gov.bc.ca/esd/distdata/ecosystems/TEI_Scanned_Maps/I16/I16-3213","http://www.env.gov.bc.ca/esd/distdata/ecosystems/TEI_Scanned_Maps/I16/I16-3213")</f>
        <v>http://www.env.gov.bc.ca/esd/distdata/ecosystems/TEI_Scanned_Maps/I16/I16-3213</v>
      </c>
      <c r="U1118" t="s">
        <v>58</v>
      </c>
      <c r="V1118" t="s">
        <v>58</v>
      </c>
      <c r="W1118" t="s">
        <v>58</v>
      </c>
      <c r="X1118" t="s">
        <v>58</v>
      </c>
      <c r="Y1118" t="s">
        <v>58</v>
      </c>
      <c r="Z1118" t="s">
        <v>58</v>
      </c>
      <c r="AA1118" t="s">
        <v>58</v>
      </c>
      <c r="AC1118" t="s">
        <v>58</v>
      </c>
      <c r="AE1118" t="s">
        <v>58</v>
      </c>
      <c r="AG1118" t="s">
        <v>63</v>
      </c>
      <c r="AH1118" s="11" t="str">
        <f t="shared" si="20"/>
        <v>mailto: soilterrain@victoria1.gov.bc.ca</v>
      </c>
    </row>
    <row r="1119" spans="1:34">
      <c r="A1119" t="s">
        <v>2668</v>
      </c>
      <c r="B1119" t="s">
        <v>56</v>
      </c>
      <c r="C1119" s="10" t="s">
        <v>1653</v>
      </c>
      <c r="D1119" t="s">
        <v>58</v>
      </c>
      <c r="E1119" t="s">
        <v>497</v>
      </c>
      <c r="F1119" t="s">
        <v>2669</v>
      </c>
      <c r="G1119">
        <v>50000</v>
      </c>
      <c r="H1119">
        <v>1979</v>
      </c>
      <c r="I1119" t="s">
        <v>58</v>
      </c>
      <c r="J1119" t="s">
        <v>58</v>
      </c>
      <c r="K1119" t="s">
        <v>58</v>
      </c>
      <c r="L1119" t="s">
        <v>58</v>
      </c>
      <c r="M1119" t="s">
        <v>58</v>
      </c>
      <c r="N1119" t="s">
        <v>61</v>
      </c>
      <c r="Q1119" t="s">
        <v>58</v>
      </c>
      <c r="R1119" s="11" t="str">
        <f>HYPERLINK("\\imagefiles.bcgov\imagery\scanned_maps\moe_terrain_maps\Scanned_T_maps_all\I16\I16-3214","\\imagefiles.bcgov\imagery\scanned_maps\moe_terrain_maps\Scanned_T_maps_all\I16\I16-3214")</f>
        <v>\\imagefiles.bcgov\imagery\scanned_maps\moe_terrain_maps\Scanned_T_maps_all\I16\I16-3214</v>
      </c>
      <c r="S1119" t="s">
        <v>62</v>
      </c>
      <c r="T1119" s="11" t="str">
        <f>HYPERLINK("http://www.env.gov.bc.ca/esd/distdata/ecosystems/TEI_Scanned_Maps/I16/I16-3214","http://www.env.gov.bc.ca/esd/distdata/ecosystems/TEI_Scanned_Maps/I16/I16-3214")</f>
        <v>http://www.env.gov.bc.ca/esd/distdata/ecosystems/TEI_Scanned_Maps/I16/I16-3214</v>
      </c>
      <c r="U1119" t="s">
        <v>58</v>
      </c>
      <c r="V1119" t="s">
        <v>58</v>
      </c>
      <c r="W1119" t="s">
        <v>58</v>
      </c>
      <c r="X1119" t="s">
        <v>58</v>
      </c>
      <c r="Y1119" t="s">
        <v>58</v>
      </c>
      <c r="Z1119" t="s">
        <v>58</v>
      </c>
      <c r="AA1119" t="s">
        <v>58</v>
      </c>
      <c r="AC1119" t="s">
        <v>58</v>
      </c>
      <c r="AE1119" t="s">
        <v>58</v>
      </c>
      <c r="AG1119" t="s">
        <v>63</v>
      </c>
      <c r="AH1119" s="11" t="str">
        <f t="shared" si="20"/>
        <v>mailto: soilterrain@victoria1.gov.bc.ca</v>
      </c>
    </row>
    <row r="1120" spans="1:34">
      <c r="A1120" t="s">
        <v>2670</v>
      </c>
      <c r="B1120" t="s">
        <v>56</v>
      </c>
      <c r="C1120" s="10" t="s">
        <v>1655</v>
      </c>
      <c r="D1120" t="s">
        <v>58</v>
      </c>
      <c r="E1120" t="s">
        <v>497</v>
      </c>
      <c r="F1120" t="s">
        <v>2671</v>
      </c>
      <c r="G1120">
        <v>50000</v>
      </c>
      <c r="H1120">
        <v>1979</v>
      </c>
      <c r="I1120" t="s">
        <v>58</v>
      </c>
      <c r="J1120" t="s">
        <v>58</v>
      </c>
      <c r="K1120" t="s">
        <v>58</v>
      </c>
      <c r="L1120" t="s">
        <v>58</v>
      </c>
      <c r="M1120" t="s">
        <v>58</v>
      </c>
      <c r="N1120" t="s">
        <v>61</v>
      </c>
      <c r="Q1120" t="s">
        <v>58</v>
      </c>
      <c r="R1120" s="11" t="str">
        <f>HYPERLINK("\\imagefiles.bcgov\imagery\scanned_maps\moe_terrain_maps\Scanned_T_maps_all\I16\I16-3215","\\imagefiles.bcgov\imagery\scanned_maps\moe_terrain_maps\Scanned_T_maps_all\I16\I16-3215")</f>
        <v>\\imagefiles.bcgov\imagery\scanned_maps\moe_terrain_maps\Scanned_T_maps_all\I16\I16-3215</v>
      </c>
      <c r="S1120" t="s">
        <v>62</v>
      </c>
      <c r="T1120" s="11" t="str">
        <f>HYPERLINK("http://www.env.gov.bc.ca/esd/distdata/ecosystems/TEI_Scanned_Maps/I16/I16-3215","http://www.env.gov.bc.ca/esd/distdata/ecosystems/TEI_Scanned_Maps/I16/I16-3215")</f>
        <v>http://www.env.gov.bc.ca/esd/distdata/ecosystems/TEI_Scanned_Maps/I16/I16-3215</v>
      </c>
      <c r="U1120" t="s">
        <v>58</v>
      </c>
      <c r="V1120" t="s">
        <v>58</v>
      </c>
      <c r="W1120" t="s">
        <v>58</v>
      </c>
      <c r="X1120" t="s">
        <v>58</v>
      </c>
      <c r="Y1120" t="s">
        <v>58</v>
      </c>
      <c r="Z1120" t="s">
        <v>58</v>
      </c>
      <c r="AA1120" t="s">
        <v>58</v>
      </c>
      <c r="AC1120" t="s">
        <v>58</v>
      </c>
      <c r="AE1120" t="s">
        <v>58</v>
      </c>
      <c r="AG1120" t="s">
        <v>63</v>
      </c>
      <c r="AH1120" s="11" t="str">
        <f t="shared" si="20"/>
        <v>mailto: soilterrain@victoria1.gov.bc.ca</v>
      </c>
    </row>
    <row r="1121" spans="1:34">
      <c r="A1121" t="s">
        <v>2672</v>
      </c>
      <c r="B1121" t="s">
        <v>56</v>
      </c>
      <c r="C1121" s="10" t="s">
        <v>1658</v>
      </c>
      <c r="D1121" t="s">
        <v>58</v>
      </c>
      <c r="E1121" t="s">
        <v>497</v>
      </c>
      <c r="F1121" t="s">
        <v>2673</v>
      </c>
      <c r="G1121">
        <v>50000</v>
      </c>
      <c r="H1121">
        <v>1979</v>
      </c>
      <c r="I1121" t="s">
        <v>58</v>
      </c>
      <c r="J1121" t="s">
        <v>58</v>
      </c>
      <c r="K1121" t="s">
        <v>58</v>
      </c>
      <c r="L1121" t="s">
        <v>58</v>
      </c>
      <c r="M1121" t="s">
        <v>58</v>
      </c>
      <c r="N1121" t="s">
        <v>61</v>
      </c>
      <c r="Q1121" t="s">
        <v>58</v>
      </c>
      <c r="R1121" s="11" t="str">
        <f>HYPERLINK("\\imagefiles.bcgov\imagery\scanned_maps\moe_terrain_maps\Scanned_T_maps_all\I16\I16-3216","\\imagefiles.bcgov\imagery\scanned_maps\moe_terrain_maps\Scanned_T_maps_all\I16\I16-3216")</f>
        <v>\\imagefiles.bcgov\imagery\scanned_maps\moe_terrain_maps\Scanned_T_maps_all\I16\I16-3216</v>
      </c>
      <c r="S1121" t="s">
        <v>62</v>
      </c>
      <c r="T1121" s="11" t="str">
        <f>HYPERLINK("http://www.env.gov.bc.ca/esd/distdata/ecosystems/TEI_Scanned_Maps/I16/I16-3216","http://www.env.gov.bc.ca/esd/distdata/ecosystems/TEI_Scanned_Maps/I16/I16-3216")</f>
        <v>http://www.env.gov.bc.ca/esd/distdata/ecosystems/TEI_Scanned_Maps/I16/I16-3216</v>
      </c>
      <c r="U1121" t="s">
        <v>58</v>
      </c>
      <c r="V1121" t="s">
        <v>58</v>
      </c>
      <c r="W1121" t="s">
        <v>58</v>
      </c>
      <c r="X1121" t="s">
        <v>58</v>
      </c>
      <c r="Y1121" t="s">
        <v>58</v>
      </c>
      <c r="Z1121" t="s">
        <v>58</v>
      </c>
      <c r="AA1121" t="s">
        <v>58</v>
      </c>
      <c r="AC1121" t="s">
        <v>58</v>
      </c>
      <c r="AE1121" t="s">
        <v>58</v>
      </c>
      <c r="AG1121" t="s">
        <v>63</v>
      </c>
      <c r="AH1121" s="11" t="str">
        <f t="shared" si="20"/>
        <v>mailto: soilterrain@victoria1.gov.bc.ca</v>
      </c>
    </row>
    <row r="1122" spans="1:34">
      <c r="A1122" t="s">
        <v>2674</v>
      </c>
      <c r="B1122" t="s">
        <v>56</v>
      </c>
      <c r="C1122" s="10" t="s">
        <v>1661</v>
      </c>
      <c r="D1122" t="s">
        <v>58</v>
      </c>
      <c r="E1122" t="s">
        <v>497</v>
      </c>
      <c r="F1122" t="s">
        <v>2675</v>
      </c>
      <c r="G1122">
        <v>50000</v>
      </c>
      <c r="H1122">
        <v>1979</v>
      </c>
      <c r="I1122" t="s">
        <v>58</v>
      </c>
      <c r="J1122" t="s">
        <v>58</v>
      </c>
      <c r="K1122" t="s">
        <v>58</v>
      </c>
      <c r="L1122" t="s">
        <v>58</v>
      </c>
      <c r="M1122" t="s">
        <v>58</v>
      </c>
      <c r="N1122" t="s">
        <v>61</v>
      </c>
      <c r="Q1122" t="s">
        <v>58</v>
      </c>
      <c r="R1122" s="11" t="str">
        <f>HYPERLINK("\\imagefiles.bcgov\imagery\scanned_maps\moe_terrain_maps\Scanned_T_maps_all\I16\I16-3217","\\imagefiles.bcgov\imagery\scanned_maps\moe_terrain_maps\Scanned_T_maps_all\I16\I16-3217")</f>
        <v>\\imagefiles.bcgov\imagery\scanned_maps\moe_terrain_maps\Scanned_T_maps_all\I16\I16-3217</v>
      </c>
      <c r="S1122" t="s">
        <v>62</v>
      </c>
      <c r="T1122" s="11" t="str">
        <f>HYPERLINK("http://www.env.gov.bc.ca/esd/distdata/ecosystems/TEI_Scanned_Maps/I16/I16-3217","http://www.env.gov.bc.ca/esd/distdata/ecosystems/TEI_Scanned_Maps/I16/I16-3217")</f>
        <v>http://www.env.gov.bc.ca/esd/distdata/ecosystems/TEI_Scanned_Maps/I16/I16-3217</v>
      </c>
      <c r="U1122" t="s">
        <v>58</v>
      </c>
      <c r="V1122" t="s">
        <v>58</v>
      </c>
      <c r="W1122" t="s">
        <v>58</v>
      </c>
      <c r="X1122" t="s">
        <v>58</v>
      </c>
      <c r="Y1122" t="s">
        <v>58</v>
      </c>
      <c r="Z1122" t="s">
        <v>58</v>
      </c>
      <c r="AA1122" t="s">
        <v>58</v>
      </c>
      <c r="AC1122" t="s">
        <v>58</v>
      </c>
      <c r="AE1122" t="s">
        <v>58</v>
      </c>
      <c r="AG1122" t="s">
        <v>63</v>
      </c>
      <c r="AH1122" s="11" t="str">
        <f t="shared" si="20"/>
        <v>mailto: soilterrain@victoria1.gov.bc.ca</v>
      </c>
    </row>
    <row r="1123" spans="1:34">
      <c r="A1123" t="s">
        <v>2676</v>
      </c>
      <c r="B1123" t="s">
        <v>56</v>
      </c>
      <c r="C1123" s="10" t="s">
        <v>1664</v>
      </c>
      <c r="D1123" t="s">
        <v>58</v>
      </c>
      <c r="E1123" t="s">
        <v>497</v>
      </c>
      <c r="F1123" t="s">
        <v>2677</v>
      </c>
      <c r="G1123">
        <v>50000</v>
      </c>
      <c r="H1123">
        <v>1979</v>
      </c>
      <c r="I1123" t="s">
        <v>58</v>
      </c>
      <c r="J1123" t="s">
        <v>58</v>
      </c>
      <c r="K1123" t="s">
        <v>58</v>
      </c>
      <c r="L1123" t="s">
        <v>58</v>
      </c>
      <c r="M1123" t="s">
        <v>58</v>
      </c>
      <c r="N1123" t="s">
        <v>61</v>
      </c>
      <c r="Q1123" t="s">
        <v>58</v>
      </c>
      <c r="R1123" s="11" t="str">
        <f>HYPERLINK("\\imagefiles.bcgov\imagery\scanned_maps\moe_terrain_maps\Scanned_T_maps_all\I16\I16-3218","\\imagefiles.bcgov\imagery\scanned_maps\moe_terrain_maps\Scanned_T_maps_all\I16\I16-3218")</f>
        <v>\\imagefiles.bcgov\imagery\scanned_maps\moe_terrain_maps\Scanned_T_maps_all\I16\I16-3218</v>
      </c>
      <c r="S1123" t="s">
        <v>62</v>
      </c>
      <c r="T1123" s="11" t="str">
        <f>HYPERLINK("http://www.env.gov.bc.ca/esd/distdata/ecosystems/TEI_Scanned_Maps/I16/I16-3218","http://www.env.gov.bc.ca/esd/distdata/ecosystems/TEI_Scanned_Maps/I16/I16-3218")</f>
        <v>http://www.env.gov.bc.ca/esd/distdata/ecosystems/TEI_Scanned_Maps/I16/I16-3218</v>
      </c>
      <c r="U1123" t="s">
        <v>58</v>
      </c>
      <c r="V1123" t="s">
        <v>58</v>
      </c>
      <c r="W1123" t="s">
        <v>58</v>
      </c>
      <c r="X1123" t="s">
        <v>58</v>
      </c>
      <c r="Y1123" t="s">
        <v>58</v>
      </c>
      <c r="Z1123" t="s">
        <v>58</v>
      </c>
      <c r="AA1123" t="s">
        <v>58</v>
      </c>
      <c r="AC1123" t="s">
        <v>58</v>
      </c>
      <c r="AE1123" t="s">
        <v>58</v>
      </c>
      <c r="AG1123" t="s">
        <v>63</v>
      </c>
      <c r="AH1123" s="11" t="str">
        <f t="shared" si="20"/>
        <v>mailto: soilterrain@victoria1.gov.bc.ca</v>
      </c>
    </row>
    <row r="1124" spans="1:34">
      <c r="A1124" t="s">
        <v>2678</v>
      </c>
      <c r="B1124" t="s">
        <v>56</v>
      </c>
      <c r="C1124" s="10" t="s">
        <v>1667</v>
      </c>
      <c r="D1124" t="s">
        <v>58</v>
      </c>
      <c r="E1124" t="s">
        <v>497</v>
      </c>
      <c r="F1124" t="s">
        <v>2679</v>
      </c>
      <c r="G1124">
        <v>50000</v>
      </c>
      <c r="H1124">
        <v>1979</v>
      </c>
      <c r="I1124" t="s">
        <v>58</v>
      </c>
      <c r="J1124" t="s">
        <v>58</v>
      </c>
      <c r="K1124" t="s">
        <v>58</v>
      </c>
      <c r="L1124" t="s">
        <v>58</v>
      </c>
      <c r="M1124" t="s">
        <v>58</v>
      </c>
      <c r="N1124" t="s">
        <v>61</v>
      </c>
      <c r="Q1124" t="s">
        <v>58</v>
      </c>
      <c r="R1124" s="11" t="str">
        <f>HYPERLINK("\\imagefiles.bcgov\imagery\scanned_maps\moe_terrain_maps\Scanned_T_maps_all\I16\I16-3219","\\imagefiles.bcgov\imagery\scanned_maps\moe_terrain_maps\Scanned_T_maps_all\I16\I16-3219")</f>
        <v>\\imagefiles.bcgov\imagery\scanned_maps\moe_terrain_maps\Scanned_T_maps_all\I16\I16-3219</v>
      </c>
      <c r="S1124" t="s">
        <v>62</v>
      </c>
      <c r="T1124" s="11" t="str">
        <f>HYPERLINK("http://www.env.gov.bc.ca/esd/distdata/ecosystems/TEI_Scanned_Maps/I16/I16-3219","http://www.env.gov.bc.ca/esd/distdata/ecosystems/TEI_Scanned_Maps/I16/I16-3219")</f>
        <v>http://www.env.gov.bc.ca/esd/distdata/ecosystems/TEI_Scanned_Maps/I16/I16-3219</v>
      </c>
      <c r="U1124" t="s">
        <v>58</v>
      </c>
      <c r="V1124" t="s">
        <v>58</v>
      </c>
      <c r="W1124" t="s">
        <v>58</v>
      </c>
      <c r="X1124" t="s">
        <v>58</v>
      </c>
      <c r="Y1124" t="s">
        <v>58</v>
      </c>
      <c r="Z1124" t="s">
        <v>58</v>
      </c>
      <c r="AA1124" t="s">
        <v>58</v>
      </c>
      <c r="AC1124" t="s">
        <v>58</v>
      </c>
      <c r="AE1124" t="s">
        <v>58</v>
      </c>
      <c r="AG1124" t="s">
        <v>63</v>
      </c>
      <c r="AH1124" s="11" t="str">
        <f t="shared" si="20"/>
        <v>mailto: soilterrain@victoria1.gov.bc.ca</v>
      </c>
    </row>
    <row r="1125" spans="1:34">
      <c r="A1125" t="s">
        <v>2680</v>
      </c>
      <c r="B1125" t="s">
        <v>56</v>
      </c>
      <c r="C1125" s="10" t="s">
        <v>1670</v>
      </c>
      <c r="D1125" t="s">
        <v>58</v>
      </c>
      <c r="E1125" t="s">
        <v>497</v>
      </c>
      <c r="F1125" t="s">
        <v>2681</v>
      </c>
      <c r="G1125">
        <v>50000</v>
      </c>
      <c r="H1125">
        <v>1979</v>
      </c>
      <c r="I1125" t="s">
        <v>58</v>
      </c>
      <c r="J1125" t="s">
        <v>58</v>
      </c>
      <c r="K1125" t="s">
        <v>58</v>
      </c>
      <c r="L1125" t="s">
        <v>58</v>
      </c>
      <c r="M1125" t="s">
        <v>58</v>
      </c>
      <c r="N1125" t="s">
        <v>61</v>
      </c>
      <c r="Q1125" t="s">
        <v>58</v>
      </c>
      <c r="R1125" s="11" t="str">
        <f>HYPERLINK("\\imagefiles.bcgov\imagery\scanned_maps\moe_terrain_maps\Scanned_T_maps_all\I16\I16-3220","\\imagefiles.bcgov\imagery\scanned_maps\moe_terrain_maps\Scanned_T_maps_all\I16\I16-3220")</f>
        <v>\\imagefiles.bcgov\imagery\scanned_maps\moe_terrain_maps\Scanned_T_maps_all\I16\I16-3220</v>
      </c>
      <c r="S1125" t="s">
        <v>62</v>
      </c>
      <c r="T1125" s="11" t="str">
        <f>HYPERLINK("http://www.env.gov.bc.ca/esd/distdata/ecosystems/TEI_Scanned_Maps/I16/I16-3220","http://www.env.gov.bc.ca/esd/distdata/ecosystems/TEI_Scanned_Maps/I16/I16-3220")</f>
        <v>http://www.env.gov.bc.ca/esd/distdata/ecosystems/TEI_Scanned_Maps/I16/I16-3220</v>
      </c>
      <c r="U1125" t="s">
        <v>58</v>
      </c>
      <c r="V1125" t="s">
        <v>58</v>
      </c>
      <c r="W1125" t="s">
        <v>58</v>
      </c>
      <c r="X1125" t="s">
        <v>58</v>
      </c>
      <c r="Y1125" t="s">
        <v>58</v>
      </c>
      <c r="Z1125" t="s">
        <v>58</v>
      </c>
      <c r="AA1125" t="s">
        <v>58</v>
      </c>
      <c r="AC1125" t="s">
        <v>58</v>
      </c>
      <c r="AE1125" t="s">
        <v>58</v>
      </c>
      <c r="AG1125" t="s">
        <v>63</v>
      </c>
      <c r="AH1125" s="11" t="str">
        <f t="shared" si="20"/>
        <v>mailto: soilterrain@victoria1.gov.bc.ca</v>
      </c>
    </row>
    <row r="1126" spans="1:34">
      <c r="A1126" t="s">
        <v>2682</v>
      </c>
      <c r="B1126" t="s">
        <v>56</v>
      </c>
      <c r="C1126" s="10" t="s">
        <v>1673</v>
      </c>
      <c r="D1126" t="s">
        <v>58</v>
      </c>
      <c r="E1126" t="s">
        <v>497</v>
      </c>
      <c r="F1126" t="s">
        <v>2683</v>
      </c>
      <c r="G1126">
        <v>50000</v>
      </c>
      <c r="H1126">
        <v>1979</v>
      </c>
      <c r="I1126" t="s">
        <v>58</v>
      </c>
      <c r="J1126" t="s">
        <v>58</v>
      </c>
      <c r="K1126" t="s">
        <v>58</v>
      </c>
      <c r="L1126" t="s">
        <v>58</v>
      </c>
      <c r="M1126" t="s">
        <v>58</v>
      </c>
      <c r="N1126" t="s">
        <v>61</v>
      </c>
      <c r="Q1126" t="s">
        <v>58</v>
      </c>
      <c r="R1126" s="11" t="str">
        <f>HYPERLINK("\\imagefiles.bcgov\imagery\scanned_maps\moe_terrain_maps\Scanned_T_maps_all\I16\I16-3221","\\imagefiles.bcgov\imagery\scanned_maps\moe_terrain_maps\Scanned_T_maps_all\I16\I16-3221")</f>
        <v>\\imagefiles.bcgov\imagery\scanned_maps\moe_terrain_maps\Scanned_T_maps_all\I16\I16-3221</v>
      </c>
      <c r="S1126" t="s">
        <v>62</v>
      </c>
      <c r="T1126" s="11" t="str">
        <f>HYPERLINK("http://www.env.gov.bc.ca/esd/distdata/ecosystems/TEI_Scanned_Maps/I16/I16-3221","http://www.env.gov.bc.ca/esd/distdata/ecosystems/TEI_Scanned_Maps/I16/I16-3221")</f>
        <v>http://www.env.gov.bc.ca/esd/distdata/ecosystems/TEI_Scanned_Maps/I16/I16-3221</v>
      </c>
      <c r="U1126" t="s">
        <v>58</v>
      </c>
      <c r="V1126" t="s">
        <v>58</v>
      </c>
      <c r="W1126" t="s">
        <v>58</v>
      </c>
      <c r="X1126" t="s">
        <v>58</v>
      </c>
      <c r="Y1126" t="s">
        <v>58</v>
      </c>
      <c r="Z1126" t="s">
        <v>58</v>
      </c>
      <c r="AA1126" t="s">
        <v>58</v>
      </c>
      <c r="AC1126" t="s">
        <v>58</v>
      </c>
      <c r="AE1126" t="s">
        <v>58</v>
      </c>
      <c r="AG1126" t="s">
        <v>63</v>
      </c>
      <c r="AH1126" s="11" t="str">
        <f t="shared" si="20"/>
        <v>mailto: soilterrain@victoria1.gov.bc.ca</v>
      </c>
    </row>
    <row r="1127" spans="1:34">
      <c r="A1127" t="s">
        <v>2684</v>
      </c>
      <c r="B1127" t="s">
        <v>56</v>
      </c>
      <c r="C1127" s="10" t="s">
        <v>1869</v>
      </c>
      <c r="D1127" t="s">
        <v>58</v>
      </c>
      <c r="E1127" t="s">
        <v>497</v>
      </c>
      <c r="F1127" t="s">
        <v>2685</v>
      </c>
      <c r="G1127">
        <v>50000</v>
      </c>
      <c r="H1127">
        <v>1979</v>
      </c>
      <c r="I1127" t="s">
        <v>58</v>
      </c>
      <c r="J1127" t="s">
        <v>58</v>
      </c>
      <c r="K1127" t="s">
        <v>58</v>
      </c>
      <c r="L1127" t="s">
        <v>58</v>
      </c>
      <c r="M1127" t="s">
        <v>58</v>
      </c>
      <c r="N1127" t="s">
        <v>61</v>
      </c>
      <c r="Q1127" t="s">
        <v>58</v>
      </c>
      <c r="R1127" s="11" t="str">
        <f>HYPERLINK("\\imagefiles.bcgov\imagery\scanned_maps\moe_terrain_maps\Scanned_T_maps_all\I16\I16-3222","\\imagefiles.bcgov\imagery\scanned_maps\moe_terrain_maps\Scanned_T_maps_all\I16\I16-3222")</f>
        <v>\\imagefiles.bcgov\imagery\scanned_maps\moe_terrain_maps\Scanned_T_maps_all\I16\I16-3222</v>
      </c>
      <c r="S1127" t="s">
        <v>62</v>
      </c>
      <c r="T1127" s="11" t="str">
        <f>HYPERLINK("http://www.env.gov.bc.ca/esd/distdata/ecosystems/TEI_Scanned_Maps/I16/I16-3222","http://www.env.gov.bc.ca/esd/distdata/ecosystems/TEI_Scanned_Maps/I16/I16-3222")</f>
        <v>http://www.env.gov.bc.ca/esd/distdata/ecosystems/TEI_Scanned_Maps/I16/I16-3222</v>
      </c>
      <c r="U1127" t="s">
        <v>58</v>
      </c>
      <c r="V1127" t="s">
        <v>58</v>
      </c>
      <c r="W1127" t="s">
        <v>58</v>
      </c>
      <c r="X1127" t="s">
        <v>58</v>
      </c>
      <c r="Y1127" t="s">
        <v>58</v>
      </c>
      <c r="Z1127" t="s">
        <v>58</v>
      </c>
      <c r="AA1127" t="s">
        <v>58</v>
      </c>
      <c r="AC1127" t="s">
        <v>58</v>
      </c>
      <c r="AE1127" t="s">
        <v>58</v>
      </c>
      <c r="AG1127" t="s">
        <v>63</v>
      </c>
      <c r="AH1127" s="11" t="str">
        <f t="shared" si="20"/>
        <v>mailto: soilterrain@victoria1.gov.bc.ca</v>
      </c>
    </row>
    <row r="1128" spans="1:34">
      <c r="A1128" t="s">
        <v>2686</v>
      </c>
      <c r="B1128" t="s">
        <v>56</v>
      </c>
      <c r="C1128" s="10" t="s">
        <v>1872</v>
      </c>
      <c r="D1128" t="s">
        <v>58</v>
      </c>
      <c r="E1128" t="s">
        <v>497</v>
      </c>
      <c r="F1128" t="s">
        <v>2687</v>
      </c>
      <c r="G1128">
        <v>50000</v>
      </c>
      <c r="H1128">
        <v>1979</v>
      </c>
      <c r="I1128" t="s">
        <v>58</v>
      </c>
      <c r="J1128" t="s">
        <v>58</v>
      </c>
      <c r="K1128" t="s">
        <v>58</v>
      </c>
      <c r="L1128" t="s">
        <v>58</v>
      </c>
      <c r="M1128" t="s">
        <v>58</v>
      </c>
      <c r="N1128" t="s">
        <v>61</v>
      </c>
      <c r="Q1128" t="s">
        <v>58</v>
      </c>
      <c r="R1128" s="11" t="str">
        <f>HYPERLINK("\\imagefiles.bcgov\imagery\scanned_maps\moe_terrain_maps\Scanned_T_maps_all\I16\I16-3223","\\imagefiles.bcgov\imagery\scanned_maps\moe_terrain_maps\Scanned_T_maps_all\I16\I16-3223")</f>
        <v>\\imagefiles.bcgov\imagery\scanned_maps\moe_terrain_maps\Scanned_T_maps_all\I16\I16-3223</v>
      </c>
      <c r="S1128" t="s">
        <v>62</v>
      </c>
      <c r="T1128" s="11" t="str">
        <f>HYPERLINK("http://www.env.gov.bc.ca/esd/distdata/ecosystems/TEI_Scanned_Maps/I16/I16-3223","http://www.env.gov.bc.ca/esd/distdata/ecosystems/TEI_Scanned_Maps/I16/I16-3223")</f>
        <v>http://www.env.gov.bc.ca/esd/distdata/ecosystems/TEI_Scanned_Maps/I16/I16-3223</v>
      </c>
      <c r="U1128" t="s">
        <v>58</v>
      </c>
      <c r="V1128" t="s">
        <v>58</v>
      </c>
      <c r="W1128" t="s">
        <v>58</v>
      </c>
      <c r="X1128" t="s">
        <v>58</v>
      </c>
      <c r="Y1128" t="s">
        <v>58</v>
      </c>
      <c r="Z1128" t="s">
        <v>58</v>
      </c>
      <c r="AA1128" t="s">
        <v>58</v>
      </c>
      <c r="AC1128" t="s">
        <v>58</v>
      </c>
      <c r="AE1128" t="s">
        <v>58</v>
      </c>
      <c r="AG1128" t="s">
        <v>63</v>
      </c>
      <c r="AH1128" s="11" t="str">
        <f t="shared" si="20"/>
        <v>mailto: soilterrain@victoria1.gov.bc.ca</v>
      </c>
    </row>
    <row r="1129" spans="1:34">
      <c r="A1129" t="s">
        <v>2688</v>
      </c>
      <c r="B1129" t="s">
        <v>56</v>
      </c>
      <c r="C1129" s="10" t="s">
        <v>1604</v>
      </c>
      <c r="D1129" t="s">
        <v>58</v>
      </c>
      <c r="E1129" t="s">
        <v>497</v>
      </c>
      <c r="F1129" t="s">
        <v>2689</v>
      </c>
      <c r="G1129">
        <v>50000</v>
      </c>
      <c r="H1129">
        <v>1979</v>
      </c>
      <c r="I1129" t="s">
        <v>58</v>
      </c>
      <c r="J1129" t="s">
        <v>58</v>
      </c>
      <c r="K1129" t="s">
        <v>58</v>
      </c>
      <c r="L1129" t="s">
        <v>58</v>
      </c>
      <c r="M1129" t="s">
        <v>58</v>
      </c>
      <c r="N1129" t="s">
        <v>61</v>
      </c>
      <c r="Q1129" t="s">
        <v>58</v>
      </c>
      <c r="R1129" s="11" t="str">
        <f>HYPERLINK("\\imagefiles.bcgov\imagery\scanned_maps\moe_terrain_maps\Scanned_T_maps_all\I16\I16-3224","\\imagefiles.bcgov\imagery\scanned_maps\moe_terrain_maps\Scanned_T_maps_all\I16\I16-3224")</f>
        <v>\\imagefiles.bcgov\imagery\scanned_maps\moe_terrain_maps\Scanned_T_maps_all\I16\I16-3224</v>
      </c>
      <c r="S1129" t="s">
        <v>62</v>
      </c>
      <c r="T1129" s="11" t="str">
        <f>HYPERLINK("http://www.env.gov.bc.ca/esd/distdata/ecosystems/TEI_Scanned_Maps/I16/I16-3224","http://www.env.gov.bc.ca/esd/distdata/ecosystems/TEI_Scanned_Maps/I16/I16-3224")</f>
        <v>http://www.env.gov.bc.ca/esd/distdata/ecosystems/TEI_Scanned_Maps/I16/I16-3224</v>
      </c>
      <c r="U1129" t="s">
        <v>58</v>
      </c>
      <c r="V1129" t="s">
        <v>58</v>
      </c>
      <c r="W1129" t="s">
        <v>58</v>
      </c>
      <c r="X1129" t="s">
        <v>58</v>
      </c>
      <c r="Y1129" t="s">
        <v>58</v>
      </c>
      <c r="Z1129" t="s">
        <v>58</v>
      </c>
      <c r="AA1129" t="s">
        <v>58</v>
      </c>
      <c r="AC1129" t="s">
        <v>58</v>
      </c>
      <c r="AE1129" t="s">
        <v>58</v>
      </c>
      <c r="AG1129" t="s">
        <v>63</v>
      </c>
      <c r="AH1129" s="11" t="str">
        <f t="shared" si="20"/>
        <v>mailto: soilterrain@victoria1.gov.bc.ca</v>
      </c>
    </row>
    <row r="1130" spans="1:34">
      <c r="A1130" t="s">
        <v>2690</v>
      </c>
      <c r="B1130" t="s">
        <v>56</v>
      </c>
      <c r="C1130" s="10" t="s">
        <v>1607</v>
      </c>
      <c r="D1130" t="s">
        <v>58</v>
      </c>
      <c r="E1130" t="s">
        <v>497</v>
      </c>
      <c r="F1130" t="s">
        <v>2691</v>
      </c>
      <c r="G1130">
        <v>50000</v>
      </c>
      <c r="H1130">
        <v>1979</v>
      </c>
      <c r="I1130" t="s">
        <v>58</v>
      </c>
      <c r="J1130" t="s">
        <v>58</v>
      </c>
      <c r="K1130" t="s">
        <v>58</v>
      </c>
      <c r="L1130" t="s">
        <v>58</v>
      </c>
      <c r="M1130" t="s">
        <v>58</v>
      </c>
      <c r="N1130" t="s">
        <v>61</v>
      </c>
      <c r="Q1130" t="s">
        <v>58</v>
      </c>
      <c r="R1130" s="11" t="str">
        <f>HYPERLINK("\\imagefiles.bcgov\imagery\scanned_maps\moe_terrain_maps\Scanned_T_maps_all\I16\I16-3225","\\imagefiles.bcgov\imagery\scanned_maps\moe_terrain_maps\Scanned_T_maps_all\I16\I16-3225")</f>
        <v>\\imagefiles.bcgov\imagery\scanned_maps\moe_terrain_maps\Scanned_T_maps_all\I16\I16-3225</v>
      </c>
      <c r="S1130" t="s">
        <v>62</v>
      </c>
      <c r="T1130" s="11" t="str">
        <f>HYPERLINK("http://www.env.gov.bc.ca/esd/distdata/ecosystems/TEI_Scanned_Maps/I16/I16-3225","http://www.env.gov.bc.ca/esd/distdata/ecosystems/TEI_Scanned_Maps/I16/I16-3225")</f>
        <v>http://www.env.gov.bc.ca/esd/distdata/ecosystems/TEI_Scanned_Maps/I16/I16-3225</v>
      </c>
      <c r="U1130" t="s">
        <v>58</v>
      </c>
      <c r="V1130" t="s">
        <v>58</v>
      </c>
      <c r="W1130" t="s">
        <v>58</v>
      </c>
      <c r="X1130" t="s">
        <v>58</v>
      </c>
      <c r="Y1130" t="s">
        <v>58</v>
      </c>
      <c r="Z1130" t="s">
        <v>58</v>
      </c>
      <c r="AA1130" t="s">
        <v>58</v>
      </c>
      <c r="AC1130" t="s">
        <v>58</v>
      </c>
      <c r="AE1130" t="s">
        <v>58</v>
      </c>
      <c r="AG1130" t="s">
        <v>63</v>
      </c>
      <c r="AH1130" s="11" t="str">
        <f t="shared" si="20"/>
        <v>mailto: soilterrain@victoria1.gov.bc.ca</v>
      </c>
    </row>
    <row r="1131" spans="1:34">
      <c r="A1131" t="s">
        <v>2692</v>
      </c>
      <c r="B1131" t="s">
        <v>56</v>
      </c>
      <c r="C1131" s="10" t="s">
        <v>1610</v>
      </c>
      <c r="D1131" t="s">
        <v>58</v>
      </c>
      <c r="E1131" t="s">
        <v>497</v>
      </c>
      <c r="F1131" t="s">
        <v>2693</v>
      </c>
      <c r="G1131">
        <v>50000</v>
      </c>
      <c r="H1131">
        <v>1979</v>
      </c>
      <c r="I1131" t="s">
        <v>58</v>
      </c>
      <c r="J1131" t="s">
        <v>58</v>
      </c>
      <c r="K1131" t="s">
        <v>58</v>
      </c>
      <c r="L1131" t="s">
        <v>58</v>
      </c>
      <c r="M1131" t="s">
        <v>58</v>
      </c>
      <c r="N1131" t="s">
        <v>61</v>
      </c>
      <c r="Q1131" t="s">
        <v>58</v>
      </c>
      <c r="R1131" s="11" t="str">
        <f>HYPERLINK("\\imagefiles.bcgov\imagery\scanned_maps\moe_terrain_maps\Scanned_T_maps_all\I16\I16-3226","\\imagefiles.bcgov\imagery\scanned_maps\moe_terrain_maps\Scanned_T_maps_all\I16\I16-3226")</f>
        <v>\\imagefiles.bcgov\imagery\scanned_maps\moe_terrain_maps\Scanned_T_maps_all\I16\I16-3226</v>
      </c>
      <c r="S1131" t="s">
        <v>62</v>
      </c>
      <c r="T1131" s="11" t="str">
        <f>HYPERLINK("http://www.env.gov.bc.ca/esd/distdata/ecosystems/TEI_Scanned_Maps/I16/I16-3226","http://www.env.gov.bc.ca/esd/distdata/ecosystems/TEI_Scanned_Maps/I16/I16-3226")</f>
        <v>http://www.env.gov.bc.ca/esd/distdata/ecosystems/TEI_Scanned_Maps/I16/I16-3226</v>
      </c>
      <c r="U1131" t="s">
        <v>58</v>
      </c>
      <c r="V1131" t="s">
        <v>58</v>
      </c>
      <c r="W1131" t="s">
        <v>58</v>
      </c>
      <c r="X1131" t="s">
        <v>58</v>
      </c>
      <c r="Y1131" t="s">
        <v>58</v>
      </c>
      <c r="Z1131" t="s">
        <v>58</v>
      </c>
      <c r="AA1131" t="s">
        <v>58</v>
      </c>
      <c r="AC1131" t="s">
        <v>58</v>
      </c>
      <c r="AE1131" t="s">
        <v>58</v>
      </c>
      <c r="AG1131" t="s">
        <v>63</v>
      </c>
      <c r="AH1131" s="11" t="str">
        <f t="shared" si="20"/>
        <v>mailto: soilterrain@victoria1.gov.bc.ca</v>
      </c>
    </row>
    <row r="1132" spans="1:34">
      <c r="A1132" t="s">
        <v>2694</v>
      </c>
      <c r="B1132" t="s">
        <v>56</v>
      </c>
      <c r="C1132" s="10" t="s">
        <v>1613</v>
      </c>
      <c r="D1132" t="s">
        <v>61</v>
      </c>
      <c r="E1132" t="s">
        <v>497</v>
      </c>
      <c r="F1132" t="s">
        <v>2695</v>
      </c>
      <c r="G1132">
        <v>50000</v>
      </c>
      <c r="H1132">
        <v>1979</v>
      </c>
      <c r="I1132" t="s">
        <v>58</v>
      </c>
      <c r="J1132" t="s">
        <v>58</v>
      </c>
      <c r="K1132" t="s">
        <v>58</v>
      </c>
      <c r="L1132" t="s">
        <v>58</v>
      </c>
      <c r="M1132" t="s">
        <v>58</v>
      </c>
      <c r="N1132" t="s">
        <v>61</v>
      </c>
      <c r="Q1132" t="s">
        <v>58</v>
      </c>
      <c r="R1132" s="11" t="str">
        <f>HYPERLINK("\\imagefiles.bcgov\imagery\scanned_maps\moe_terrain_maps\Scanned_T_maps_all\I16\I16-3227","\\imagefiles.bcgov\imagery\scanned_maps\moe_terrain_maps\Scanned_T_maps_all\I16\I16-3227")</f>
        <v>\\imagefiles.bcgov\imagery\scanned_maps\moe_terrain_maps\Scanned_T_maps_all\I16\I16-3227</v>
      </c>
      <c r="S1132" t="s">
        <v>62</v>
      </c>
      <c r="T1132" s="11" t="str">
        <f>HYPERLINK("http://www.env.gov.bc.ca/esd/distdata/ecosystems/TEI_Scanned_Maps/I16/I16-3227","http://www.env.gov.bc.ca/esd/distdata/ecosystems/TEI_Scanned_Maps/I16/I16-3227")</f>
        <v>http://www.env.gov.bc.ca/esd/distdata/ecosystems/TEI_Scanned_Maps/I16/I16-3227</v>
      </c>
      <c r="U1132" t="s">
        <v>58</v>
      </c>
      <c r="V1132" t="s">
        <v>58</v>
      </c>
      <c r="W1132" t="s">
        <v>58</v>
      </c>
      <c r="X1132" t="s">
        <v>58</v>
      </c>
      <c r="Y1132" t="s">
        <v>58</v>
      </c>
      <c r="Z1132" t="s">
        <v>58</v>
      </c>
      <c r="AA1132" t="s">
        <v>58</v>
      </c>
      <c r="AC1132" t="s">
        <v>58</v>
      </c>
      <c r="AE1132" t="s">
        <v>58</v>
      </c>
      <c r="AG1132" t="s">
        <v>63</v>
      </c>
      <c r="AH1132" s="11" t="str">
        <f t="shared" si="20"/>
        <v>mailto: soilterrain@victoria1.gov.bc.ca</v>
      </c>
    </row>
    <row r="1133" spans="1:34">
      <c r="A1133" t="s">
        <v>2696</v>
      </c>
      <c r="B1133" t="s">
        <v>56</v>
      </c>
      <c r="C1133" s="10" t="s">
        <v>513</v>
      </c>
      <c r="D1133" t="s">
        <v>61</v>
      </c>
      <c r="E1133" t="s">
        <v>497</v>
      </c>
      <c r="F1133" t="s">
        <v>2697</v>
      </c>
      <c r="G1133">
        <v>50000</v>
      </c>
      <c r="H1133">
        <v>1979</v>
      </c>
      <c r="I1133" t="s">
        <v>58</v>
      </c>
      <c r="J1133" t="s">
        <v>58</v>
      </c>
      <c r="K1133" t="s">
        <v>58</v>
      </c>
      <c r="L1133" t="s">
        <v>58</v>
      </c>
      <c r="M1133" t="s">
        <v>58</v>
      </c>
      <c r="N1133" t="s">
        <v>61</v>
      </c>
      <c r="Q1133" t="s">
        <v>58</v>
      </c>
      <c r="R1133" s="11" t="str">
        <f>HYPERLINK("\\imagefiles.bcgov\imagery\scanned_maps\moe_terrain_maps\Scanned_T_maps_all\I16\I16-3228","\\imagefiles.bcgov\imagery\scanned_maps\moe_terrain_maps\Scanned_T_maps_all\I16\I16-3228")</f>
        <v>\\imagefiles.bcgov\imagery\scanned_maps\moe_terrain_maps\Scanned_T_maps_all\I16\I16-3228</v>
      </c>
      <c r="S1133" t="s">
        <v>62</v>
      </c>
      <c r="T1133" s="11" t="str">
        <f>HYPERLINK("http://www.env.gov.bc.ca/esd/distdata/ecosystems/TEI_Scanned_Maps/I16/I16-3228","http://www.env.gov.bc.ca/esd/distdata/ecosystems/TEI_Scanned_Maps/I16/I16-3228")</f>
        <v>http://www.env.gov.bc.ca/esd/distdata/ecosystems/TEI_Scanned_Maps/I16/I16-3228</v>
      </c>
      <c r="U1133" t="s">
        <v>58</v>
      </c>
      <c r="V1133" t="s">
        <v>58</v>
      </c>
      <c r="W1133" t="s">
        <v>58</v>
      </c>
      <c r="X1133" t="s">
        <v>58</v>
      </c>
      <c r="Y1133" t="s">
        <v>58</v>
      </c>
      <c r="Z1133" t="s">
        <v>58</v>
      </c>
      <c r="AA1133" t="s">
        <v>58</v>
      </c>
      <c r="AC1133" t="s">
        <v>58</v>
      </c>
      <c r="AE1133" t="s">
        <v>58</v>
      </c>
      <c r="AG1133" t="s">
        <v>63</v>
      </c>
      <c r="AH1133" s="11" t="str">
        <f t="shared" si="20"/>
        <v>mailto: soilterrain@victoria1.gov.bc.ca</v>
      </c>
    </row>
    <row r="1134" spans="1:34">
      <c r="A1134" t="s">
        <v>2698</v>
      </c>
      <c r="B1134" t="s">
        <v>56</v>
      </c>
      <c r="C1134" s="10" t="s">
        <v>516</v>
      </c>
      <c r="D1134" t="s">
        <v>58</v>
      </c>
      <c r="E1134" t="s">
        <v>497</v>
      </c>
      <c r="F1134" t="s">
        <v>2699</v>
      </c>
      <c r="G1134">
        <v>50000</v>
      </c>
      <c r="H1134">
        <v>1979</v>
      </c>
      <c r="I1134" t="s">
        <v>58</v>
      </c>
      <c r="J1134" t="s">
        <v>58</v>
      </c>
      <c r="K1134" t="s">
        <v>58</v>
      </c>
      <c r="L1134" t="s">
        <v>58</v>
      </c>
      <c r="M1134" t="s">
        <v>58</v>
      </c>
      <c r="N1134" t="s">
        <v>61</v>
      </c>
      <c r="Q1134" t="s">
        <v>58</v>
      </c>
      <c r="R1134" s="11" t="str">
        <f>HYPERLINK("\\imagefiles.bcgov\imagery\scanned_maps\moe_terrain_maps\Scanned_T_maps_all\I16\I16-3229","\\imagefiles.bcgov\imagery\scanned_maps\moe_terrain_maps\Scanned_T_maps_all\I16\I16-3229")</f>
        <v>\\imagefiles.bcgov\imagery\scanned_maps\moe_terrain_maps\Scanned_T_maps_all\I16\I16-3229</v>
      </c>
      <c r="S1134" t="s">
        <v>62</v>
      </c>
      <c r="T1134" s="11" t="str">
        <f>HYPERLINK("http://www.env.gov.bc.ca/esd/distdata/ecosystems/TEI_Scanned_Maps/I16/I16-3229","http://www.env.gov.bc.ca/esd/distdata/ecosystems/TEI_Scanned_Maps/I16/I16-3229")</f>
        <v>http://www.env.gov.bc.ca/esd/distdata/ecosystems/TEI_Scanned_Maps/I16/I16-3229</v>
      </c>
      <c r="U1134" t="s">
        <v>58</v>
      </c>
      <c r="V1134" t="s">
        <v>58</v>
      </c>
      <c r="W1134" t="s">
        <v>58</v>
      </c>
      <c r="X1134" t="s">
        <v>58</v>
      </c>
      <c r="Y1134" t="s">
        <v>58</v>
      </c>
      <c r="Z1134" t="s">
        <v>58</v>
      </c>
      <c r="AA1134" t="s">
        <v>58</v>
      </c>
      <c r="AC1134" t="s">
        <v>58</v>
      </c>
      <c r="AE1134" t="s">
        <v>58</v>
      </c>
      <c r="AG1134" t="s">
        <v>63</v>
      </c>
      <c r="AH1134" s="11" t="str">
        <f t="shared" si="20"/>
        <v>mailto: soilterrain@victoria1.gov.bc.ca</v>
      </c>
    </row>
    <row r="1135" spans="1:34">
      <c r="A1135" t="s">
        <v>2700</v>
      </c>
      <c r="B1135" t="s">
        <v>56</v>
      </c>
      <c r="C1135" s="10" t="s">
        <v>519</v>
      </c>
      <c r="D1135" t="s">
        <v>58</v>
      </c>
      <c r="E1135" t="s">
        <v>497</v>
      </c>
      <c r="F1135" t="s">
        <v>2701</v>
      </c>
      <c r="G1135">
        <v>50000</v>
      </c>
      <c r="H1135">
        <v>1979</v>
      </c>
      <c r="I1135" t="s">
        <v>58</v>
      </c>
      <c r="J1135" t="s">
        <v>58</v>
      </c>
      <c r="K1135" t="s">
        <v>58</v>
      </c>
      <c r="L1135" t="s">
        <v>58</v>
      </c>
      <c r="M1135" t="s">
        <v>58</v>
      </c>
      <c r="N1135" t="s">
        <v>61</v>
      </c>
      <c r="Q1135" t="s">
        <v>58</v>
      </c>
      <c r="R1135" s="11" t="str">
        <f>HYPERLINK("\\imagefiles.bcgov\imagery\scanned_maps\moe_terrain_maps\Scanned_T_maps_all\I16\I16-3230","\\imagefiles.bcgov\imagery\scanned_maps\moe_terrain_maps\Scanned_T_maps_all\I16\I16-3230")</f>
        <v>\\imagefiles.bcgov\imagery\scanned_maps\moe_terrain_maps\Scanned_T_maps_all\I16\I16-3230</v>
      </c>
      <c r="S1135" t="s">
        <v>62</v>
      </c>
      <c r="T1135" s="11" t="str">
        <f>HYPERLINK("http://www.env.gov.bc.ca/esd/distdata/ecosystems/TEI_Scanned_Maps/I16/I16-3230","http://www.env.gov.bc.ca/esd/distdata/ecosystems/TEI_Scanned_Maps/I16/I16-3230")</f>
        <v>http://www.env.gov.bc.ca/esd/distdata/ecosystems/TEI_Scanned_Maps/I16/I16-3230</v>
      </c>
      <c r="U1135" t="s">
        <v>58</v>
      </c>
      <c r="V1135" t="s">
        <v>58</v>
      </c>
      <c r="W1135" t="s">
        <v>58</v>
      </c>
      <c r="X1135" t="s">
        <v>58</v>
      </c>
      <c r="Y1135" t="s">
        <v>58</v>
      </c>
      <c r="Z1135" t="s">
        <v>58</v>
      </c>
      <c r="AA1135" t="s">
        <v>58</v>
      </c>
      <c r="AC1135" t="s">
        <v>58</v>
      </c>
      <c r="AE1135" t="s">
        <v>58</v>
      </c>
      <c r="AG1135" t="s">
        <v>63</v>
      </c>
      <c r="AH1135" s="11" t="str">
        <f t="shared" si="20"/>
        <v>mailto: soilterrain@victoria1.gov.bc.ca</v>
      </c>
    </row>
    <row r="1136" spans="1:34">
      <c r="A1136" t="s">
        <v>2702</v>
      </c>
      <c r="B1136" t="s">
        <v>56</v>
      </c>
      <c r="C1136" s="10" t="s">
        <v>1616</v>
      </c>
      <c r="D1136" t="s">
        <v>58</v>
      </c>
      <c r="E1136" t="s">
        <v>497</v>
      </c>
      <c r="F1136" t="s">
        <v>2703</v>
      </c>
      <c r="G1136">
        <v>50000</v>
      </c>
      <c r="H1136">
        <v>1979</v>
      </c>
      <c r="I1136" t="s">
        <v>58</v>
      </c>
      <c r="J1136" t="s">
        <v>58</v>
      </c>
      <c r="K1136" t="s">
        <v>58</v>
      </c>
      <c r="L1136" t="s">
        <v>58</v>
      </c>
      <c r="M1136" t="s">
        <v>58</v>
      </c>
      <c r="N1136" t="s">
        <v>61</v>
      </c>
      <c r="Q1136" t="s">
        <v>58</v>
      </c>
      <c r="R1136" s="11" t="str">
        <f>HYPERLINK("\\imagefiles.bcgov\imagery\scanned_maps\moe_terrain_maps\Scanned_T_maps_all\I16\I16-3231","\\imagefiles.bcgov\imagery\scanned_maps\moe_terrain_maps\Scanned_T_maps_all\I16\I16-3231")</f>
        <v>\\imagefiles.bcgov\imagery\scanned_maps\moe_terrain_maps\Scanned_T_maps_all\I16\I16-3231</v>
      </c>
      <c r="S1136" t="s">
        <v>62</v>
      </c>
      <c r="T1136" s="11" t="str">
        <f>HYPERLINK("http://www.env.gov.bc.ca/esd/distdata/ecosystems/TEI_Scanned_Maps/I16/I16-3231","http://www.env.gov.bc.ca/esd/distdata/ecosystems/TEI_Scanned_Maps/I16/I16-3231")</f>
        <v>http://www.env.gov.bc.ca/esd/distdata/ecosystems/TEI_Scanned_Maps/I16/I16-3231</v>
      </c>
      <c r="U1136" t="s">
        <v>58</v>
      </c>
      <c r="V1136" t="s">
        <v>58</v>
      </c>
      <c r="W1136" t="s">
        <v>58</v>
      </c>
      <c r="X1136" t="s">
        <v>58</v>
      </c>
      <c r="Y1136" t="s">
        <v>58</v>
      </c>
      <c r="Z1136" t="s">
        <v>58</v>
      </c>
      <c r="AA1136" t="s">
        <v>58</v>
      </c>
      <c r="AC1136" t="s">
        <v>58</v>
      </c>
      <c r="AE1136" t="s">
        <v>58</v>
      </c>
      <c r="AG1136" t="s">
        <v>63</v>
      </c>
      <c r="AH1136" s="11" t="str">
        <f t="shared" si="20"/>
        <v>mailto: soilterrain@victoria1.gov.bc.ca</v>
      </c>
    </row>
    <row r="1137" spans="1:34">
      <c r="A1137" t="s">
        <v>2704</v>
      </c>
      <c r="B1137" t="s">
        <v>56</v>
      </c>
      <c r="C1137" s="10" t="s">
        <v>1622</v>
      </c>
      <c r="D1137" t="s">
        <v>58</v>
      </c>
      <c r="E1137" t="s">
        <v>497</v>
      </c>
      <c r="F1137" t="s">
        <v>2705</v>
      </c>
      <c r="G1137">
        <v>50000</v>
      </c>
      <c r="H1137">
        <v>1979</v>
      </c>
      <c r="I1137" t="s">
        <v>58</v>
      </c>
      <c r="J1137" t="s">
        <v>58</v>
      </c>
      <c r="K1137" t="s">
        <v>58</v>
      </c>
      <c r="L1137" t="s">
        <v>58</v>
      </c>
      <c r="M1137" t="s">
        <v>58</v>
      </c>
      <c r="N1137" t="s">
        <v>61</v>
      </c>
      <c r="Q1137" t="s">
        <v>58</v>
      </c>
      <c r="R1137" s="11" t="str">
        <f>HYPERLINK("\\imagefiles.bcgov\imagery\scanned_maps\moe_terrain_maps\Scanned_T_maps_all\I16\I16-3232","\\imagefiles.bcgov\imagery\scanned_maps\moe_terrain_maps\Scanned_T_maps_all\I16\I16-3232")</f>
        <v>\\imagefiles.bcgov\imagery\scanned_maps\moe_terrain_maps\Scanned_T_maps_all\I16\I16-3232</v>
      </c>
      <c r="S1137" t="s">
        <v>62</v>
      </c>
      <c r="T1137" s="11" t="str">
        <f>HYPERLINK("http://www.env.gov.bc.ca/esd/distdata/ecosystems/TEI_Scanned_Maps/I16/I16-3232","http://www.env.gov.bc.ca/esd/distdata/ecosystems/TEI_Scanned_Maps/I16/I16-3232")</f>
        <v>http://www.env.gov.bc.ca/esd/distdata/ecosystems/TEI_Scanned_Maps/I16/I16-3232</v>
      </c>
      <c r="U1137" t="s">
        <v>58</v>
      </c>
      <c r="V1137" t="s">
        <v>58</v>
      </c>
      <c r="W1137" t="s">
        <v>58</v>
      </c>
      <c r="X1137" t="s">
        <v>58</v>
      </c>
      <c r="Y1137" t="s">
        <v>58</v>
      </c>
      <c r="Z1137" t="s">
        <v>58</v>
      </c>
      <c r="AA1137" t="s">
        <v>58</v>
      </c>
      <c r="AC1137" t="s">
        <v>58</v>
      </c>
      <c r="AE1137" t="s">
        <v>58</v>
      </c>
      <c r="AG1137" t="s">
        <v>63</v>
      </c>
      <c r="AH1137" s="11" t="str">
        <f t="shared" si="20"/>
        <v>mailto: soilterrain@victoria1.gov.bc.ca</v>
      </c>
    </row>
    <row r="1138" spans="1:34">
      <c r="A1138" t="s">
        <v>2706</v>
      </c>
      <c r="B1138" t="s">
        <v>56</v>
      </c>
      <c r="C1138" s="10" t="s">
        <v>1625</v>
      </c>
      <c r="D1138" t="s">
        <v>58</v>
      </c>
      <c r="E1138" t="s">
        <v>497</v>
      </c>
      <c r="F1138" t="s">
        <v>2707</v>
      </c>
      <c r="G1138">
        <v>50000</v>
      </c>
      <c r="H1138">
        <v>1979</v>
      </c>
      <c r="I1138" t="s">
        <v>58</v>
      </c>
      <c r="J1138" t="s">
        <v>58</v>
      </c>
      <c r="K1138" t="s">
        <v>58</v>
      </c>
      <c r="L1138" t="s">
        <v>58</v>
      </c>
      <c r="M1138" t="s">
        <v>58</v>
      </c>
      <c r="N1138" t="s">
        <v>61</v>
      </c>
      <c r="Q1138" t="s">
        <v>58</v>
      </c>
      <c r="R1138" s="11" t="str">
        <f>HYPERLINK("\\imagefiles.bcgov\imagery\scanned_maps\moe_terrain_maps\Scanned_T_maps_all\I16\I16-3233","\\imagefiles.bcgov\imagery\scanned_maps\moe_terrain_maps\Scanned_T_maps_all\I16\I16-3233")</f>
        <v>\\imagefiles.bcgov\imagery\scanned_maps\moe_terrain_maps\Scanned_T_maps_all\I16\I16-3233</v>
      </c>
      <c r="S1138" t="s">
        <v>62</v>
      </c>
      <c r="T1138" s="11" t="str">
        <f>HYPERLINK("http://www.env.gov.bc.ca/esd/distdata/ecosystems/TEI_Scanned_Maps/I16/I16-3233","http://www.env.gov.bc.ca/esd/distdata/ecosystems/TEI_Scanned_Maps/I16/I16-3233")</f>
        <v>http://www.env.gov.bc.ca/esd/distdata/ecosystems/TEI_Scanned_Maps/I16/I16-3233</v>
      </c>
      <c r="U1138" t="s">
        <v>58</v>
      </c>
      <c r="V1138" t="s">
        <v>58</v>
      </c>
      <c r="W1138" t="s">
        <v>58</v>
      </c>
      <c r="X1138" t="s">
        <v>58</v>
      </c>
      <c r="Y1138" t="s">
        <v>58</v>
      </c>
      <c r="Z1138" t="s">
        <v>58</v>
      </c>
      <c r="AA1138" t="s">
        <v>58</v>
      </c>
      <c r="AC1138" t="s">
        <v>58</v>
      </c>
      <c r="AE1138" t="s">
        <v>58</v>
      </c>
      <c r="AG1138" t="s">
        <v>63</v>
      </c>
      <c r="AH1138" s="11" t="str">
        <f t="shared" si="20"/>
        <v>mailto: soilterrain@victoria1.gov.bc.ca</v>
      </c>
    </row>
    <row r="1139" spans="1:34">
      <c r="A1139" t="s">
        <v>2708</v>
      </c>
      <c r="B1139" t="s">
        <v>56</v>
      </c>
      <c r="C1139" s="10" t="s">
        <v>1648</v>
      </c>
      <c r="D1139" t="s">
        <v>58</v>
      </c>
      <c r="E1139" t="s">
        <v>497</v>
      </c>
      <c r="F1139" t="s">
        <v>2709</v>
      </c>
      <c r="G1139">
        <v>50000</v>
      </c>
      <c r="H1139">
        <v>1979</v>
      </c>
      <c r="I1139" t="s">
        <v>58</v>
      </c>
      <c r="J1139" t="s">
        <v>58</v>
      </c>
      <c r="K1139" t="s">
        <v>58</v>
      </c>
      <c r="L1139" t="s">
        <v>58</v>
      </c>
      <c r="M1139" t="s">
        <v>58</v>
      </c>
      <c r="N1139" t="s">
        <v>61</v>
      </c>
      <c r="Q1139" t="s">
        <v>58</v>
      </c>
      <c r="R1139" s="11" t="str">
        <f>HYPERLINK("\\imagefiles.bcgov\imagery\scanned_maps\moe_terrain_maps\Scanned_T_maps_all\I16\I16-3234","\\imagefiles.bcgov\imagery\scanned_maps\moe_terrain_maps\Scanned_T_maps_all\I16\I16-3234")</f>
        <v>\\imagefiles.bcgov\imagery\scanned_maps\moe_terrain_maps\Scanned_T_maps_all\I16\I16-3234</v>
      </c>
      <c r="S1139" t="s">
        <v>62</v>
      </c>
      <c r="T1139" s="11" t="str">
        <f>HYPERLINK("http://www.env.gov.bc.ca/esd/distdata/ecosystems/TEI_Scanned_Maps/I16/I16-3234","http://www.env.gov.bc.ca/esd/distdata/ecosystems/TEI_Scanned_Maps/I16/I16-3234")</f>
        <v>http://www.env.gov.bc.ca/esd/distdata/ecosystems/TEI_Scanned_Maps/I16/I16-3234</v>
      </c>
      <c r="U1139" t="s">
        <v>58</v>
      </c>
      <c r="V1139" t="s">
        <v>58</v>
      </c>
      <c r="W1139" t="s">
        <v>58</v>
      </c>
      <c r="X1139" t="s">
        <v>58</v>
      </c>
      <c r="Y1139" t="s">
        <v>58</v>
      </c>
      <c r="Z1139" t="s">
        <v>58</v>
      </c>
      <c r="AA1139" t="s">
        <v>58</v>
      </c>
      <c r="AC1139" t="s">
        <v>58</v>
      </c>
      <c r="AE1139" t="s">
        <v>58</v>
      </c>
      <c r="AG1139" t="s">
        <v>63</v>
      </c>
      <c r="AH1139" s="11" t="str">
        <f t="shared" si="20"/>
        <v>mailto: soilterrain@victoria1.gov.bc.ca</v>
      </c>
    </row>
    <row r="1140" spans="1:34">
      <c r="A1140" t="s">
        <v>2710</v>
      </c>
      <c r="B1140" t="s">
        <v>56</v>
      </c>
      <c r="C1140" s="10" t="s">
        <v>1676</v>
      </c>
      <c r="D1140" t="s">
        <v>58</v>
      </c>
      <c r="E1140" t="s">
        <v>497</v>
      </c>
      <c r="F1140" t="s">
        <v>2711</v>
      </c>
      <c r="G1140">
        <v>50000</v>
      </c>
      <c r="H1140">
        <v>1979</v>
      </c>
      <c r="I1140" t="s">
        <v>58</v>
      </c>
      <c r="J1140" t="s">
        <v>58</v>
      </c>
      <c r="K1140" t="s">
        <v>58</v>
      </c>
      <c r="L1140" t="s">
        <v>58</v>
      </c>
      <c r="M1140" t="s">
        <v>58</v>
      </c>
      <c r="N1140" t="s">
        <v>61</v>
      </c>
      <c r="Q1140" t="s">
        <v>58</v>
      </c>
      <c r="R1140" s="11" t="str">
        <f>HYPERLINK("\\imagefiles.bcgov\imagery\scanned_maps\moe_terrain_maps\Scanned_T_maps_all\I16\I16-3235","\\imagefiles.bcgov\imagery\scanned_maps\moe_terrain_maps\Scanned_T_maps_all\I16\I16-3235")</f>
        <v>\\imagefiles.bcgov\imagery\scanned_maps\moe_terrain_maps\Scanned_T_maps_all\I16\I16-3235</v>
      </c>
      <c r="S1140" t="s">
        <v>62</v>
      </c>
      <c r="T1140" s="11" t="str">
        <f>HYPERLINK("http://www.env.gov.bc.ca/esd/distdata/ecosystems/TEI_Scanned_Maps/I16/I16-3235","http://www.env.gov.bc.ca/esd/distdata/ecosystems/TEI_Scanned_Maps/I16/I16-3235")</f>
        <v>http://www.env.gov.bc.ca/esd/distdata/ecosystems/TEI_Scanned_Maps/I16/I16-3235</v>
      </c>
      <c r="U1140" t="s">
        <v>58</v>
      </c>
      <c r="V1140" t="s">
        <v>58</v>
      </c>
      <c r="W1140" t="s">
        <v>58</v>
      </c>
      <c r="X1140" t="s">
        <v>58</v>
      </c>
      <c r="Y1140" t="s">
        <v>58</v>
      </c>
      <c r="Z1140" t="s">
        <v>58</v>
      </c>
      <c r="AA1140" t="s">
        <v>58</v>
      </c>
      <c r="AC1140" t="s">
        <v>58</v>
      </c>
      <c r="AE1140" t="s">
        <v>58</v>
      </c>
      <c r="AG1140" t="s">
        <v>63</v>
      </c>
      <c r="AH1140" s="11" t="str">
        <f t="shared" si="20"/>
        <v>mailto: soilterrain@victoria1.gov.bc.ca</v>
      </c>
    </row>
    <row r="1141" spans="1:34">
      <c r="A1141" t="s">
        <v>2712</v>
      </c>
      <c r="B1141" t="s">
        <v>56</v>
      </c>
      <c r="C1141" s="10" t="s">
        <v>1738</v>
      </c>
      <c r="D1141" t="s">
        <v>58</v>
      </c>
      <c r="E1141" t="s">
        <v>497</v>
      </c>
      <c r="F1141" t="s">
        <v>2713</v>
      </c>
      <c r="G1141">
        <v>50000</v>
      </c>
      <c r="H1141">
        <v>1979</v>
      </c>
      <c r="I1141" t="s">
        <v>58</v>
      </c>
      <c r="J1141" t="s">
        <v>58</v>
      </c>
      <c r="K1141" t="s">
        <v>58</v>
      </c>
      <c r="L1141" t="s">
        <v>58</v>
      </c>
      <c r="M1141" t="s">
        <v>58</v>
      </c>
      <c r="N1141" t="s">
        <v>61</v>
      </c>
      <c r="Q1141" t="s">
        <v>58</v>
      </c>
      <c r="R1141" s="11" t="str">
        <f>HYPERLINK("\\imagefiles.bcgov\imagery\scanned_maps\moe_terrain_maps\Scanned_T_maps_all\I16\I16-3236","\\imagefiles.bcgov\imagery\scanned_maps\moe_terrain_maps\Scanned_T_maps_all\I16\I16-3236")</f>
        <v>\\imagefiles.bcgov\imagery\scanned_maps\moe_terrain_maps\Scanned_T_maps_all\I16\I16-3236</v>
      </c>
      <c r="S1141" t="s">
        <v>62</v>
      </c>
      <c r="T1141" s="11" t="str">
        <f>HYPERLINK("http://www.env.gov.bc.ca/esd/distdata/ecosystems/TEI_Scanned_Maps/I16/I16-3236","http://www.env.gov.bc.ca/esd/distdata/ecosystems/TEI_Scanned_Maps/I16/I16-3236")</f>
        <v>http://www.env.gov.bc.ca/esd/distdata/ecosystems/TEI_Scanned_Maps/I16/I16-3236</v>
      </c>
      <c r="U1141" t="s">
        <v>58</v>
      </c>
      <c r="V1141" t="s">
        <v>58</v>
      </c>
      <c r="W1141" t="s">
        <v>58</v>
      </c>
      <c r="X1141" t="s">
        <v>58</v>
      </c>
      <c r="Y1141" t="s">
        <v>58</v>
      </c>
      <c r="Z1141" t="s">
        <v>58</v>
      </c>
      <c r="AA1141" t="s">
        <v>58</v>
      </c>
      <c r="AC1141" t="s">
        <v>58</v>
      </c>
      <c r="AE1141" t="s">
        <v>58</v>
      </c>
      <c r="AG1141" t="s">
        <v>63</v>
      </c>
      <c r="AH1141" s="11" t="str">
        <f t="shared" si="20"/>
        <v>mailto: soilterrain@victoria1.gov.bc.ca</v>
      </c>
    </row>
    <row r="1142" spans="1:34">
      <c r="A1142" t="s">
        <v>2714</v>
      </c>
      <c r="B1142" t="s">
        <v>56</v>
      </c>
      <c r="C1142" s="10" t="s">
        <v>1619</v>
      </c>
      <c r="D1142" t="s">
        <v>58</v>
      </c>
      <c r="E1142" t="s">
        <v>497</v>
      </c>
      <c r="F1142" t="s">
        <v>2715</v>
      </c>
      <c r="G1142">
        <v>50000</v>
      </c>
      <c r="H1142">
        <v>1979</v>
      </c>
      <c r="I1142" t="s">
        <v>58</v>
      </c>
      <c r="J1142" t="s">
        <v>58</v>
      </c>
      <c r="K1142" t="s">
        <v>58</v>
      </c>
      <c r="L1142" t="s">
        <v>58</v>
      </c>
      <c r="M1142" t="s">
        <v>58</v>
      </c>
      <c r="N1142" t="s">
        <v>61</v>
      </c>
      <c r="Q1142" t="s">
        <v>58</v>
      </c>
      <c r="R1142" s="11" t="str">
        <f>HYPERLINK("\\imagefiles.bcgov\imagery\scanned_maps\moe_terrain_maps\Scanned_T_maps_all\I16\I16-3237","\\imagefiles.bcgov\imagery\scanned_maps\moe_terrain_maps\Scanned_T_maps_all\I16\I16-3237")</f>
        <v>\\imagefiles.bcgov\imagery\scanned_maps\moe_terrain_maps\Scanned_T_maps_all\I16\I16-3237</v>
      </c>
      <c r="S1142" t="s">
        <v>62</v>
      </c>
      <c r="T1142" s="11" t="str">
        <f>HYPERLINK("http://www.env.gov.bc.ca/esd/distdata/ecosystems/TEI_Scanned_Maps/I16/I16-3237","http://www.env.gov.bc.ca/esd/distdata/ecosystems/TEI_Scanned_Maps/I16/I16-3237")</f>
        <v>http://www.env.gov.bc.ca/esd/distdata/ecosystems/TEI_Scanned_Maps/I16/I16-3237</v>
      </c>
      <c r="U1142" t="s">
        <v>58</v>
      </c>
      <c r="V1142" t="s">
        <v>58</v>
      </c>
      <c r="W1142" t="s">
        <v>58</v>
      </c>
      <c r="X1142" t="s">
        <v>58</v>
      </c>
      <c r="Y1142" t="s">
        <v>58</v>
      </c>
      <c r="Z1142" t="s">
        <v>58</v>
      </c>
      <c r="AA1142" t="s">
        <v>58</v>
      </c>
      <c r="AC1142" t="s">
        <v>58</v>
      </c>
      <c r="AE1142" t="s">
        <v>58</v>
      </c>
      <c r="AG1142" t="s">
        <v>63</v>
      </c>
      <c r="AH1142" s="11" t="str">
        <f t="shared" si="20"/>
        <v>mailto: soilterrain@victoria1.gov.bc.ca</v>
      </c>
    </row>
    <row r="1143" spans="1:34">
      <c r="A1143" t="s">
        <v>2716</v>
      </c>
      <c r="B1143" t="s">
        <v>56</v>
      </c>
      <c r="C1143" s="10" t="s">
        <v>1863</v>
      </c>
      <c r="D1143" t="s">
        <v>58</v>
      </c>
      <c r="E1143" t="s">
        <v>497</v>
      </c>
      <c r="F1143" t="s">
        <v>2717</v>
      </c>
      <c r="G1143">
        <v>50000</v>
      </c>
      <c r="H1143">
        <v>1979</v>
      </c>
      <c r="I1143" t="s">
        <v>58</v>
      </c>
      <c r="J1143" t="s">
        <v>58</v>
      </c>
      <c r="K1143" t="s">
        <v>58</v>
      </c>
      <c r="L1143" t="s">
        <v>58</v>
      </c>
      <c r="M1143" t="s">
        <v>58</v>
      </c>
      <c r="N1143" t="s">
        <v>61</v>
      </c>
      <c r="Q1143" t="s">
        <v>58</v>
      </c>
      <c r="R1143" s="11" t="str">
        <f>HYPERLINK("\\imagefiles.bcgov\imagery\scanned_maps\moe_terrain_maps\Scanned_T_maps_all\I16\I16-3238","\\imagefiles.bcgov\imagery\scanned_maps\moe_terrain_maps\Scanned_T_maps_all\I16\I16-3238")</f>
        <v>\\imagefiles.bcgov\imagery\scanned_maps\moe_terrain_maps\Scanned_T_maps_all\I16\I16-3238</v>
      </c>
      <c r="S1143" t="s">
        <v>62</v>
      </c>
      <c r="T1143" s="11" t="str">
        <f>HYPERLINK("http://www.env.gov.bc.ca/esd/distdata/ecosystems/TEI_Scanned_Maps/I16/I16-3238","http://www.env.gov.bc.ca/esd/distdata/ecosystems/TEI_Scanned_Maps/I16/I16-3238")</f>
        <v>http://www.env.gov.bc.ca/esd/distdata/ecosystems/TEI_Scanned_Maps/I16/I16-3238</v>
      </c>
      <c r="U1143" t="s">
        <v>58</v>
      </c>
      <c r="V1143" t="s">
        <v>58</v>
      </c>
      <c r="W1143" t="s">
        <v>58</v>
      </c>
      <c r="X1143" t="s">
        <v>58</v>
      </c>
      <c r="Y1143" t="s">
        <v>58</v>
      </c>
      <c r="Z1143" t="s">
        <v>58</v>
      </c>
      <c r="AA1143" t="s">
        <v>58</v>
      </c>
      <c r="AC1143" t="s">
        <v>58</v>
      </c>
      <c r="AE1143" t="s">
        <v>58</v>
      </c>
      <c r="AG1143" t="s">
        <v>63</v>
      </c>
      <c r="AH1143" s="11" t="str">
        <f t="shared" si="20"/>
        <v>mailto: soilterrain@victoria1.gov.bc.ca</v>
      </c>
    </row>
    <row r="1144" spans="1:34">
      <c r="A1144" t="s">
        <v>2718</v>
      </c>
      <c r="B1144" t="s">
        <v>56</v>
      </c>
      <c r="C1144" s="10" t="s">
        <v>1866</v>
      </c>
      <c r="D1144" t="s">
        <v>58</v>
      </c>
      <c r="E1144" t="s">
        <v>497</v>
      </c>
      <c r="F1144" t="s">
        <v>2719</v>
      </c>
      <c r="G1144">
        <v>50000</v>
      </c>
      <c r="H1144">
        <v>1979</v>
      </c>
      <c r="I1144" t="s">
        <v>58</v>
      </c>
      <c r="J1144" t="s">
        <v>58</v>
      </c>
      <c r="K1144" t="s">
        <v>58</v>
      </c>
      <c r="L1144" t="s">
        <v>58</v>
      </c>
      <c r="M1144" t="s">
        <v>58</v>
      </c>
      <c r="N1144" t="s">
        <v>61</v>
      </c>
      <c r="Q1144" t="s">
        <v>58</v>
      </c>
      <c r="R1144" s="11" t="str">
        <f>HYPERLINK("\\imagefiles.bcgov\imagery\scanned_maps\moe_terrain_maps\Scanned_T_maps_all\I16\I16-3239","\\imagefiles.bcgov\imagery\scanned_maps\moe_terrain_maps\Scanned_T_maps_all\I16\I16-3239")</f>
        <v>\\imagefiles.bcgov\imagery\scanned_maps\moe_terrain_maps\Scanned_T_maps_all\I16\I16-3239</v>
      </c>
      <c r="S1144" t="s">
        <v>62</v>
      </c>
      <c r="T1144" s="11" t="str">
        <f>HYPERLINK("http://www.env.gov.bc.ca/esd/distdata/ecosystems/TEI_Scanned_Maps/I16/I16-3239","http://www.env.gov.bc.ca/esd/distdata/ecosystems/TEI_Scanned_Maps/I16/I16-3239")</f>
        <v>http://www.env.gov.bc.ca/esd/distdata/ecosystems/TEI_Scanned_Maps/I16/I16-3239</v>
      </c>
      <c r="U1144" t="s">
        <v>58</v>
      </c>
      <c r="V1144" t="s">
        <v>58</v>
      </c>
      <c r="W1144" t="s">
        <v>58</v>
      </c>
      <c r="X1144" t="s">
        <v>58</v>
      </c>
      <c r="Y1144" t="s">
        <v>58</v>
      </c>
      <c r="Z1144" t="s">
        <v>58</v>
      </c>
      <c r="AA1144" t="s">
        <v>58</v>
      </c>
      <c r="AC1144" t="s">
        <v>58</v>
      </c>
      <c r="AE1144" t="s">
        <v>58</v>
      </c>
      <c r="AG1144" t="s">
        <v>63</v>
      </c>
      <c r="AH1144" s="11" t="str">
        <f t="shared" si="20"/>
        <v>mailto: soilterrain@victoria1.gov.bc.ca</v>
      </c>
    </row>
    <row r="1145" spans="1:34">
      <c r="A1145" t="s">
        <v>2720</v>
      </c>
      <c r="B1145" t="s">
        <v>56</v>
      </c>
      <c r="C1145" s="10" t="s">
        <v>2018</v>
      </c>
      <c r="D1145" t="s">
        <v>58</v>
      </c>
      <c r="E1145" t="s">
        <v>497</v>
      </c>
      <c r="F1145" t="s">
        <v>2721</v>
      </c>
      <c r="G1145">
        <v>50000</v>
      </c>
      <c r="H1145">
        <v>1979</v>
      </c>
      <c r="I1145" t="s">
        <v>58</v>
      </c>
      <c r="J1145" t="s">
        <v>58</v>
      </c>
      <c r="K1145" t="s">
        <v>58</v>
      </c>
      <c r="L1145" t="s">
        <v>58</v>
      </c>
      <c r="M1145" t="s">
        <v>58</v>
      </c>
      <c r="N1145" t="s">
        <v>61</v>
      </c>
      <c r="Q1145" t="s">
        <v>58</v>
      </c>
      <c r="R1145" s="11" t="str">
        <f>HYPERLINK("\\imagefiles.bcgov\imagery\scanned_maps\moe_terrain_maps\Scanned_T_maps_all\I16\I16-3240","\\imagefiles.bcgov\imagery\scanned_maps\moe_terrain_maps\Scanned_T_maps_all\I16\I16-3240")</f>
        <v>\\imagefiles.bcgov\imagery\scanned_maps\moe_terrain_maps\Scanned_T_maps_all\I16\I16-3240</v>
      </c>
      <c r="S1145" t="s">
        <v>62</v>
      </c>
      <c r="T1145" s="11" t="str">
        <f>HYPERLINK("http://www.env.gov.bc.ca/esd/distdata/ecosystems/TEI_Scanned_Maps/I16/I16-3240","http://www.env.gov.bc.ca/esd/distdata/ecosystems/TEI_Scanned_Maps/I16/I16-3240")</f>
        <v>http://www.env.gov.bc.ca/esd/distdata/ecosystems/TEI_Scanned_Maps/I16/I16-3240</v>
      </c>
      <c r="U1145" t="s">
        <v>58</v>
      </c>
      <c r="V1145" t="s">
        <v>58</v>
      </c>
      <c r="W1145" t="s">
        <v>58</v>
      </c>
      <c r="X1145" t="s">
        <v>58</v>
      </c>
      <c r="Y1145" t="s">
        <v>58</v>
      </c>
      <c r="Z1145" t="s">
        <v>58</v>
      </c>
      <c r="AA1145" t="s">
        <v>58</v>
      </c>
      <c r="AC1145" t="s">
        <v>58</v>
      </c>
      <c r="AE1145" t="s">
        <v>58</v>
      </c>
      <c r="AG1145" t="s">
        <v>63</v>
      </c>
      <c r="AH1145" s="11" t="str">
        <f t="shared" si="20"/>
        <v>mailto: soilterrain@victoria1.gov.bc.ca</v>
      </c>
    </row>
    <row r="1146" spans="1:34">
      <c r="A1146" t="s">
        <v>2722</v>
      </c>
      <c r="B1146" t="s">
        <v>56</v>
      </c>
      <c r="C1146" s="10" t="s">
        <v>2480</v>
      </c>
      <c r="D1146" t="s">
        <v>58</v>
      </c>
      <c r="E1146" t="s">
        <v>497</v>
      </c>
      <c r="F1146" t="s">
        <v>2723</v>
      </c>
      <c r="G1146">
        <v>50000</v>
      </c>
      <c r="H1146">
        <v>1979</v>
      </c>
      <c r="I1146" t="s">
        <v>58</v>
      </c>
      <c r="J1146" t="s">
        <v>58</v>
      </c>
      <c r="K1146" t="s">
        <v>58</v>
      </c>
      <c r="L1146" t="s">
        <v>58</v>
      </c>
      <c r="M1146" t="s">
        <v>58</v>
      </c>
      <c r="N1146" t="s">
        <v>61</v>
      </c>
      <c r="Q1146" t="s">
        <v>58</v>
      </c>
      <c r="R1146" s="11" t="str">
        <f>HYPERLINK("\\imagefiles.bcgov\imagery\scanned_maps\moe_terrain_maps\Scanned_T_maps_all\I17\I17-3244","\\imagefiles.bcgov\imagery\scanned_maps\moe_terrain_maps\Scanned_T_maps_all\I17\I17-3244")</f>
        <v>\\imagefiles.bcgov\imagery\scanned_maps\moe_terrain_maps\Scanned_T_maps_all\I17\I17-3244</v>
      </c>
      <c r="S1146" t="s">
        <v>62</v>
      </c>
      <c r="T1146" s="11" t="str">
        <f>HYPERLINK("http://www.env.gov.bc.ca/esd/distdata/ecosystems/TEI_Scanned_Maps/I17/I17-3244","http://www.env.gov.bc.ca/esd/distdata/ecosystems/TEI_Scanned_Maps/I17/I17-3244")</f>
        <v>http://www.env.gov.bc.ca/esd/distdata/ecosystems/TEI_Scanned_Maps/I17/I17-3244</v>
      </c>
      <c r="U1146" t="s">
        <v>58</v>
      </c>
      <c r="V1146" t="s">
        <v>58</v>
      </c>
      <c r="W1146" t="s">
        <v>58</v>
      </c>
      <c r="X1146" t="s">
        <v>58</v>
      </c>
      <c r="Y1146" t="s">
        <v>58</v>
      </c>
      <c r="Z1146" t="s">
        <v>58</v>
      </c>
      <c r="AA1146" t="s">
        <v>58</v>
      </c>
      <c r="AC1146" t="s">
        <v>58</v>
      </c>
      <c r="AE1146" t="s">
        <v>58</v>
      </c>
      <c r="AG1146" t="s">
        <v>63</v>
      </c>
      <c r="AH1146" s="11" t="str">
        <f t="shared" si="20"/>
        <v>mailto: soilterrain@victoria1.gov.bc.ca</v>
      </c>
    </row>
    <row r="1147" spans="1:34">
      <c r="A1147" t="s">
        <v>2724</v>
      </c>
      <c r="B1147" t="s">
        <v>56</v>
      </c>
      <c r="C1147" s="10" t="s">
        <v>1501</v>
      </c>
      <c r="D1147" t="s">
        <v>58</v>
      </c>
      <c r="E1147" t="s">
        <v>497</v>
      </c>
      <c r="F1147" t="s">
        <v>2725</v>
      </c>
      <c r="G1147">
        <v>50000</v>
      </c>
      <c r="H1147">
        <v>1979</v>
      </c>
      <c r="I1147" t="s">
        <v>58</v>
      </c>
      <c r="J1147" t="s">
        <v>58</v>
      </c>
      <c r="K1147" t="s">
        <v>58</v>
      </c>
      <c r="L1147" t="s">
        <v>58</v>
      </c>
      <c r="M1147" t="s">
        <v>58</v>
      </c>
      <c r="N1147" t="s">
        <v>61</v>
      </c>
      <c r="Q1147" t="s">
        <v>58</v>
      </c>
      <c r="R1147" s="11" t="str">
        <f>HYPERLINK("\\imagefiles.bcgov\imagery\scanned_maps\moe_terrain_maps\Scanned_T_maps_all\I17\I17-3245","\\imagefiles.bcgov\imagery\scanned_maps\moe_terrain_maps\Scanned_T_maps_all\I17\I17-3245")</f>
        <v>\\imagefiles.bcgov\imagery\scanned_maps\moe_terrain_maps\Scanned_T_maps_all\I17\I17-3245</v>
      </c>
      <c r="S1147" t="s">
        <v>62</v>
      </c>
      <c r="T1147" s="11" t="str">
        <f>HYPERLINK("http://www.env.gov.bc.ca/esd/distdata/ecosystems/TEI_Scanned_Maps/I17/I17-3245","http://www.env.gov.bc.ca/esd/distdata/ecosystems/TEI_Scanned_Maps/I17/I17-3245")</f>
        <v>http://www.env.gov.bc.ca/esd/distdata/ecosystems/TEI_Scanned_Maps/I17/I17-3245</v>
      </c>
      <c r="U1147" t="s">
        <v>58</v>
      </c>
      <c r="V1147" t="s">
        <v>58</v>
      </c>
      <c r="W1147" t="s">
        <v>58</v>
      </c>
      <c r="X1147" t="s">
        <v>58</v>
      </c>
      <c r="Y1147" t="s">
        <v>58</v>
      </c>
      <c r="Z1147" t="s">
        <v>58</v>
      </c>
      <c r="AA1147" t="s">
        <v>58</v>
      </c>
      <c r="AC1147" t="s">
        <v>58</v>
      </c>
      <c r="AE1147" t="s">
        <v>58</v>
      </c>
      <c r="AG1147" t="s">
        <v>63</v>
      </c>
      <c r="AH1147" s="11" t="str">
        <f t="shared" si="20"/>
        <v>mailto: soilterrain@victoria1.gov.bc.ca</v>
      </c>
    </row>
    <row r="1148" spans="1:34">
      <c r="A1148" t="s">
        <v>2726</v>
      </c>
      <c r="B1148" t="s">
        <v>56</v>
      </c>
      <c r="C1148" s="10" t="s">
        <v>1503</v>
      </c>
      <c r="D1148" t="s">
        <v>58</v>
      </c>
      <c r="E1148" t="s">
        <v>497</v>
      </c>
      <c r="F1148" t="s">
        <v>2727</v>
      </c>
      <c r="G1148">
        <v>50000</v>
      </c>
      <c r="H1148">
        <v>1979</v>
      </c>
      <c r="I1148" t="s">
        <v>58</v>
      </c>
      <c r="J1148" t="s">
        <v>58</v>
      </c>
      <c r="K1148" t="s">
        <v>58</v>
      </c>
      <c r="L1148" t="s">
        <v>58</v>
      </c>
      <c r="M1148" t="s">
        <v>58</v>
      </c>
      <c r="N1148" t="s">
        <v>61</v>
      </c>
      <c r="Q1148" t="s">
        <v>58</v>
      </c>
      <c r="R1148" s="11" t="str">
        <f>HYPERLINK("\\imagefiles.bcgov\imagery\scanned_maps\moe_terrain_maps\Scanned_T_maps_all\I17\I17-3246","\\imagefiles.bcgov\imagery\scanned_maps\moe_terrain_maps\Scanned_T_maps_all\I17\I17-3246")</f>
        <v>\\imagefiles.bcgov\imagery\scanned_maps\moe_terrain_maps\Scanned_T_maps_all\I17\I17-3246</v>
      </c>
      <c r="S1148" t="s">
        <v>62</v>
      </c>
      <c r="T1148" s="11" t="str">
        <f>HYPERLINK("http://www.env.gov.bc.ca/esd/distdata/ecosystems/TEI_Scanned_Maps/I17/I17-3246","http://www.env.gov.bc.ca/esd/distdata/ecosystems/TEI_Scanned_Maps/I17/I17-3246")</f>
        <v>http://www.env.gov.bc.ca/esd/distdata/ecosystems/TEI_Scanned_Maps/I17/I17-3246</v>
      </c>
      <c r="U1148" t="s">
        <v>58</v>
      </c>
      <c r="V1148" t="s">
        <v>58</v>
      </c>
      <c r="W1148" t="s">
        <v>58</v>
      </c>
      <c r="X1148" t="s">
        <v>58</v>
      </c>
      <c r="Y1148" t="s">
        <v>58</v>
      </c>
      <c r="Z1148" t="s">
        <v>58</v>
      </c>
      <c r="AA1148" t="s">
        <v>58</v>
      </c>
      <c r="AC1148" t="s">
        <v>58</v>
      </c>
      <c r="AE1148" t="s">
        <v>58</v>
      </c>
      <c r="AG1148" t="s">
        <v>63</v>
      </c>
      <c r="AH1148" s="11" t="str">
        <f t="shared" si="20"/>
        <v>mailto: soilterrain@victoria1.gov.bc.ca</v>
      </c>
    </row>
    <row r="1149" spans="1:34">
      <c r="A1149" t="s">
        <v>2728</v>
      </c>
      <c r="B1149" t="s">
        <v>56</v>
      </c>
      <c r="C1149" s="10" t="s">
        <v>1519</v>
      </c>
      <c r="D1149" t="s">
        <v>58</v>
      </c>
      <c r="E1149" t="s">
        <v>497</v>
      </c>
      <c r="F1149" t="s">
        <v>2729</v>
      </c>
      <c r="G1149">
        <v>50000</v>
      </c>
      <c r="H1149">
        <v>1979</v>
      </c>
      <c r="I1149" t="s">
        <v>58</v>
      </c>
      <c r="J1149" t="s">
        <v>58</v>
      </c>
      <c r="K1149" t="s">
        <v>58</v>
      </c>
      <c r="L1149" t="s">
        <v>58</v>
      </c>
      <c r="M1149" t="s">
        <v>58</v>
      </c>
      <c r="N1149" t="s">
        <v>61</v>
      </c>
      <c r="Q1149" t="s">
        <v>58</v>
      </c>
      <c r="R1149" s="11" t="str">
        <f>HYPERLINK("\\imagefiles.bcgov\imagery\scanned_maps\moe_terrain_maps\Scanned_T_maps_all\I17\I17-3247","\\imagefiles.bcgov\imagery\scanned_maps\moe_terrain_maps\Scanned_T_maps_all\I17\I17-3247")</f>
        <v>\\imagefiles.bcgov\imagery\scanned_maps\moe_terrain_maps\Scanned_T_maps_all\I17\I17-3247</v>
      </c>
      <c r="S1149" t="s">
        <v>62</v>
      </c>
      <c r="T1149" s="11" t="str">
        <f>HYPERLINK("http://www.env.gov.bc.ca/esd/distdata/ecosystems/TEI_Scanned_Maps/I17/I17-3247","http://www.env.gov.bc.ca/esd/distdata/ecosystems/TEI_Scanned_Maps/I17/I17-3247")</f>
        <v>http://www.env.gov.bc.ca/esd/distdata/ecosystems/TEI_Scanned_Maps/I17/I17-3247</v>
      </c>
      <c r="U1149" t="s">
        <v>58</v>
      </c>
      <c r="V1149" t="s">
        <v>58</v>
      </c>
      <c r="W1149" t="s">
        <v>58</v>
      </c>
      <c r="X1149" t="s">
        <v>58</v>
      </c>
      <c r="Y1149" t="s">
        <v>58</v>
      </c>
      <c r="Z1149" t="s">
        <v>58</v>
      </c>
      <c r="AA1149" t="s">
        <v>58</v>
      </c>
      <c r="AC1149" t="s">
        <v>58</v>
      </c>
      <c r="AE1149" t="s">
        <v>58</v>
      </c>
      <c r="AG1149" t="s">
        <v>63</v>
      </c>
      <c r="AH1149" s="11" t="str">
        <f t="shared" si="20"/>
        <v>mailto: soilterrain@victoria1.gov.bc.ca</v>
      </c>
    </row>
    <row r="1150" spans="1:34">
      <c r="A1150" t="s">
        <v>2730</v>
      </c>
      <c r="B1150" t="s">
        <v>56</v>
      </c>
      <c r="C1150" s="10" t="s">
        <v>1526</v>
      </c>
      <c r="D1150" t="s">
        <v>58</v>
      </c>
      <c r="E1150" t="s">
        <v>497</v>
      </c>
      <c r="F1150" t="s">
        <v>2731</v>
      </c>
      <c r="G1150">
        <v>50000</v>
      </c>
      <c r="H1150">
        <v>1979</v>
      </c>
      <c r="I1150" t="s">
        <v>58</v>
      </c>
      <c r="J1150" t="s">
        <v>58</v>
      </c>
      <c r="K1150" t="s">
        <v>58</v>
      </c>
      <c r="L1150" t="s">
        <v>58</v>
      </c>
      <c r="M1150" t="s">
        <v>58</v>
      </c>
      <c r="N1150" t="s">
        <v>61</v>
      </c>
      <c r="Q1150" t="s">
        <v>58</v>
      </c>
      <c r="R1150" s="11" t="str">
        <f>HYPERLINK("\\imagefiles.bcgov\imagery\scanned_maps\moe_terrain_maps\Scanned_T_maps_all\I17\I17-3248","\\imagefiles.bcgov\imagery\scanned_maps\moe_terrain_maps\Scanned_T_maps_all\I17\I17-3248")</f>
        <v>\\imagefiles.bcgov\imagery\scanned_maps\moe_terrain_maps\Scanned_T_maps_all\I17\I17-3248</v>
      </c>
      <c r="S1150" t="s">
        <v>62</v>
      </c>
      <c r="T1150" s="11" t="str">
        <f>HYPERLINK("http://www.env.gov.bc.ca/esd/distdata/ecosystems/TEI_Scanned_Maps/I17/I17-3248","http://www.env.gov.bc.ca/esd/distdata/ecosystems/TEI_Scanned_Maps/I17/I17-3248")</f>
        <v>http://www.env.gov.bc.ca/esd/distdata/ecosystems/TEI_Scanned_Maps/I17/I17-3248</v>
      </c>
      <c r="U1150" t="s">
        <v>58</v>
      </c>
      <c r="V1150" t="s">
        <v>58</v>
      </c>
      <c r="W1150" t="s">
        <v>58</v>
      </c>
      <c r="X1150" t="s">
        <v>58</v>
      </c>
      <c r="Y1150" t="s">
        <v>58</v>
      </c>
      <c r="Z1150" t="s">
        <v>58</v>
      </c>
      <c r="AA1150" t="s">
        <v>58</v>
      </c>
      <c r="AC1150" t="s">
        <v>58</v>
      </c>
      <c r="AE1150" t="s">
        <v>58</v>
      </c>
      <c r="AG1150" t="s">
        <v>63</v>
      </c>
      <c r="AH1150" s="11" t="str">
        <f t="shared" si="20"/>
        <v>mailto: soilterrain@victoria1.gov.bc.ca</v>
      </c>
    </row>
    <row r="1151" spans="1:34">
      <c r="A1151" t="s">
        <v>2732</v>
      </c>
      <c r="B1151" t="s">
        <v>56</v>
      </c>
      <c r="C1151" s="10" t="s">
        <v>1528</v>
      </c>
      <c r="D1151" t="s">
        <v>58</v>
      </c>
      <c r="E1151" t="s">
        <v>497</v>
      </c>
      <c r="F1151" t="s">
        <v>2733</v>
      </c>
      <c r="G1151">
        <v>50000</v>
      </c>
      <c r="H1151">
        <v>1979</v>
      </c>
      <c r="I1151" t="s">
        <v>58</v>
      </c>
      <c r="J1151" t="s">
        <v>58</v>
      </c>
      <c r="K1151" t="s">
        <v>58</v>
      </c>
      <c r="L1151" t="s">
        <v>58</v>
      </c>
      <c r="M1151" t="s">
        <v>58</v>
      </c>
      <c r="N1151" t="s">
        <v>61</v>
      </c>
      <c r="Q1151" t="s">
        <v>58</v>
      </c>
      <c r="R1151" s="11" t="str">
        <f>HYPERLINK("\\imagefiles.bcgov\imagery\scanned_maps\moe_terrain_maps\Scanned_T_maps_all\I17\I17-3249","\\imagefiles.bcgov\imagery\scanned_maps\moe_terrain_maps\Scanned_T_maps_all\I17\I17-3249")</f>
        <v>\\imagefiles.bcgov\imagery\scanned_maps\moe_terrain_maps\Scanned_T_maps_all\I17\I17-3249</v>
      </c>
      <c r="S1151" t="s">
        <v>62</v>
      </c>
      <c r="T1151" s="11" t="str">
        <f>HYPERLINK("http://www.env.gov.bc.ca/esd/distdata/ecosystems/TEI_Scanned_Maps/I17/I17-3249","http://www.env.gov.bc.ca/esd/distdata/ecosystems/TEI_Scanned_Maps/I17/I17-3249")</f>
        <v>http://www.env.gov.bc.ca/esd/distdata/ecosystems/TEI_Scanned_Maps/I17/I17-3249</v>
      </c>
      <c r="U1151" t="s">
        <v>58</v>
      </c>
      <c r="V1151" t="s">
        <v>58</v>
      </c>
      <c r="W1151" t="s">
        <v>58</v>
      </c>
      <c r="X1151" t="s">
        <v>58</v>
      </c>
      <c r="Y1151" t="s">
        <v>58</v>
      </c>
      <c r="Z1151" t="s">
        <v>58</v>
      </c>
      <c r="AA1151" t="s">
        <v>58</v>
      </c>
      <c r="AC1151" t="s">
        <v>58</v>
      </c>
      <c r="AE1151" t="s">
        <v>58</v>
      </c>
      <c r="AG1151" t="s">
        <v>63</v>
      </c>
      <c r="AH1151" s="11" t="str">
        <f t="shared" si="20"/>
        <v>mailto: soilterrain@victoria1.gov.bc.ca</v>
      </c>
    </row>
    <row r="1152" spans="1:34">
      <c r="A1152" t="s">
        <v>2734</v>
      </c>
      <c r="B1152" t="s">
        <v>56</v>
      </c>
      <c r="C1152" s="10" t="s">
        <v>1530</v>
      </c>
      <c r="D1152" t="s">
        <v>58</v>
      </c>
      <c r="E1152" t="s">
        <v>497</v>
      </c>
      <c r="F1152" t="s">
        <v>2735</v>
      </c>
      <c r="G1152">
        <v>50000</v>
      </c>
      <c r="H1152">
        <v>1979</v>
      </c>
      <c r="I1152" t="s">
        <v>58</v>
      </c>
      <c r="J1152" t="s">
        <v>58</v>
      </c>
      <c r="K1152" t="s">
        <v>58</v>
      </c>
      <c r="L1152" t="s">
        <v>58</v>
      </c>
      <c r="M1152" t="s">
        <v>58</v>
      </c>
      <c r="N1152" t="s">
        <v>61</v>
      </c>
      <c r="Q1152" t="s">
        <v>58</v>
      </c>
      <c r="R1152" s="11" t="str">
        <f>HYPERLINK("\\imagefiles.bcgov\imagery\scanned_maps\moe_terrain_maps\Scanned_T_maps_all\I17\I17-3250","\\imagefiles.bcgov\imagery\scanned_maps\moe_terrain_maps\Scanned_T_maps_all\I17\I17-3250")</f>
        <v>\\imagefiles.bcgov\imagery\scanned_maps\moe_terrain_maps\Scanned_T_maps_all\I17\I17-3250</v>
      </c>
      <c r="S1152" t="s">
        <v>62</v>
      </c>
      <c r="T1152" s="11" t="str">
        <f>HYPERLINK("http://www.env.gov.bc.ca/esd/distdata/ecosystems/TEI_Scanned_Maps/I17/I17-3250","http://www.env.gov.bc.ca/esd/distdata/ecosystems/TEI_Scanned_Maps/I17/I17-3250")</f>
        <v>http://www.env.gov.bc.ca/esd/distdata/ecosystems/TEI_Scanned_Maps/I17/I17-3250</v>
      </c>
      <c r="U1152" t="s">
        <v>58</v>
      </c>
      <c r="V1152" t="s">
        <v>58</v>
      </c>
      <c r="W1152" t="s">
        <v>58</v>
      </c>
      <c r="X1152" t="s">
        <v>58</v>
      </c>
      <c r="Y1152" t="s">
        <v>58</v>
      </c>
      <c r="Z1152" t="s">
        <v>58</v>
      </c>
      <c r="AA1152" t="s">
        <v>58</v>
      </c>
      <c r="AC1152" t="s">
        <v>58</v>
      </c>
      <c r="AE1152" t="s">
        <v>58</v>
      </c>
      <c r="AG1152" t="s">
        <v>63</v>
      </c>
      <c r="AH1152" s="11" t="str">
        <f t="shared" si="20"/>
        <v>mailto: soilterrain@victoria1.gov.bc.ca</v>
      </c>
    </row>
    <row r="1153" spans="1:34">
      <c r="A1153" t="s">
        <v>2736</v>
      </c>
      <c r="B1153" t="s">
        <v>56</v>
      </c>
      <c r="C1153" s="10" t="s">
        <v>1534</v>
      </c>
      <c r="D1153" t="s">
        <v>58</v>
      </c>
      <c r="E1153" t="s">
        <v>497</v>
      </c>
      <c r="F1153" t="s">
        <v>2737</v>
      </c>
      <c r="G1153">
        <v>50000</v>
      </c>
      <c r="H1153">
        <v>1979</v>
      </c>
      <c r="I1153" t="s">
        <v>58</v>
      </c>
      <c r="J1153" t="s">
        <v>58</v>
      </c>
      <c r="K1153" t="s">
        <v>58</v>
      </c>
      <c r="L1153" t="s">
        <v>58</v>
      </c>
      <c r="M1153" t="s">
        <v>58</v>
      </c>
      <c r="N1153" t="s">
        <v>61</v>
      </c>
      <c r="Q1153" t="s">
        <v>58</v>
      </c>
      <c r="R1153" s="11" t="str">
        <f>HYPERLINK("\\imagefiles.bcgov\imagery\scanned_maps\moe_terrain_maps\Scanned_T_maps_all\I17\I17-3251","\\imagefiles.bcgov\imagery\scanned_maps\moe_terrain_maps\Scanned_T_maps_all\I17\I17-3251")</f>
        <v>\\imagefiles.bcgov\imagery\scanned_maps\moe_terrain_maps\Scanned_T_maps_all\I17\I17-3251</v>
      </c>
      <c r="S1153" t="s">
        <v>62</v>
      </c>
      <c r="T1153" s="11" t="str">
        <f>HYPERLINK("http://www.env.gov.bc.ca/esd/distdata/ecosystems/TEI_Scanned_Maps/I17/I17-3251","http://www.env.gov.bc.ca/esd/distdata/ecosystems/TEI_Scanned_Maps/I17/I17-3251")</f>
        <v>http://www.env.gov.bc.ca/esd/distdata/ecosystems/TEI_Scanned_Maps/I17/I17-3251</v>
      </c>
      <c r="U1153" t="s">
        <v>58</v>
      </c>
      <c r="V1153" t="s">
        <v>58</v>
      </c>
      <c r="W1153" t="s">
        <v>58</v>
      </c>
      <c r="X1153" t="s">
        <v>58</v>
      </c>
      <c r="Y1153" t="s">
        <v>58</v>
      </c>
      <c r="Z1153" t="s">
        <v>58</v>
      </c>
      <c r="AA1153" t="s">
        <v>58</v>
      </c>
      <c r="AC1153" t="s">
        <v>58</v>
      </c>
      <c r="AE1153" t="s">
        <v>58</v>
      </c>
      <c r="AG1153" t="s">
        <v>63</v>
      </c>
      <c r="AH1153" s="11" t="str">
        <f t="shared" si="20"/>
        <v>mailto: soilterrain@victoria1.gov.bc.ca</v>
      </c>
    </row>
    <row r="1154" spans="1:34">
      <c r="A1154" t="s">
        <v>2738</v>
      </c>
      <c r="B1154" t="s">
        <v>56</v>
      </c>
      <c r="C1154" s="10" t="s">
        <v>1536</v>
      </c>
      <c r="D1154" t="s">
        <v>58</v>
      </c>
      <c r="E1154" t="s">
        <v>497</v>
      </c>
      <c r="F1154" t="s">
        <v>2739</v>
      </c>
      <c r="G1154">
        <v>50000</v>
      </c>
      <c r="H1154">
        <v>1979</v>
      </c>
      <c r="I1154" t="s">
        <v>58</v>
      </c>
      <c r="J1154" t="s">
        <v>58</v>
      </c>
      <c r="K1154" t="s">
        <v>58</v>
      </c>
      <c r="L1154" t="s">
        <v>58</v>
      </c>
      <c r="M1154" t="s">
        <v>58</v>
      </c>
      <c r="N1154" t="s">
        <v>61</v>
      </c>
      <c r="Q1154" t="s">
        <v>58</v>
      </c>
      <c r="R1154" s="11" t="str">
        <f>HYPERLINK("\\imagefiles.bcgov\imagery\scanned_maps\moe_terrain_maps\Scanned_T_maps_all\I17\I17-3252","\\imagefiles.bcgov\imagery\scanned_maps\moe_terrain_maps\Scanned_T_maps_all\I17\I17-3252")</f>
        <v>\\imagefiles.bcgov\imagery\scanned_maps\moe_terrain_maps\Scanned_T_maps_all\I17\I17-3252</v>
      </c>
      <c r="S1154" t="s">
        <v>62</v>
      </c>
      <c r="T1154" s="11" t="str">
        <f>HYPERLINK("http://www.env.gov.bc.ca/esd/distdata/ecosystems/TEI_Scanned_Maps/I17/I17-3252","http://www.env.gov.bc.ca/esd/distdata/ecosystems/TEI_Scanned_Maps/I17/I17-3252")</f>
        <v>http://www.env.gov.bc.ca/esd/distdata/ecosystems/TEI_Scanned_Maps/I17/I17-3252</v>
      </c>
      <c r="U1154" t="s">
        <v>58</v>
      </c>
      <c r="V1154" t="s">
        <v>58</v>
      </c>
      <c r="W1154" t="s">
        <v>58</v>
      </c>
      <c r="X1154" t="s">
        <v>58</v>
      </c>
      <c r="Y1154" t="s">
        <v>58</v>
      </c>
      <c r="Z1154" t="s">
        <v>58</v>
      </c>
      <c r="AA1154" t="s">
        <v>58</v>
      </c>
      <c r="AC1154" t="s">
        <v>58</v>
      </c>
      <c r="AE1154" t="s">
        <v>58</v>
      </c>
      <c r="AG1154" t="s">
        <v>63</v>
      </c>
      <c r="AH1154" s="11" t="str">
        <f t="shared" ref="AH1154:AH1217" si="21">HYPERLINK("mailto: soilterrain@victoria1.gov.bc.ca","mailto: soilterrain@victoria1.gov.bc.ca")</f>
        <v>mailto: soilterrain@victoria1.gov.bc.ca</v>
      </c>
    </row>
    <row r="1155" spans="1:34">
      <c r="A1155" t="s">
        <v>2740</v>
      </c>
      <c r="B1155" t="s">
        <v>56</v>
      </c>
      <c r="C1155" s="10" t="s">
        <v>1538</v>
      </c>
      <c r="D1155" t="s">
        <v>58</v>
      </c>
      <c r="E1155" t="s">
        <v>497</v>
      </c>
      <c r="F1155" t="s">
        <v>2741</v>
      </c>
      <c r="G1155">
        <v>50000</v>
      </c>
      <c r="H1155">
        <v>1979</v>
      </c>
      <c r="I1155" t="s">
        <v>58</v>
      </c>
      <c r="J1155" t="s">
        <v>58</v>
      </c>
      <c r="K1155" t="s">
        <v>58</v>
      </c>
      <c r="L1155" t="s">
        <v>58</v>
      </c>
      <c r="M1155" t="s">
        <v>58</v>
      </c>
      <c r="N1155" t="s">
        <v>61</v>
      </c>
      <c r="Q1155" t="s">
        <v>58</v>
      </c>
      <c r="R1155" s="11" t="str">
        <f>HYPERLINK("\\imagefiles.bcgov\imagery\scanned_maps\moe_terrain_maps\Scanned_T_maps_all\I17\I17-3253","\\imagefiles.bcgov\imagery\scanned_maps\moe_terrain_maps\Scanned_T_maps_all\I17\I17-3253")</f>
        <v>\\imagefiles.bcgov\imagery\scanned_maps\moe_terrain_maps\Scanned_T_maps_all\I17\I17-3253</v>
      </c>
      <c r="S1155" t="s">
        <v>62</v>
      </c>
      <c r="T1155" s="11" t="str">
        <f>HYPERLINK("http://www.env.gov.bc.ca/esd/distdata/ecosystems/TEI_Scanned_Maps/I17/I17-3253","http://www.env.gov.bc.ca/esd/distdata/ecosystems/TEI_Scanned_Maps/I17/I17-3253")</f>
        <v>http://www.env.gov.bc.ca/esd/distdata/ecosystems/TEI_Scanned_Maps/I17/I17-3253</v>
      </c>
      <c r="U1155" t="s">
        <v>58</v>
      </c>
      <c r="V1155" t="s">
        <v>58</v>
      </c>
      <c r="W1155" t="s">
        <v>58</v>
      </c>
      <c r="X1155" t="s">
        <v>58</v>
      </c>
      <c r="Y1155" t="s">
        <v>58</v>
      </c>
      <c r="Z1155" t="s">
        <v>58</v>
      </c>
      <c r="AA1155" t="s">
        <v>58</v>
      </c>
      <c r="AC1155" t="s">
        <v>58</v>
      </c>
      <c r="AE1155" t="s">
        <v>58</v>
      </c>
      <c r="AG1155" t="s">
        <v>63</v>
      </c>
      <c r="AH1155" s="11" t="str">
        <f t="shared" si="21"/>
        <v>mailto: soilterrain@victoria1.gov.bc.ca</v>
      </c>
    </row>
    <row r="1156" spans="1:34">
      <c r="A1156" t="s">
        <v>2742</v>
      </c>
      <c r="B1156" t="s">
        <v>56</v>
      </c>
      <c r="C1156" s="10" t="s">
        <v>1540</v>
      </c>
      <c r="D1156" t="s">
        <v>58</v>
      </c>
      <c r="E1156" t="s">
        <v>497</v>
      </c>
      <c r="F1156" t="s">
        <v>2743</v>
      </c>
      <c r="G1156">
        <v>50000</v>
      </c>
      <c r="H1156">
        <v>1979</v>
      </c>
      <c r="I1156" t="s">
        <v>58</v>
      </c>
      <c r="J1156" t="s">
        <v>58</v>
      </c>
      <c r="K1156" t="s">
        <v>58</v>
      </c>
      <c r="L1156" t="s">
        <v>58</v>
      </c>
      <c r="M1156" t="s">
        <v>58</v>
      </c>
      <c r="N1156" t="s">
        <v>61</v>
      </c>
      <c r="Q1156" t="s">
        <v>58</v>
      </c>
      <c r="R1156" s="11" t="str">
        <f>HYPERLINK("\\imagefiles.bcgov\imagery\scanned_maps\moe_terrain_maps\Scanned_T_maps_all\I17\I17-3254","\\imagefiles.bcgov\imagery\scanned_maps\moe_terrain_maps\Scanned_T_maps_all\I17\I17-3254")</f>
        <v>\\imagefiles.bcgov\imagery\scanned_maps\moe_terrain_maps\Scanned_T_maps_all\I17\I17-3254</v>
      </c>
      <c r="S1156" t="s">
        <v>62</v>
      </c>
      <c r="T1156" s="11" t="str">
        <f>HYPERLINK("http://www.env.gov.bc.ca/esd/distdata/ecosystems/TEI_Scanned_Maps/I17/I17-3254","http://www.env.gov.bc.ca/esd/distdata/ecosystems/TEI_Scanned_Maps/I17/I17-3254")</f>
        <v>http://www.env.gov.bc.ca/esd/distdata/ecosystems/TEI_Scanned_Maps/I17/I17-3254</v>
      </c>
      <c r="U1156" t="s">
        <v>58</v>
      </c>
      <c r="V1156" t="s">
        <v>58</v>
      </c>
      <c r="W1156" t="s">
        <v>58</v>
      </c>
      <c r="X1156" t="s">
        <v>58</v>
      </c>
      <c r="Y1156" t="s">
        <v>58</v>
      </c>
      <c r="Z1156" t="s">
        <v>58</v>
      </c>
      <c r="AA1156" t="s">
        <v>58</v>
      </c>
      <c r="AC1156" t="s">
        <v>58</v>
      </c>
      <c r="AE1156" t="s">
        <v>58</v>
      </c>
      <c r="AG1156" t="s">
        <v>63</v>
      </c>
      <c r="AH1156" s="11" t="str">
        <f t="shared" si="21"/>
        <v>mailto: soilterrain@victoria1.gov.bc.ca</v>
      </c>
    </row>
    <row r="1157" spans="1:34">
      <c r="A1157" t="s">
        <v>2744</v>
      </c>
      <c r="B1157" t="s">
        <v>56</v>
      </c>
      <c r="C1157" s="10" t="s">
        <v>1542</v>
      </c>
      <c r="D1157" t="s">
        <v>58</v>
      </c>
      <c r="E1157" t="s">
        <v>497</v>
      </c>
      <c r="F1157" t="s">
        <v>2745</v>
      </c>
      <c r="G1157">
        <v>50000</v>
      </c>
      <c r="H1157">
        <v>1979</v>
      </c>
      <c r="I1157" t="s">
        <v>58</v>
      </c>
      <c r="J1157" t="s">
        <v>58</v>
      </c>
      <c r="K1157" t="s">
        <v>58</v>
      </c>
      <c r="L1157" t="s">
        <v>58</v>
      </c>
      <c r="M1157" t="s">
        <v>58</v>
      </c>
      <c r="N1157" t="s">
        <v>61</v>
      </c>
      <c r="Q1157" t="s">
        <v>58</v>
      </c>
      <c r="R1157" s="11" t="str">
        <f>HYPERLINK("\\imagefiles.bcgov\imagery\scanned_maps\moe_terrain_maps\Scanned_T_maps_all\I17\I17-3255","\\imagefiles.bcgov\imagery\scanned_maps\moe_terrain_maps\Scanned_T_maps_all\I17\I17-3255")</f>
        <v>\\imagefiles.bcgov\imagery\scanned_maps\moe_terrain_maps\Scanned_T_maps_all\I17\I17-3255</v>
      </c>
      <c r="S1157" t="s">
        <v>62</v>
      </c>
      <c r="T1157" s="11" t="str">
        <f>HYPERLINK("http://www.env.gov.bc.ca/esd/distdata/ecosystems/TEI_Scanned_Maps/I17/I17-3255","http://www.env.gov.bc.ca/esd/distdata/ecosystems/TEI_Scanned_Maps/I17/I17-3255")</f>
        <v>http://www.env.gov.bc.ca/esd/distdata/ecosystems/TEI_Scanned_Maps/I17/I17-3255</v>
      </c>
      <c r="U1157" t="s">
        <v>58</v>
      </c>
      <c r="V1157" t="s">
        <v>58</v>
      </c>
      <c r="W1157" t="s">
        <v>58</v>
      </c>
      <c r="X1157" t="s">
        <v>58</v>
      </c>
      <c r="Y1157" t="s">
        <v>58</v>
      </c>
      <c r="Z1157" t="s">
        <v>58</v>
      </c>
      <c r="AA1157" t="s">
        <v>58</v>
      </c>
      <c r="AC1157" t="s">
        <v>58</v>
      </c>
      <c r="AE1157" t="s">
        <v>58</v>
      </c>
      <c r="AG1157" t="s">
        <v>63</v>
      </c>
      <c r="AH1157" s="11" t="str">
        <f t="shared" si="21"/>
        <v>mailto: soilterrain@victoria1.gov.bc.ca</v>
      </c>
    </row>
    <row r="1158" spans="1:34">
      <c r="A1158" t="s">
        <v>2746</v>
      </c>
      <c r="B1158" t="s">
        <v>56</v>
      </c>
      <c r="C1158" s="10" t="s">
        <v>311</v>
      </c>
      <c r="D1158" t="s">
        <v>58</v>
      </c>
      <c r="E1158" t="s">
        <v>497</v>
      </c>
      <c r="F1158" t="s">
        <v>2747</v>
      </c>
      <c r="G1158">
        <v>50000</v>
      </c>
      <c r="H1158">
        <v>1979</v>
      </c>
      <c r="I1158" t="s">
        <v>58</v>
      </c>
      <c r="J1158" t="s">
        <v>58</v>
      </c>
      <c r="K1158" t="s">
        <v>58</v>
      </c>
      <c r="L1158" t="s">
        <v>58</v>
      </c>
      <c r="M1158" t="s">
        <v>58</v>
      </c>
      <c r="N1158" t="s">
        <v>61</v>
      </c>
      <c r="Q1158" t="s">
        <v>58</v>
      </c>
      <c r="R1158" s="11" t="str">
        <f>HYPERLINK("\\imagefiles.bcgov\imagery\scanned_maps\moe_terrain_maps\Scanned_T_maps_all\I17\I17-3256","\\imagefiles.bcgov\imagery\scanned_maps\moe_terrain_maps\Scanned_T_maps_all\I17\I17-3256")</f>
        <v>\\imagefiles.bcgov\imagery\scanned_maps\moe_terrain_maps\Scanned_T_maps_all\I17\I17-3256</v>
      </c>
      <c r="S1158" t="s">
        <v>62</v>
      </c>
      <c r="T1158" s="11" t="str">
        <f>HYPERLINK("http://www.env.gov.bc.ca/esd/distdata/ecosystems/TEI_Scanned_Maps/I17/I17-3256","http://www.env.gov.bc.ca/esd/distdata/ecosystems/TEI_Scanned_Maps/I17/I17-3256")</f>
        <v>http://www.env.gov.bc.ca/esd/distdata/ecosystems/TEI_Scanned_Maps/I17/I17-3256</v>
      </c>
      <c r="U1158" t="s">
        <v>58</v>
      </c>
      <c r="V1158" t="s">
        <v>58</v>
      </c>
      <c r="W1158" t="s">
        <v>58</v>
      </c>
      <c r="X1158" t="s">
        <v>58</v>
      </c>
      <c r="Y1158" t="s">
        <v>58</v>
      </c>
      <c r="Z1158" t="s">
        <v>58</v>
      </c>
      <c r="AA1158" t="s">
        <v>58</v>
      </c>
      <c r="AC1158" t="s">
        <v>58</v>
      </c>
      <c r="AE1158" t="s">
        <v>58</v>
      </c>
      <c r="AG1158" t="s">
        <v>63</v>
      </c>
      <c r="AH1158" s="11" t="str">
        <f t="shared" si="21"/>
        <v>mailto: soilterrain@victoria1.gov.bc.ca</v>
      </c>
    </row>
    <row r="1159" spans="1:34">
      <c r="A1159" t="s">
        <v>2748</v>
      </c>
      <c r="B1159" t="s">
        <v>56</v>
      </c>
      <c r="C1159" s="10" t="s">
        <v>1546</v>
      </c>
      <c r="D1159" t="s">
        <v>58</v>
      </c>
      <c r="E1159" t="s">
        <v>497</v>
      </c>
      <c r="F1159" t="s">
        <v>2749</v>
      </c>
      <c r="G1159">
        <v>50000</v>
      </c>
      <c r="H1159">
        <v>1979</v>
      </c>
      <c r="I1159" t="s">
        <v>58</v>
      </c>
      <c r="J1159" t="s">
        <v>58</v>
      </c>
      <c r="K1159" t="s">
        <v>58</v>
      </c>
      <c r="L1159" t="s">
        <v>58</v>
      </c>
      <c r="M1159" t="s">
        <v>58</v>
      </c>
      <c r="N1159" t="s">
        <v>61</v>
      </c>
      <c r="Q1159" t="s">
        <v>58</v>
      </c>
      <c r="R1159" s="11" t="str">
        <f>HYPERLINK("\\imagefiles.bcgov\imagery\scanned_maps\moe_terrain_maps\Scanned_T_maps_all\I17\I17-3257","\\imagefiles.bcgov\imagery\scanned_maps\moe_terrain_maps\Scanned_T_maps_all\I17\I17-3257")</f>
        <v>\\imagefiles.bcgov\imagery\scanned_maps\moe_terrain_maps\Scanned_T_maps_all\I17\I17-3257</v>
      </c>
      <c r="S1159" t="s">
        <v>62</v>
      </c>
      <c r="T1159" s="11" t="str">
        <f>HYPERLINK("http://www.env.gov.bc.ca/esd/distdata/ecosystems/TEI_Scanned_Maps/I17/I17-3257","http://www.env.gov.bc.ca/esd/distdata/ecosystems/TEI_Scanned_Maps/I17/I17-3257")</f>
        <v>http://www.env.gov.bc.ca/esd/distdata/ecosystems/TEI_Scanned_Maps/I17/I17-3257</v>
      </c>
      <c r="U1159" t="s">
        <v>58</v>
      </c>
      <c r="V1159" t="s">
        <v>58</v>
      </c>
      <c r="W1159" t="s">
        <v>58</v>
      </c>
      <c r="X1159" t="s">
        <v>58</v>
      </c>
      <c r="Y1159" t="s">
        <v>58</v>
      </c>
      <c r="Z1159" t="s">
        <v>58</v>
      </c>
      <c r="AA1159" t="s">
        <v>58</v>
      </c>
      <c r="AC1159" t="s">
        <v>58</v>
      </c>
      <c r="AE1159" t="s">
        <v>58</v>
      </c>
      <c r="AG1159" t="s">
        <v>63</v>
      </c>
      <c r="AH1159" s="11" t="str">
        <f t="shared" si="21"/>
        <v>mailto: soilterrain@victoria1.gov.bc.ca</v>
      </c>
    </row>
    <row r="1160" spans="1:34">
      <c r="A1160" t="s">
        <v>2750</v>
      </c>
      <c r="B1160" t="s">
        <v>56</v>
      </c>
      <c r="C1160" s="10" t="s">
        <v>1548</v>
      </c>
      <c r="D1160" t="s">
        <v>58</v>
      </c>
      <c r="E1160" t="s">
        <v>497</v>
      </c>
      <c r="F1160" t="s">
        <v>2751</v>
      </c>
      <c r="G1160">
        <v>50000</v>
      </c>
      <c r="H1160">
        <v>1979</v>
      </c>
      <c r="I1160" t="s">
        <v>58</v>
      </c>
      <c r="J1160" t="s">
        <v>58</v>
      </c>
      <c r="K1160" t="s">
        <v>58</v>
      </c>
      <c r="L1160" t="s">
        <v>58</v>
      </c>
      <c r="M1160" t="s">
        <v>58</v>
      </c>
      <c r="N1160" t="s">
        <v>61</v>
      </c>
      <c r="Q1160" t="s">
        <v>58</v>
      </c>
      <c r="R1160" s="11" t="str">
        <f>HYPERLINK("\\imagefiles.bcgov\imagery\scanned_maps\moe_terrain_maps\Scanned_T_maps_all\I17\I17-3258","\\imagefiles.bcgov\imagery\scanned_maps\moe_terrain_maps\Scanned_T_maps_all\I17\I17-3258")</f>
        <v>\\imagefiles.bcgov\imagery\scanned_maps\moe_terrain_maps\Scanned_T_maps_all\I17\I17-3258</v>
      </c>
      <c r="S1160" t="s">
        <v>62</v>
      </c>
      <c r="T1160" s="11" t="str">
        <f>HYPERLINK("http://www.env.gov.bc.ca/esd/distdata/ecosystems/TEI_Scanned_Maps/I17/I17-3258","http://www.env.gov.bc.ca/esd/distdata/ecosystems/TEI_Scanned_Maps/I17/I17-3258")</f>
        <v>http://www.env.gov.bc.ca/esd/distdata/ecosystems/TEI_Scanned_Maps/I17/I17-3258</v>
      </c>
      <c r="U1160" t="s">
        <v>58</v>
      </c>
      <c r="V1160" t="s">
        <v>58</v>
      </c>
      <c r="W1160" t="s">
        <v>58</v>
      </c>
      <c r="X1160" t="s">
        <v>58</v>
      </c>
      <c r="Y1160" t="s">
        <v>58</v>
      </c>
      <c r="Z1160" t="s">
        <v>58</v>
      </c>
      <c r="AA1160" t="s">
        <v>58</v>
      </c>
      <c r="AC1160" t="s">
        <v>58</v>
      </c>
      <c r="AE1160" t="s">
        <v>58</v>
      </c>
      <c r="AG1160" t="s">
        <v>63</v>
      </c>
      <c r="AH1160" s="11" t="str">
        <f t="shared" si="21"/>
        <v>mailto: soilterrain@victoria1.gov.bc.ca</v>
      </c>
    </row>
    <row r="1161" spans="1:34">
      <c r="A1161" t="s">
        <v>2752</v>
      </c>
      <c r="B1161" t="s">
        <v>56</v>
      </c>
      <c r="C1161" s="10" t="s">
        <v>1550</v>
      </c>
      <c r="D1161" t="s">
        <v>58</v>
      </c>
      <c r="E1161" t="s">
        <v>497</v>
      </c>
      <c r="F1161" t="s">
        <v>2753</v>
      </c>
      <c r="G1161">
        <v>50000</v>
      </c>
      <c r="H1161">
        <v>1979</v>
      </c>
      <c r="I1161" t="s">
        <v>58</v>
      </c>
      <c r="J1161" t="s">
        <v>58</v>
      </c>
      <c r="K1161" t="s">
        <v>58</v>
      </c>
      <c r="L1161" t="s">
        <v>58</v>
      </c>
      <c r="M1161" t="s">
        <v>58</v>
      </c>
      <c r="N1161" t="s">
        <v>61</v>
      </c>
      <c r="Q1161" t="s">
        <v>58</v>
      </c>
      <c r="R1161" s="11" t="str">
        <f>HYPERLINK("\\imagefiles.bcgov\imagery\scanned_maps\moe_terrain_maps\Scanned_T_maps_all\I17\I17-3259","\\imagefiles.bcgov\imagery\scanned_maps\moe_terrain_maps\Scanned_T_maps_all\I17\I17-3259")</f>
        <v>\\imagefiles.bcgov\imagery\scanned_maps\moe_terrain_maps\Scanned_T_maps_all\I17\I17-3259</v>
      </c>
      <c r="S1161" t="s">
        <v>62</v>
      </c>
      <c r="T1161" s="11" t="str">
        <f>HYPERLINK("http://www.env.gov.bc.ca/esd/distdata/ecosystems/TEI_Scanned_Maps/I17/I17-3259","http://www.env.gov.bc.ca/esd/distdata/ecosystems/TEI_Scanned_Maps/I17/I17-3259")</f>
        <v>http://www.env.gov.bc.ca/esd/distdata/ecosystems/TEI_Scanned_Maps/I17/I17-3259</v>
      </c>
      <c r="U1161" t="s">
        <v>58</v>
      </c>
      <c r="V1161" t="s">
        <v>58</v>
      </c>
      <c r="W1161" t="s">
        <v>58</v>
      </c>
      <c r="X1161" t="s">
        <v>58</v>
      </c>
      <c r="Y1161" t="s">
        <v>58</v>
      </c>
      <c r="Z1161" t="s">
        <v>58</v>
      </c>
      <c r="AA1161" t="s">
        <v>58</v>
      </c>
      <c r="AC1161" t="s">
        <v>58</v>
      </c>
      <c r="AE1161" t="s">
        <v>58</v>
      </c>
      <c r="AG1161" t="s">
        <v>63</v>
      </c>
      <c r="AH1161" s="11" t="str">
        <f t="shared" si="21"/>
        <v>mailto: soilterrain@victoria1.gov.bc.ca</v>
      </c>
    </row>
    <row r="1162" spans="1:34">
      <c r="A1162" t="s">
        <v>2754</v>
      </c>
      <c r="B1162" t="s">
        <v>56</v>
      </c>
      <c r="C1162" s="10" t="s">
        <v>1552</v>
      </c>
      <c r="D1162" t="s">
        <v>58</v>
      </c>
      <c r="E1162" t="s">
        <v>497</v>
      </c>
      <c r="F1162" t="s">
        <v>2755</v>
      </c>
      <c r="G1162">
        <v>50000</v>
      </c>
      <c r="H1162">
        <v>1979</v>
      </c>
      <c r="I1162" t="s">
        <v>58</v>
      </c>
      <c r="J1162" t="s">
        <v>58</v>
      </c>
      <c r="K1162" t="s">
        <v>58</v>
      </c>
      <c r="L1162" t="s">
        <v>58</v>
      </c>
      <c r="M1162" t="s">
        <v>58</v>
      </c>
      <c r="N1162" t="s">
        <v>61</v>
      </c>
      <c r="Q1162" t="s">
        <v>58</v>
      </c>
      <c r="R1162" s="11" t="str">
        <f>HYPERLINK("\\imagefiles.bcgov\imagery\scanned_maps\moe_terrain_maps\Scanned_T_maps_all\I17\I17-3260","\\imagefiles.bcgov\imagery\scanned_maps\moe_terrain_maps\Scanned_T_maps_all\I17\I17-3260")</f>
        <v>\\imagefiles.bcgov\imagery\scanned_maps\moe_terrain_maps\Scanned_T_maps_all\I17\I17-3260</v>
      </c>
      <c r="S1162" t="s">
        <v>62</v>
      </c>
      <c r="T1162" s="11" t="str">
        <f>HYPERLINK("http://www.env.gov.bc.ca/esd/distdata/ecosystems/TEI_Scanned_Maps/I17/I17-3260","http://www.env.gov.bc.ca/esd/distdata/ecosystems/TEI_Scanned_Maps/I17/I17-3260")</f>
        <v>http://www.env.gov.bc.ca/esd/distdata/ecosystems/TEI_Scanned_Maps/I17/I17-3260</v>
      </c>
      <c r="U1162" t="s">
        <v>58</v>
      </c>
      <c r="V1162" t="s">
        <v>58</v>
      </c>
      <c r="W1162" t="s">
        <v>58</v>
      </c>
      <c r="X1162" t="s">
        <v>58</v>
      </c>
      <c r="Y1162" t="s">
        <v>58</v>
      </c>
      <c r="Z1162" t="s">
        <v>58</v>
      </c>
      <c r="AA1162" t="s">
        <v>58</v>
      </c>
      <c r="AC1162" t="s">
        <v>58</v>
      </c>
      <c r="AE1162" t="s">
        <v>58</v>
      </c>
      <c r="AG1162" t="s">
        <v>63</v>
      </c>
      <c r="AH1162" s="11" t="str">
        <f t="shared" si="21"/>
        <v>mailto: soilterrain@victoria1.gov.bc.ca</v>
      </c>
    </row>
    <row r="1163" spans="1:34">
      <c r="A1163" t="s">
        <v>2756</v>
      </c>
      <c r="B1163" t="s">
        <v>56</v>
      </c>
      <c r="C1163" s="10" t="s">
        <v>945</v>
      </c>
      <c r="D1163" t="s">
        <v>58</v>
      </c>
      <c r="E1163" t="s">
        <v>497</v>
      </c>
      <c r="F1163" t="s">
        <v>2757</v>
      </c>
      <c r="G1163">
        <v>50000</v>
      </c>
      <c r="H1163">
        <v>1979</v>
      </c>
      <c r="I1163" t="s">
        <v>58</v>
      </c>
      <c r="J1163" t="s">
        <v>58</v>
      </c>
      <c r="K1163" t="s">
        <v>58</v>
      </c>
      <c r="L1163" t="s">
        <v>58</v>
      </c>
      <c r="M1163" t="s">
        <v>58</v>
      </c>
      <c r="N1163" t="s">
        <v>61</v>
      </c>
      <c r="Q1163" t="s">
        <v>58</v>
      </c>
      <c r="R1163" s="11" t="str">
        <f>HYPERLINK("\\imagefiles.bcgov\imagery\scanned_maps\moe_terrain_maps\Scanned_T_maps_all\I17\I17-3261","\\imagefiles.bcgov\imagery\scanned_maps\moe_terrain_maps\Scanned_T_maps_all\I17\I17-3261")</f>
        <v>\\imagefiles.bcgov\imagery\scanned_maps\moe_terrain_maps\Scanned_T_maps_all\I17\I17-3261</v>
      </c>
      <c r="S1163" t="s">
        <v>62</v>
      </c>
      <c r="T1163" s="11" t="str">
        <f>HYPERLINK("http://www.env.gov.bc.ca/esd/distdata/ecosystems/TEI_Scanned_Maps/I17/I17-3261","http://www.env.gov.bc.ca/esd/distdata/ecosystems/TEI_Scanned_Maps/I17/I17-3261")</f>
        <v>http://www.env.gov.bc.ca/esd/distdata/ecosystems/TEI_Scanned_Maps/I17/I17-3261</v>
      </c>
      <c r="U1163" t="s">
        <v>58</v>
      </c>
      <c r="V1163" t="s">
        <v>58</v>
      </c>
      <c r="W1163" t="s">
        <v>58</v>
      </c>
      <c r="X1163" t="s">
        <v>58</v>
      </c>
      <c r="Y1163" t="s">
        <v>58</v>
      </c>
      <c r="Z1163" t="s">
        <v>58</v>
      </c>
      <c r="AA1163" t="s">
        <v>58</v>
      </c>
      <c r="AC1163" t="s">
        <v>58</v>
      </c>
      <c r="AE1163" t="s">
        <v>58</v>
      </c>
      <c r="AG1163" t="s">
        <v>63</v>
      </c>
      <c r="AH1163" s="11" t="str">
        <f t="shared" si="21"/>
        <v>mailto: soilterrain@victoria1.gov.bc.ca</v>
      </c>
    </row>
    <row r="1164" spans="1:34">
      <c r="A1164" t="s">
        <v>2758</v>
      </c>
      <c r="B1164" t="s">
        <v>56</v>
      </c>
      <c r="C1164" s="10" t="s">
        <v>1555</v>
      </c>
      <c r="D1164" t="s">
        <v>58</v>
      </c>
      <c r="E1164" t="s">
        <v>497</v>
      </c>
      <c r="F1164" t="s">
        <v>2759</v>
      </c>
      <c r="G1164">
        <v>50000</v>
      </c>
      <c r="H1164">
        <v>1979</v>
      </c>
      <c r="I1164" t="s">
        <v>58</v>
      </c>
      <c r="J1164" t="s">
        <v>58</v>
      </c>
      <c r="K1164" t="s">
        <v>58</v>
      </c>
      <c r="L1164" t="s">
        <v>58</v>
      </c>
      <c r="M1164" t="s">
        <v>58</v>
      </c>
      <c r="N1164" t="s">
        <v>61</v>
      </c>
      <c r="Q1164" t="s">
        <v>58</v>
      </c>
      <c r="R1164" s="11" t="str">
        <f>HYPERLINK("\\imagefiles.bcgov\imagery\scanned_maps\moe_terrain_maps\Scanned_T_maps_all\I17\I17-3262","\\imagefiles.bcgov\imagery\scanned_maps\moe_terrain_maps\Scanned_T_maps_all\I17\I17-3262")</f>
        <v>\\imagefiles.bcgov\imagery\scanned_maps\moe_terrain_maps\Scanned_T_maps_all\I17\I17-3262</v>
      </c>
      <c r="S1164" t="s">
        <v>62</v>
      </c>
      <c r="T1164" s="11" t="str">
        <f>HYPERLINK("http://www.env.gov.bc.ca/esd/distdata/ecosystems/TEI_Scanned_Maps/I17/I17-3262","http://www.env.gov.bc.ca/esd/distdata/ecosystems/TEI_Scanned_Maps/I17/I17-3262")</f>
        <v>http://www.env.gov.bc.ca/esd/distdata/ecosystems/TEI_Scanned_Maps/I17/I17-3262</v>
      </c>
      <c r="U1164" t="s">
        <v>58</v>
      </c>
      <c r="V1164" t="s">
        <v>58</v>
      </c>
      <c r="W1164" t="s">
        <v>58</v>
      </c>
      <c r="X1164" t="s">
        <v>58</v>
      </c>
      <c r="Y1164" t="s">
        <v>58</v>
      </c>
      <c r="Z1164" t="s">
        <v>58</v>
      </c>
      <c r="AA1164" t="s">
        <v>58</v>
      </c>
      <c r="AC1164" t="s">
        <v>58</v>
      </c>
      <c r="AE1164" t="s">
        <v>58</v>
      </c>
      <c r="AG1164" t="s">
        <v>63</v>
      </c>
      <c r="AH1164" s="11" t="str">
        <f t="shared" si="21"/>
        <v>mailto: soilterrain@victoria1.gov.bc.ca</v>
      </c>
    </row>
    <row r="1165" spans="1:34">
      <c r="A1165" t="s">
        <v>2760</v>
      </c>
      <c r="B1165" t="s">
        <v>56</v>
      </c>
      <c r="C1165" s="10" t="s">
        <v>1559</v>
      </c>
      <c r="D1165" t="s">
        <v>58</v>
      </c>
      <c r="E1165" t="s">
        <v>497</v>
      </c>
      <c r="F1165" t="s">
        <v>2761</v>
      </c>
      <c r="G1165">
        <v>50000</v>
      </c>
      <c r="H1165">
        <v>1979</v>
      </c>
      <c r="I1165" t="s">
        <v>58</v>
      </c>
      <c r="J1165" t="s">
        <v>58</v>
      </c>
      <c r="K1165" t="s">
        <v>58</v>
      </c>
      <c r="L1165" t="s">
        <v>58</v>
      </c>
      <c r="M1165" t="s">
        <v>58</v>
      </c>
      <c r="N1165" t="s">
        <v>61</v>
      </c>
      <c r="Q1165" t="s">
        <v>58</v>
      </c>
      <c r="R1165" s="11" t="str">
        <f>HYPERLINK("\\imagefiles.bcgov\imagery\scanned_maps\moe_terrain_maps\Scanned_T_maps_all\I17\I17-3263","\\imagefiles.bcgov\imagery\scanned_maps\moe_terrain_maps\Scanned_T_maps_all\I17\I17-3263")</f>
        <v>\\imagefiles.bcgov\imagery\scanned_maps\moe_terrain_maps\Scanned_T_maps_all\I17\I17-3263</v>
      </c>
      <c r="S1165" t="s">
        <v>62</v>
      </c>
      <c r="T1165" s="11" t="str">
        <f>HYPERLINK("http://www.env.gov.bc.ca/esd/distdata/ecosystems/TEI_Scanned_Maps/I17/I17-3263","http://www.env.gov.bc.ca/esd/distdata/ecosystems/TEI_Scanned_Maps/I17/I17-3263")</f>
        <v>http://www.env.gov.bc.ca/esd/distdata/ecosystems/TEI_Scanned_Maps/I17/I17-3263</v>
      </c>
      <c r="U1165" t="s">
        <v>58</v>
      </c>
      <c r="V1165" t="s">
        <v>58</v>
      </c>
      <c r="W1165" t="s">
        <v>58</v>
      </c>
      <c r="X1165" t="s">
        <v>58</v>
      </c>
      <c r="Y1165" t="s">
        <v>58</v>
      </c>
      <c r="Z1165" t="s">
        <v>58</v>
      </c>
      <c r="AA1165" t="s">
        <v>58</v>
      </c>
      <c r="AC1165" t="s">
        <v>58</v>
      </c>
      <c r="AE1165" t="s">
        <v>58</v>
      </c>
      <c r="AG1165" t="s">
        <v>63</v>
      </c>
      <c r="AH1165" s="11" t="str">
        <f t="shared" si="21"/>
        <v>mailto: soilterrain@victoria1.gov.bc.ca</v>
      </c>
    </row>
    <row r="1166" spans="1:34">
      <c r="A1166" t="s">
        <v>2762</v>
      </c>
      <c r="B1166" t="s">
        <v>56</v>
      </c>
      <c r="C1166" s="10" t="s">
        <v>1565</v>
      </c>
      <c r="D1166" t="s">
        <v>58</v>
      </c>
      <c r="E1166" t="s">
        <v>497</v>
      </c>
      <c r="F1166" t="s">
        <v>2763</v>
      </c>
      <c r="G1166">
        <v>50000</v>
      </c>
      <c r="H1166">
        <v>1979</v>
      </c>
      <c r="I1166" t="s">
        <v>58</v>
      </c>
      <c r="J1166" t="s">
        <v>58</v>
      </c>
      <c r="K1166" t="s">
        <v>58</v>
      </c>
      <c r="L1166" t="s">
        <v>58</v>
      </c>
      <c r="M1166" t="s">
        <v>58</v>
      </c>
      <c r="N1166" t="s">
        <v>61</v>
      </c>
      <c r="Q1166" t="s">
        <v>58</v>
      </c>
      <c r="R1166" s="11" t="str">
        <f>HYPERLINK("\\imagefiles.bcgov\imagery\scanned_maps\moe_terrain_maps\Scanned_T_maps_all\I17\I17-3264","\\imagefiles.bcgov\imagery\scanned_maps\moe_terrain_maps\Scanned_T_maps_all\I17\I17-3264")</f>
        <v>\\imagefiles.bcgov\imagery\scanned_maps\moe_terrain_maps\Scanned_T_maps_all\I17\I17-3264</v>
      </c>
      <c r="S1166" t="s">
        <v>62</v>
      </c>
      <c r="T1166" s="11" t="str">
        <f>HYPERLINK("http://www.env.gov.bc.ca/esd/distdata/ecosystems/TEI_Scanned_Maps/I17/I17-3264","http://www.env.gov.bc.ca/esd/distdata/ecosystems/TEI_Scanned_Maps/I17/I17-3264")</f>
        <v>http://www.env.gov.bc.ca/esd/distdata/ecosystems/TEI_Scanned_Maps/I17/I17-3264</v>
      </c>
      <c r="U1166" t="s">
        <v>58</v>
      </c>
      <c r="V1166" t="s">
        <v>58</v>
      </c>
      <c r="W1166" t="s">
        <v>58</v>
      </c>
      <c r="X1166" t="s">
        <v>58</v>
      </c>
      <c r="Y1166" t="s">
        <v>58</v>
      </c>
      <c r="Z1166" t="s">
        <v>58</v>
      </c>
      <c r="AA1166" t="s">
        <v>58</v>
      </c>
      <c r="AC1166" t="s">
        <v>58</v>
      </c>
      <c r="AE1166" t="s">
        <v>58</v>
      </c>
      <c r="AG1166" t="s">
        <v>63</v>
      </c>
      <c r="AH1166" s="11" t="str">
        <f t="shared" si="21"/>
        <v>mailto: soilterrain@victoria1.gov.bc.ca</v>
      </c>
    </row>
    <row r="1167" spans="1:34">
      <c r="A1167" t="s">
        <v>2764</v>
      </c>
      <c r="B1167" t="s">
        <v>56</v>
      </c>
      <c r="C1167" s="10" t="s">
        <v>1567</v>
      </c>
      <c r="D1167" t="s">
        <v>58</v>
      </c>
      <c r="E1167" t="s">
        <v>497</v>
      </c>
      <c r="F1167" t="s">
        <v>2765</v>
      </c>
      <c r="G1167">
        <v>50000</v>
      </c>
      <c r="H1167">
        <v>1979</v>
      </c>
      <c r="I1167" t="s">
        <v>58</v>
      </c>
      <c r="J1167" t="s">
        <v>58</v>
      </c>
      <c r="K1167" t="s">
        <v>58</v>
      </c>
      <c r="L1167" t="s">
        <v>58</v>
      </c>
      <c r="M1167" t="s">
        <v>58</v>
      </c>
      <c r="N1167" t="s">
        <v>61</v>
      </c>
      <c r="Q1167" t="s">
        <v>58</v>
      </c>
      <c r="R1167" s="11" t="str">
        <f>HYPERLINK("\\imagefiles.bcgov\imagery\scanned_maps\moe_terrain_maps\Scanned_T_maps_all\I17\I17-3265","\\imagefiles.bcgov\imagery\scanned_maps\moe_terrain_maps\Scanned_T_maps_all\I17\I17-3265")</f>
        <v>\\imagefiles.bcgov\imagery\scanned_maps\moe_terrain_maps\Scanned_T_maps_all\I17\I17-3265</v>
      </c>
      <c r="S1167" t="s">
        <v>62</v>
      </c>
      <c r="T1167" s="11" t="str">
        <f>HYPERLINK("http://www.env.gov.bc.ca/esd/distdata/ecosystems/TEI_Scanned_Maps/I17/I17-3265","http://www.env.gov.bc.ca/esd/distdata/ecosystems/TEI_Scanned_Maps/I17/I17-3265")</f>
        <v>http://www.env.gov.bc.ca/esd/distdata/ecosystems/TEI_Scanned_Maps/I17/I17-3265</v>
      </c>
      <c r="U1167" t="s">
        <v>58</v>
      </c>
      <c r="V1167" t="s">
        <v>58</v>
      </c>
      <c r="W1167" t="s">
        <v>58</v>
      </c>
      <c r="X1167" t="s">
        <v>58</v>
      </c>
      <c r="Y1167" t="s">
        <v>58</v>
      </c>
      <c r="Z1167" t="s">
        <v>58</v>
      </c>
      <c r="AA1167" t="s">
        <v>58</v>
      </c>
      <c r="AC1167" t="s">
        <v>58</v>
      </c>
      <c r="AE1167" t="s">
        <v>58</v>
      </c>
      <c r="AG1167" t="s">
        <v>63</v>
      </c>
      <c r="AH1167" s="11" t="str">
        <f t="shared" si="21"/>
        <v>mailto: soilterrain@victoria1.gov.bc.ca</v>
      </c>
    </row>
    <row r="1168" spans="1:34">
      <c r="A1168" t="s">
        <v>2766</v>
      </c>
      <c r="B1168" t="s">
        <v>56</v>
      </c>
      <c r="C1168" s="10" t="s">
        <v>1571</v>
      </c>
      <c r="D1168" t="s">
        <v>58</v>
      </c>
      <c r="E1168" t="s">
        <v>497</v>
      </c>
      <c r="F1168" t="s">
        <v>2767</v>
      </c>
      <c r="G1168">
        <v>50000</v>
      </c>
      <c r="H1168">
        <v>1979</v>
      </c>
      <c r="I1168" t="s">
        <v>58</v>
      </c>
      <c r="J1168" t="s">
        <v>58</v>
      </c>
      <c r="K1168" t="s">
        <v>58</v>
      </c>
      <c r="L1168" t="s">
        <v>58</v>
      </c>
      <c r="M1168" t="s">
        <v>58</v>
      </c>
      <c r="N1168" t="s">
        <v>61</v>
      </c>
      <c r="Q1168" t="s">
        <v>58</v>
      </c>
      <c r="R1168" s="11" t="str">
        <f>HYPERLINK("\\imagefiles.bcgov\imagery\scanned_maps\moe_terrain_maps\Scanned_T_maps_all\I17\I17-3266","\\imagefiles.bcgov\imagery\scanned_maps\moe_terrain_maps\Scanned_T_maps_all\I17\I17-3266")</f>
        <v>\\imagefiles.bcgov\imagery\scanned_maps\moe_terrain_maps\Scanned_T_maps_all\I17\I17-3266</v>
      </c>
      <c r="S1168" t="s">
        <v>62</v>
      </c>
      <c r="T1168" s="11" t="str">
        <f>HYPERLINK("http://www.env.gov.bc.ca/esd/distdata/ecosystems/TEI_Scanned_Maps/I17/I17-3266","http://www.env.gov.bc.ca/esd/distdata/ecosystems/TEI_Scanned_Maps/I17/I17-3266")</f>
        <v>http://www.env.gov.bc.ca/esd/distdata/ecosystems/TEI_Scanned_Maps/I17/I17-3266</v>
      </c>
      <c r="U1168" t="s">
        <v>58</v>
      </c>
      <c r="V1168" t="s">
        <v>58</v>
      </c>
      <c r="W1168" t="s">
        <v>58</v>
      </c>
      <c r="X1168" t="s">
        <v>58</v>
      </c>
      <c r="Y1168" t="s">
        <v>58</v>
      </c>
      <c r="Z1168" t="s">
        <v>58</v>
      </c>
      <c r="AA1168" t="s">
        <v>58</v>
      </c>
      <c r="AC1168" t="s">
        <v>58</v>
      </c>
      <c r="AE1168" t="s">
        <v>58</v>
      </c>
      <c r="AG1168" t="s">
        <v>63</v>
      </c>
      <c r="AH1168" s="11" t="str">
        <f t="shared" si="21"/>
        <v>mailto: soilterrain@victoria1.gov.bc.ca</v>
      </c>
    </row>
    <row r="1169" spans="1:34">
      <c r="A1169" t="s">
        <v>2768</v>
      </c>
      <c r="B1169" t="s">
        <v>56</v>
      </c>
      <c r="C1169" s="10" t="s">
        <v>1577</v>
      </c>
      <c r="D1169" t="s">
        <v>58</v>
      </c>
      <c r="E1169" t="s">
        <v>497</v>
      </c>
      <c r="F1169" t="s">
        <v>2769</v>
      </c>
      <c r="G1169">
        <v>50000</v>
      </c>
      <c r="H1169">
        <v>1979</v>
      </c>
      <c r="I1169" t="s">
        <v>58</v>
      </c>
      <c r="J1169" t="s">
        <v>58</v>
      </c>
      <c r="K1169" t="s">
        <v>58</v>
      </c>
      <c r="L1169" t="s">
        <v>58</v>
      </c>
      <c r="M1169" t="s">
        <v>58</v>
      </c>
      <c r="N1169" t="s">
        <v>61</v>
      </c>
      <c r="Q1169" t="s">
        <v>58</v>
      </c>
      <c r="R1169" s="11" t="str">
        <f>HYPERLINK("\\imagefiles.bcgov\imagery\scanned_maps\moe_terrain_maps\Scanned_T_maps_all\I17\I17-3267","\\imagefiles.bcgov\imagery\scanned_maps\moe_terrain_maps\Scanned_T_maps_all\I17\I17-3267")</f>
        <v>\\imagefiles.bcgov\imagery\scanned_maps\moe_terrain_maps\Scanned_T_maps_all\I17\I17-3267</v>
      </c>
      <c r="S1169" t="s">
        <v>62</v>
      </c>
      <c r="T1169" s="11" t="str">
        <f>HYPERLINK("http://www.env.gov.bc.ca/esd/distdata/ecosystems/TEI_Scanned_Maps/I17/I17-3267","http://www.env.gov.bc.ca/esd/distdata/ecosystems/TEI_Scanned_Maps/I17/I17-3267")</f>
        <v>http://www.env.gov.bc.ca/esd/distdata/ecosystems/TEI_Scanned_Maps/I17/I17-3267</v>
      </c>
      <c r="U1169" t="s">
        <v>58</v>
      </c>
      <c r="V1169" t="s">
        <v>58</v>
      </c>
      <c r="W1169" t="s">
        <v>58</v>
      </c>
      <c r="X1169" t="s">
        <v>58</v>
      </c>
      <c r="Y1169" t="s">
        <v>58</v>
      </c>
      <c r="Z1169" t="s">
        <v>58</v>
      </c>
      <c r="AA1169" t="s">
        <v>58</v>
      </c>
      <c r="AC1169" t="s">
        <v>58</v>
      </c>
      <c r="AE1169" t="s">
        <v>58</v>
      </c>
      <c r="AG1169" t="s">
        <v>63</v>
      </c>
      <c r="AH1169" s="11" t="str">
        <f t="shared" si="21"/>
        <v>mailto: soilterrain@victoria1.gov.bc.ca</v>
      </c>
    </row>
    <row r="1170" spans="1:34">
      <c r="A1170" t="s">
        <v>2770</v>
      </c>
      <c r="B1170" t="s">
        <v>56</v>
      </c>
      <c r="C1170" s="10" t="s">
        <v>1579</v>
      </c>
      <c r="D1170" t="s">
        <v>58</v>
      </c>
      <c r="E1170" t="s">
        <v>497</v>
      </c>
      <c r="F1170" t="s">
        <v>2771</v>
      </c>
      <c r="G1170">
        <v>50000</v>
      </c>
      <c r="H1170">
        <v>1979</v>
      </c>
      <c r="I1170" t="s">
        <v>58</v>
      </c>
      <c r="J1170" t="s">
        <v>58</v>
      </c>
      <c r="K1170" t="s">
        <v>58</v>
      </c>
      <c r="L1170" t="s">
        <v>58</v>
      </c>
      <c r="M1170" t="s">
        <v>58</v>
      </c>
      <c r="N1170" t="s">
        <v>61</v>
      </c>
      <c r="Q1170" t="s">
        <v>58</v>
      </c>
      <c r="R1170" s="11" t="str">
        <f>HYPERLINK("\\imagefiles.bcgov\imagery\scanned_maps\moe_terrain_maps\Scanned_T_maps_all\I17\I17-3268","\\imagefiles.bcgov\imagery\scanned_maps\moe_terrain_maps\Scanned_T_maps_all\I17\I17-3268")</f>
        <v>\\imagefiles.bcgov\imagery\scanned_maps\moe_terrain_maps\Scanned_T_maps_all\I17\I17-3268</v>
      </c>
      <c r="S1170" t="s">
        <v>62</v>
      </c>
      <c r="T1170" s="11" t="str">
        <f>HYPERLINK("http://www.env.gov.bc.ca/esd/distdata/ecosystems/TEI_Scanned_Maps/I17/I17-3268","http://www.env.gov.bc.ca/esd/distdata/ecosystems/TEI_Scanned_Maps/I17/I17-3268")</f>
        <v>http://www.env.gov.bc.ca/esd/distdata/ecosystems/TEI_Scanned_Maps/I17/I17-3268</v>
      </c>
      <c r="U1170" t="s">
        <v>58</v>
      </c>
      <c r="V1170" t="s">
        <v>58</v>
      </c>
      <c r="W1170" t="s">
        <v>58</v>
      </c>
      <c r="X1170" t="s">
        <v>58</v>
      </c>
      <c r="Y1170" t="s">
        <v>58</v>
      </c>
      <c r="Z1170" t="s">
        <v>58</v>
      </c>
      <c r="AA1170" t="s">
        <v>58</v>
      </c>
      <c r="AC1170" t="s">
        <v>58</v>
      </c>
      <c r="AE1170" t="s">
        <v>58</v>
      </c>
      <c r="AG1170" t="s">
        <v>63</v>
      </c>
      <c r="AH1170" s="11" t="str">
        <f t="shared" si="21"/>
        <v>mailto: soilterrain@victoria1.gov.bc.ca</v>
      </c>
    </row>
    <row r="1171" spans="1:34">
      <c r="A1171" t="s">
        <v>2772</v>
      </c>
      <c r="B1171" t="s">
        <v>56</v>
      </c>
      <c r="C1171" s="10" t="s">
        <v>1411</v>
      </c>
      <c r="D1171" t="s">
        <v>58</v>
      </c>
      <c r="E1171" t="s">
        <v>497</v>
      </c>
      <c r="F1171" t="s">
        <v>2773</v>
      </c>
      <c r="G1171">
        <v>50000</v>
      </c>
      <c r="H1171">
        <v>1979</v>
      </c>
      <c r="I1171" t="s">
        <v>58</v>
      </c>
      <c r="J1171" t="s">
        <v>58</v>
      </c>
      <c r="K1171" t="s">
        <v>58</v>
      </c>
      <c r="L1171" t="s">
        <v>58</v>
      </c>
      <c r="M1171" t="s">
        <v>58</v>
      </c>
      <c r="N1171" t="s">
        <v>61</v>
      </c>
      <c r="Q1171" t="s">
        <v>58</v>
      </c>
      <c r="R1171" s="11" t="str">
        <f>HYPERLINK("\\imagefiles.bcgov\imagery\scanned_maps\moe_terrain_maps\Scanned_T_maps_all\I17\I17-3269","\\imagefiles.bcgov\imagery\scanned_maps\moe_terrain_maps\Scanned_T_maps_all\I17\I17-3269")</f>
        <v>\\imagefiles.bcgov\imagery\scanned_maps\moe_terrain_maps\Scanned_T_maps_all\I17\I17-3269</v>
      </c>
      <c r="S1171" t="s">
        <v>62</v>
      </c>
      <c r="T1171" s="11" t="str">
        <f>HYPERLINK("http://www.env.gov.bc.ca/esd/distdata/ecosystems/TEI_Scanned_Maps/I17/I17-3269","http://www.env.gov.bc.ca/esd/distdata/ecosystems/TEI_Scanned_Maps/I17/I17-3269")</f>
        <v>http://www.env.gov.bc.ca/esd/distdata/ecosystems/TEI_Scanned_Maps/I17/I17-3269</v>
      </c>
      <c r="U1171" t="s">
        <v>58</v>
      </c>
      <c r="V1171" t="s">
        <v>58</v>
      </c>
      <c r="W1171" t="s">
        <v>58</v>
      </c>
      <c r="X1171" t="s">
        <v>58</v>
      </c>
      <c r="Y1171" t="s">
        <v>58</v>
      </c>
      <c r="Z1171" t="s">
        <v>58</v>
      </c>
      <c r="AA1171" t="s">
        <v>58</v>
      </c>
      <c r="AC1171" t="s">
        <v>58</v>
      </c>
      <c r="AE1171" t="s">
        <v>58</v>
      </c>
      <c r="AG1171" t="s">
        <v>63</v>
      </c>
      <c r="AH1171" s="11" t="str">
        <f t="shared" si="21"/>
        <v>mailto: soilterrain@victoria1.gov.bc.ca</v>
      </c>
    </row>
    <row r="1172" spans="1:34">
      <c r="A1172" t="s">
        <v>2774</v>
      </c>
      <c r="B1172" t="s">
        <v>56</v>
      </c>
      <c r="C1172" s="10" t="s">
        <v>1413</v>
      </c>
      <c r="D1172" t="s">
        <v>58</v>
      </c>
      <c r="E1172" t="s">
        <v>497</v>
      </c>
      <c r="F1172" t="s">
        <v>2775</v>
      </c>
      <c r="G1172">
        <v>50000</v>
      </c>
      <c r="H1172">
        <v>1979</v>
      </c>
      <c r="I1172" t="s">
        <v>58</v>
      </c>
      <c r="J1172" t="s">
        <v>58</v>
      </c>
      <c r="K1172" t="s">
        <v>58</v>
      </c>
      <c r="L1172" t="s">
        <v>58</v>
      </c>
      <c r="M1172" t="s">
        <v>58</v>
      </c>
      <c r="N1172" t="s">
        <v>61</v>
      </c>
      <c r="Q1172" t="s">
        <v>58</v>
      </c>
      <c r="R1172" s="11" t="str">
        <f>HYPERLINK("\\imagefiles.bcgov\imagery\scanned_maps\moe_terrain_maps\Scanned_T_maps_all\I17\I17-3270","\\imagefiles.bcgov\imagery\scanned_maps\moe_terrain_maps\Scanned_T_maps_all\I17\I17-3270")</f>
        <v>\\imagefiles.bcgov\imagery\scanned_maps\moe_terrain_maps\Scanned_T_maps_all\I17\I17-3270</v>
      </c>
      <c r="S1172" t="s">
        <v>62</v>
      </c>
      <c r="T1172" s="11" t="str">
        <f>HYPERLINK("http://www.env.gov.bc.ca/esd/distdata/ecosystems/TEI_Scanned_Maps/I17/I17-3270","http://www.env.gov.bc.ca/esd/distdata/ecosystems/TEI_Scanned_Maps/I17/I17-3270")</f>
        <v>http://www.env.gov.bc.ca/esd/distdata/ecosystems/TEI_Scanned_Maps/I17/I17-3270</v>
      </c>
      <c r="U1172" t="s">
        <v>58</v>
      </c>
      <c r="V1172" t="s">
        <v>58</v>
      </c>
      <c r="W1172" t="s">
        <v>58</v>
      </c>
      <c r="X1172" t="s">
        <v>58</v>
      </c>
      <c r="Y1172" t="s">
        <v>58</v>
      </c>
      <c r="Z1172" t="s">
        <v>58</v>
      </c>
      <c r="AA1172" t="s">
        <v>58</v>
      </c>
      <c r="AC1172" t="s">
        <v>58</v>
      </c>
      <c r="AE1172" t="s">
        <v>58</v>
      </c>
      <c r="AG1172" t="s">
        <v>63</v>
      </c>
      <c r="AH1172" s="11" t="str">
        <f t="shared" si="21"/>
        <v>mailto: soilterrain@victoria1.gov.bc.ca</v>
      </c>
    </row>
    <row r="1173" spans="1:34">
      <c r="A1173" t="s">
        <v>2776</v>
      </c>
      <c r="B1173" t="s">
        <v>56</v>
      </c>
      <c r="C1173" s="10" t="s">
        <v>2777</v>
      </c>
      <c r="D1173" t="s">
        <v>58</v>
      </c>
      <c r="E1173" t="s">
        <v>497</v>
      </c>
      <c r="F1173" t="s">
        <v>2778</v>
      </c>
      <c r="G1173">
        <v>50000</v>
      </c>
      <c r="H1173">
        <v>1989</v>
      </c>
      <c r="I1173" t="s">
        <v>58</v>
      </c>
      <c r="J1173" t="s">
        <v>58</v>
      </c>
      <c r="K1173" t="s">
        <v>58</v>
      </c>
      <c r="L1173" t="s">
        <v>58</v>
      </c>
      <c r="M1173" t="s">
        <v>58</v>
      </c>
      <c r="N1173" t="s">
        <v>61</v>
      </c>
      <c r="Q1173" t="s">
        <v>58</v>
      </c>
      <c r="R1173" s="11" t="str">
        <f>HYPERLINK("\\imagefiles.bcgov\imagery\scanned_maps\moe_terrain_maps\Scanned_T_maps_all\I17\I17-891","\\imagefiles.bcgov\imagery\scanned_maps\moe_terrain_maps\Scanned_T_maps_all\I17\I17-891")</f>
        <v>\\imagefiles.bcgov\imagery\scanned_maps\moe_terrain_maps\Scanned_T_maps_all\I17\I17-891</v>
      </c>
      <c r="S1173" t="s">
        <v>62</v>
      </c>
      <c r="T1173" s="11" t="str">
        <f>HYPERLINK("http://www.env.gov.bc.ca/esd/distdata/ecosystems/TEI_Scanned_Maps/I17/I17-891","http://www.env.gov.bc.ca/esd/distdata/ecosystems/TEI_Scanned_Maps/I17/I17-891")</f>
        <v>http://www.env.gov.bc.ca/esd/distdata/ecosystems/TEI_Scanned_Maps/I17/I17-891</v>
      </c>
      <c r="U1173" t="s">
        <v>58</v>
      </c>
      <c r="V1173" t="s">
        <v>58</v>
      </c>
      <c r="W1173" t="s">
        <v>58</v>
      </c>
      <c r="X1173" t="s">
        <v>58</v>
      </c>
      <c r="Y1173" t="s">
        <v>58</v>
      </c>
      <c r="Z1173" t="s">
        <v>58</v>
      </c>
      <c r="AA1173" t="s">
        <v>58</v>
      </c>
      <c r="AC1173" t="s">
        <v>58</v>
      </c>
      <c r="AE1173" t="s">
        <v>58</v>
      </c>
      <c r="AG1173" t="s">
        <v>63</v>
      </c>
      <c r="AH1173" s="11" t="str">
        <f t="shared" si="21"/>
        <v>mailto: soilterrain@victoria1.gov.bc.ca</v>
      </c>
    </row>
    <row r="1174" spans="1:34">
      <c r="A1174" t="s">
        <v>2779</v>
      </c>
      <c r="B1174" t="s">
        <v>56</v>
      </c>
      <c r="C1174" s="10" t="s">
        <v>1015</v>
      </c>
      <c r="D1174" t="s">
        <v>58</v>
      </c>
      <c r="E1174" t="s">
        <v>497</v>
      </c>
      <c r="F1174" t="s">
        <v>2780</v>
      </c>
      <c r="G1174">
        <v>50000</v>
      </c>
      <c r="H1174">
        <v>1978</v>
      </c>
      <c r="I1174" t="s">
        <v>58</v>
      </c>
      <c r="J1174" t="s">
        <v>58</v>
      </c>
      <c r="K1174" t="s">
        <v>58</v>
      </c>
      <c r="L1174" t="s">
        <v>58</v>
      </c>
      <c r="M1174" t="s">
        <v>58</v>
      </c>
      <c r="N1174" t="s">
        <v>61</v>
      </c>
      <c r="Q1174" t="s">
        <v>58</v>
      </c>
      <c r="R1174" s="11" t="str">
        <f>HYPERLINK("\\imagefiles.bcgov\imagery\scanned_maps\moe_terrain_maps\Scanned_T_maps_all\I18\I18-3271","\\imagefiles.bcgov\imagery\scanned_maps\moe_terrain_maps\Scanned_T_maps_all\I18\I18-3271")</f>
        <v>\\imagefiles.bcgov\imagery\scanned_maps\moe_terrain_maps\Scanned_T_maps_all\I18\I18-3271</v>
      </c>
      <c r="S1174" t="s">
        <v>62</v>
      </c>
      <c r="T1174" s="11" t="str">
        <f>HYPERLINK("http://www.env.gov.bc.ca/esd/distdata/ecosystems/TEI_Scanned_Maps/I18/I18-3271","http://www.env.gov.bc.ca/esd/distdata/ecosystems/TEI_Scanned_Maps/I18/I18-3271")</f>
        <v>http://www.env.gov.bc.ca/esd/distdata/ecosystems/TEI_Scanned_Maps/I18/I18-3271</v>
      </c>
      <c r="U1174" t="s">
        <v>58</v>
      </c>
      <c r="V1174" t="s">
        <v>58</v>
      </c>
      <c r="W1174" t="s">
        <v>58</v>
      </c>
      <c r="X1174" t="s">
        <v>58</v>
      </c>
      <c r="Y1174" t="s">
        <v>58</v>
      </c>
      <c r="Z1174" t="s">
        <v>58</v>
      </c>
      <c r="AA1174" t="s">
        <v>58</v>
      </c>
      <c r="AC1174" t="s">
        <v>58</v>
      </c>
      <c r="AE1174" t="s">
        <v>58</v>
      </c>
      <c r="AG1174" t="s">
        <v>63</v>
      </c>
      <c r="AH1174" s="11" t="str">
        <f t="shared" si="21"/>
        <v>mailto: soilterrain@victoria1.gov.bc.ca</v>
      </c>
    </row>
    <row r="1175" spans="1:34">
      <c r="A1175" t="s">
        <v>2781</v>
      </c>
      <c r="B1175" t="s">
        <v>56</v>
      </c>
      <c r="C1175" s="10" t="s">
        <v>1017</v>
      </c>
      <c r="D1175" t="s">
        <v>58</v>
      </c>
      <c r="E1175" t="s">
        <v>497</v>
      </c>
      <c r="F1175" t="s">
        <v>2782</v>
      </c>
      <c r="G1175">
        <v>50000</v>
      </c>
      <c r="H1175">
        <v>1978</v>
      </c>
      <c r="I1175" t="s">
        <v>58</v>
      </c>
      <c r="J1175" t="s">
        <v>58</v>
      </c>
      <c r="K1175" t="s">
        <v>58</v>
      </c>
      <c r="L1175" t="s">
        <v>58</v>
      </c>
      <c r="M1175" t="s">
        <v>58</v>
      </c>
      <c r="N1175" t="s">
        <v>61</v>
      </c>
      <c r="Q1175" t="s">
        <v>58</v>
      </c>
      <c r="R1175" s="11" t="str">
        <f>HYPERLINK("\\imagefiles.bcgov\imagery\scanned_maps\moe_terrain_maps\Scanned_T_maps_all\I18\I18-3272","\\imagefiles.bcgov\imagery\scanned_maps\moe_terrain_maps\Scanned_T_maps_all\I18\I18-3272")</f>
        <v>\\imagefiles.bcgov\imagery\scanned_maps\moe_terrain_maps\Scanned_T_maps_all\I18\I18-3272</v>
      </c>
      <c r="S1175" t="s">
        <v>62</v>
      </c>
      <c r="T1175" s="11" t="str">
        <f>HYPERLINK("http://www.env.gov.bc.ca/esd/distdata/ecosystems/TEI_Scanned_Maps/I18/I18-3272","http://www.env.gov.bc.ca/esd/distdata/ecosystems/TEI_Scanned_Maps/I18/I18-3272")</f>
        <v>http://www.env.gov.bc.ca/esd/distdata/ecosystems/TEI_Scanned_Maps/I18/I18-3272</v>
      </c>
      <c r="U1175" t="s">
        <v>58</v>
      </c>
      <c r="V1175" t="s">
        <v>58</v>
      </c>
      <c r="W1175" t="s">
        <v>58</v>
      </c>
      <c r="X1175" t="s">
        <v>58</v>
      </c>
      <c r="Y1175" t="s">
        <v>58</v>
      </c>
      <c r="Z1175" t="s">
        <v>58</v>
      </c>
      <c r="AA1175" t="s">
        <v>58</v>
      </c>
      <c r="AC1175" t="s">
        <v>58</v>
      </c>
      <c r="AE1175" t="s">
        <v>58</v>
      </c>
      <c r="AG1175" t="s">
        <v>63</v>
      </c>
      <c r="AH1175" s="11" t="str">
        <f t="shared" si="21"/>
        <v>mailto: soilterrain@victoria1.gov.bc.ca</v>
      </c>
    </row>
    <row r="1176" spans="1:34">
      <c r="A1176" t="s">
        <v>2783</v>
      </c>
      <c r="B1176" t="s">
        <v>56</v>
      </c>
      <c r="C1176" s="10" t="s">
        <v>1019</v>
      </c>
      <c r="D1176" t="s">
        <v>58</v>
      </c>
      <c r="E1176" t="s">
        <v>497</v>
      </c>
      <c r="F1176" t="s">
        <v>2784</v>
      </c>
      <c r="G1176">
        <v>50000</v>
      </c>
      <c r="H1176">
        <v>1978</v>
      </c>
      <c r="I1176" t="s">
        <v>58</v>
      </c>
      <c r="J1176" t="s">
        <v>58</v>
      </c>
      <c r="K1176" t="s">
        <v>58</v>
      </c>
      <c r="L1176" t="s">
        <v>58</v>
      </c>
      <c r="M1176" t="s">
        <v>58</v>
      </c>
      <c r="N1176" t="s">
        <v>61</v>
      </c>
      <c r="Q1176" t="s">
        <v>58</v>
      </c>
      <c r="R1176" s="11" t="str">
        <f>HYPERLINK("\\imagefiles.bcgov\imagery\scanned_maps\moe_terrain_maps\Scanned_T_maps_all\I18\I18-3273","\\imagefiles.bcgov\imagery\scanned_maps\moe_terrain_maps\Scanned_T_maps_all\I18\I18-3273")</f>
        <v>\\imagefiles.bcgov\imagery\scanned_maps\moe_terrain_maps\Scanned_T_maps_all\I18\I18-3273</v>
      </c>
      <c r="S1176" t="s">
        <v>62</v>
      </c>
      <c r="T1176" s="11" t="str">
        <f>HYPERLINK("http://www.env.gov.bc.ca/esd/distdata/ecosystems/TEI_Scanned_Maps/I18/I18-3273","http://www.env.gov.bc.ca/esd/distdata/ecosystems/TEI_Scanned_Maps/I18/I18-3273")</f>
        <v>http://www.env.gov.bc.ca/esd/distdata/ecosystems/TEI_Scanned_Maps/I18/I18-3273</v>
      </c>
      <c r="U1176" t="s">
        <v>58</v>
      </c>
      <c r="V1176" t="s">
        <v>58</v>
      </c>
      <c r="W1176" t="s">
        <v>58</v>
      </c>
      <c r="X1176" t="s">
        <v>58</v>
      </c>
      <c r="Y1176" t="s">
        <v>58</v>
      </c>
      <c r="Z1176" t="s">
        <v>58</v>
      </c>
      <c r="AA1176" t="s">
        <v>58</v>
      </c>
      <c r="AC1176" t="s">
        <v>58</v>
      </c>
      <c r="AE1176" t="s">
        <v>58</v>
      </c>
      <c r="AG1176" t="s">
        <v>63</v>
      </c>
      <c r="AH1176" s="11" t="str">
        <f t="shared" si="21"/>
        <v>mailto: soilterrain@victoria1.gov.bc.ca</v>
      </c>
    </row>
    <row r="1177" spans="1:34">
      <c r="A1177" t="s">
        <v>2785</v>
      </c>
      <c r="B1177" t="s">
        <v>56</v>
      </c>
      <c r="C1177" s="10" t="s">
        <v>1021</v>
      </c>
      <c r="D1177" t="s">
        <v>58</v>
      </c>
      <c r="E1177" t="s">
        <v>497</v>
      </c>
      <c r="F1177" t="s">
        <v>2786</v>
      </c>
      <c r="G1177">
        <v>50000</v>
      </c>
      <c r="H1177">
        <v>1978</v>
      </c>
      <c r="I1177" t="s">
        <v>58</v>
      </c>
      <c r="J1177" t="s">
        <v>58</v>
      </c>
      <c r="K1177" t="s">
        <v>58</v>
      </c>
      <c r="L1177" t="s">
        <v>58</v>
      </c>
      <c r="M1177" t="s">
        <v>58</v>
      </c>
      <c r="N1177" t="s">
        <v>61</v>
      </c>
      <c r="Q1177" t="s">
        <v>58</v>
      </c>
      <c r="R1177" s="11" t="str">
        <f>HYPERLINK("\\imagefiles.bcgov\imagery\scanned_maps\moe_terrain_maps\Scanned_T_maps_all\I18\I18-3274","\\imagefiles.bcgov\imagery\scanned_maps\moe_terrain_maps\Scanned_T_maps_all\I18\I18-3274")</f>
        <v>\\imagefiles.bcgov\imagery\scanned_maps\moe_terrain_maps\Scanned_T_maps_all\I18\I18-3274</v>
      </c>
      <c r="S1177" t="s">
        <v>62</v>
      </c>
      <c r="T1177" s="11" t="str">
        <f>HYPERLINK("http://www.env.gov.bc.ca/esd/distdata/ecosystems/TEI_Scanned_Maps/I18/I18-3274","http://www.env.gov.bc.ca/esd/distdata/ecosystems/TEI_Scanned_Maps/I18/I18-3274")</f>
        <v>http://www.env.gov.bc.ca/esd/distdata/ecosystems/TEI_Scanned_Maps/I18/I18-3274</v>
      </c>
      <c r="U1177" t="s">
        <v>58</v>
      </c>
      <c r="V1177" t="s">
        <v>58</v>
      </c>
      <c r="W1177" t="s">
        <v>58</v>
      </c>
      <c r="X1177" t="s">
        <v>58</v>
      </c>
      <c r="Y1177" t="s">
        <v>58</v>
      </c>
      <c r="Z1177" t="s">
        <v>58</v>
      </c>
      <c r="AA1177" t="s">
        <v>58</v>
      </c>
      <c r="AC1177" t="s">
        <v>58</v>
      </c>
      <c r="AE1177" t="s">
        <v>58</v>
      </c>
      <c r="AG1177" t="s">
        <v>63</v>
      </c>
      <c r="AH1177" s="11" t="str">
        <f t="shared" si="21"/>
        <v>mailto: soilterrain@victoria1.gov.bc.ca</v>
      </c>
    </row>
    <row r="1178" spans="1:34">
      <c r="A1178" t="s">
        <v>2787</v>
      </c>
      <c r="B1178" t="s">
        <v>56</v>
      </c>
      <c r="C1178" s="10" t="s">
        <v>1033</v>
      </c>
      <c r="D1178" t="s">
        <v>58</v>
      </c>
      <c r="E1178" t="s">
        <v>497</v>
      </c>
      <c r="F1178" t="s">
        <v>2788</v>
      </c>
      <c r="G1178">
        <v>50000</v>
      </c>
      <c r="H1178">
        <v>1978</v>
      </c>
      <c r="I1178" t="s">
        <v>58</v>
      </c>
      <c r="J1178" t="s">
        <v>58</v>
      </c>
      <c r="K1178" t="s">
        <v>58</v>
      </c>
      <c r="L1178" t="s">
        <v>58</v>
      </c>
      <c r="M1178" t="s">
        <v>58</v>
      </c>
      <c r="N1178" t="s">
        <v>61</v>
      </c>
      <c r="Q1178" t="s">
        <v>58</v>
      </c>
      <c r="R1178" s="11" t="str">
        <f>HYPERLINK("\\imagefiles.bcgov\imagery\scanned_maps\moe_terrain_maps\Scanned_T_maps_all\I18\I18-3275","\\imagefiles.bcgov\imagery\scanned_maps\moe_terrain_maps\Scanned_T_maps_all\I18\I18-3275")</f>
        <v>\\imagefiles.bcgov\imagery\scanned_maps\moe_terrain_maps\Scanned_T_maps_all\I18\I18-3275</v>
      </c>
      <c r="S1178" t="s">
        <v>62</v>
      </c>
      <c r="T1178" s="11" t="str">
        <f>HYPERLINK("http://www.env.gov.bc.ca/esd/distdata/ecosystems/TEI_Scanned_Maps/I18/I18-3275","http://www.env.gov.bc.ca/esd/distdata/ecosystems/TEI_Scanned_Maps/I18/I18-3275")</f>
        <v>http://www.env.gov.bc.ca/esd/distdata/ecosystems/TEI_Scanned_Maps/I18/I18-3275</v>
      </c>
      <c r="U1178" t="s">
        <v>58</v>
      </c>
      <c r="V1178" t="s">
        <v>58</v>
      </c>
      <c r="W1178" t="s">
        <v>58</v>
      </c>
      <c r="X1178" t="s">
        <v>58</v>
      </c>
      <c r="Y1178" t="s">
        <v>58</v>
      </c>
      <c r="Z1178" t="s">
        <v>58</v>
      </c>
      <c r="AA1178" t="s">
        <v>58</v>
      </c>
      <c r="AC1178" t="s">
        <v>58</v>
      </c>
      <c r="AE1178" t="s">
        <v>58</v>
      </c>
      <c r="AG1178" t="s">
        <v>63</v>
      </c>
      <c r="AH1178" s="11" t="str">
        <f t="shared" si="21"/>
        <v>mailto: soilterrain@victoria1.gov.bc.ca</v>
      </c>
    </row>
    <row r="1179" spans="1:34">
      <c r="A1179" t="s">
        <v>2789</v>
      </c>
      <c r="B1179" t="s">
        <v>56</v>
      </c>
      <c r="C1179" s="10" t="s">
        <v>1035</v>
      </c>
      <c r="D1179" t="s">
        <v>58</v>
      </c>
      <c r="E1179" t="s">
        <v>497</v>
      </c>
      <c r="F1179" t="s">
        <v>2790</v>
      </c>
      <c r="G1179">
        <v>50000</v>
      </c>
      <c r="H1179">
        <v>1978</v>
      </c>
      <c r="I1179" t="s">
        <v>58</v>
      </c>
      <c r="J1179" t="s">
        <v>58</v>
      </c>
      <c r="K1179" t="s">
        <v>58</v>
      </c>
      <c r="L1179" t="s">
        <v>58</v>
      </c>
      <c r="M1179" t="s">
        <v>58</v>
      </c>
      <c r="N1179" t="s">
        <v>61</v>
      </c>
      <c r="Q1179" t="s">
        <v>58</v>
      </c>
      <c r="R1179" s="11" t="str">
        <f>HYPERLINK("\\imagefiles.bcgov\imagery\scanned_maps\moe_terrain_maps\Scanned_T_maps_all\I18\I18-3276","\\imagefiles.bcgov\imagery\scanned_maps\moe_terrain_maps\Scanned_T_maps_all\I18\I18-3276")</f>
        <v>\\imagefiles.bcgov\imagery\scanned_maps\moe_terrain_maps\Scanned_T_maps_all\I18\I18-3276</v>
      </c>
      <c r="S1179" t="s">
        <v>62</v>
      </c>
      <c r="T1179" s="11" t="str">
        <f>HYPERLINK("http://www.env.gov.bc.ca/esd/distdata/ecosystems/TEI_Scanned_Maps/I18/I18-3276","http://www.env.gov.bc.ca/esd/distdata/ecosystems/TEI_Scanned_Maps/I18/I18-3276")</f>
        <v>http://www.env.gov.bc.ca/esd/distdata/ecosystems/TEI_Scanned_Maps/I18/I18-3276</v>
      </c>
      <c r="U1179" t="s">
        <v>58</v>
      </c>
      <c r="V1179" t="s">
        <v>58</v>
      </c>
      <c r="W1179" t="s">
        <v>58</v>
      </c>
      <c r="X1179" t="s">
        <v>58</v>
      </c>
      <c r="Y1179" t="s">
        <v>58</v>
      </c>
      <c r="Z1179" t="s">
        <v>58</v>
      </c>
      <c r="AA1179" t="s">
        <v>58</v>
      </c>
      <c r="AC1179" t="s">
        <v>58</v>
      </c>
      <c r="AE1179" t="s">
        <v>58</v>
      </c>
      <c r="AG1179" t="s">
        <v>63</v>
      </c>
      <c r="AH1179" s="11" t="str">
        <f t="shared" si="21"/>
        <v>mailto: soilterrain@victoria1.gov.bc.ca</v>
      </c>
    </row>
    <row r="1180" spans="1:34">
      <c r="A1180" t="s">
        <v>2791</v>
      </c>
      <c r="B1180" t="s">
        <v>56</v>
      </c>
      <c r="C1180" s="10" t="s">
        <v>1143</v>
      </c>
      <c r="D1180" t="s">
        <v>58</v>
      </c>
      <c r="E1180" t="s">
        <v>497</v>
      </c>
      <c r="F1180" t="s">
        <v>2792</v>
      </c>
      <c r="G1180">
        <v>50000</v>
      </c>
      <c r="H1180">
        <v>1978</v>
      </c>
      <c r="I1180" t="s">
        <v>58</v>
      </c>
      <c r="J1180" t="s">
        <v>58</v>
      </c>
      <c r="K1180" t="s">
        <v>58</v>
      </c>
      <c r="L1180" t="s">
        <v>58</v>
      </c>
      <c r="M1180" t="s">
        <v>58</v>
      </c>
      <c r="N1180" t="s">
        <v>61</v>
      </c>
      <c r="Q1180" t="s">
        <v>58</v>
      </c>
      <c r="R1180" s="11" t="str">
        <f>HYPERLINK("\\imagefiles.bcgov\imagery\scanned_maps\moe_terrain_maps\Scanned_T_maps_all\I18\I18-3277","\\imagefiles.bcgov\imagery\scanned_maps\moe_terrain_maps\Scanned_T_maps_all\I18\I18-3277")</f>
        <v>\\imagefiles.bcgov\imagery\scanned_maps\moe_terrain_maps\Scanned_T_maps_all\I18\I18-3277</v>
      </c>
      <c r="S1180" t="s">
        <v>62</v>
      </c>
      <c r="T1180" s="11" t="str">
        <f>HYPERLINK("http://www.env.gov.bc.ca/esd/distdata/ecosystems/TEI_Scanned_Maps/I18/I18-3277","http://www.env.gov.bc.ca/esd/distdata/ecosystems/TEI_Scanned_Maps/I18/I18-3277")</f>
        <v>http://www.env.gov.bc.ca/esd/distdata/ecosystems/TEI_Scanned_Maps/I18/I18-3277</v>
      </c>
      <c r="U1180" t="s">
        <v>58</v>
      </c>
      <c r="V1180" t="s">
        <v>58</v>
      </c>
      <c r="W1180" t="s">
        <v>58</v>
      </c>
      <c r="X1180" t="s">
        <v>58</v>
      </c>
      <c r="Y1180" t="s">
        <v>58</v>
      </c>
      <c r="Z1180" t="s">
        <v>58</v>
      </c>
      <c r="AA1180" t="s">
        <v>58</v>
      </c>
      <c r="AC1180" t="s">
        <v>58</v>
      </c>
      <c r="AE1180" t="s">
        <v>58</v>
      </c>
      <c r="AG1180" t="s">
        <v>63</v>
      </c>
      <c r="AH1180" s="11" t="str">
        <f t="shared" si="21"/>
        <v>mailto: soilterrain@victoria1.gov.bc.ca</v>
      </c>
    </row>
    <row r="1181" spans="1:34">
      <c r="A1181" t="s">
        <v>2793</v>
      </c>
      <c r="B1181" t="s">
        <v>56</v>
      </c>
      <c r="C1181" s="10" t="s">
        <v>1145</v>
      </c>
      <c r="D1181" t="s">
        <v>58</v>
      </c>
      <c r="E1181" t="s">
        <v>497</v>
      </c>
      <c r="F1181" t="s">
        <v>2794</v>
      </c>
      <c r="G1181">
        <v>50000</v>
      </c>
      <c r="H1181">
        <v>1978</v>
      </c>
      <c r="I1181" t="s">
        <v>58</v>
      </c>
      <c r="J1181" t="s">
        <v>58</v>
      </c>
      <c r="K1181" t="s">
        <v>58</v>
      </c>
      <c r="L1181" t="s">
        <v>58</v>
      </c>
      <c r="M1181" t="s">
        <v>58</v>
      </c>
      <c r="N1181" t="s">
        <v>61</v>
      </c>
      <c r="Q1181" t="s">
        <v>58</v>
      </c>
      <c r="R1181" s="11" t="str">
        <f>HYPERLINK("\\imagefiles.bcgov\imagery\scanned_maps\moe_terrain_maps\Scanned_T_maps_all\I18\I18-3278","\\imagefiles.bcgov\imagery\scanned_maps\moe_terrain_maps\Scanned_T_maps_all\I18\I18-3278")</f>
        <v>\\imagefiles.bcgov\imagery\scanned_maps\moe_terrain_maps\Scanned_T_maps_all\I18\I18-3278</v>
      </c>
      <c r="S1181" t="s">
        <v>62</v>
      </c>
      <c r="T1181" s="11" t="str">
        <f>HYPERLINK("http://www.env.gov.bc.ca/esd/distdata/ecosystems/TEI_Scanned_Maps/I18/I18-3278","http://www.env.gov.bc.ca/esd/distdata/ecosystems/TEI_Scanned_Maps/I18/I18-3278")</f>
        <v>http://www.env.gov.bc.ca/esd/distdata/ecosystems/TEI_Scanned_Maps/I18/I18-3278</v>
      </c>
      <c r="U1181" t="s">
        <v>58</v>
      </c>
      <c r="V1181" t="s">
        <v>58</v>
      </c>
      <c r="W1181" t="s">
        <v>58</v>
      </c>
      <c r="X1181" t="s">
        <v>58</v>
      </c>
      <c r="Y1181" t="s">
        <v>58</v>
      </c>
      <c r="Z1181" t="s">
        <v>58</v>
      </c>
      <c r="AA1181" t="s">
        <v>58</v>
      </c>
      <c r="AC1181" t="s">
        <v>58</v>
      </c>
      <c r="AE1181" t="s">
        <v>58</v>
      </c>
      <c r="AG1181" t="s">
        <v>63</v>
      </c>
      <c r="AH1181" s="11" t="str">
        <f t="shared" si="21"/>
        <v>mailto: soilterrain@victoria1.gov.bc.ca</v>
      </c>
    </row>
    <row r="1182" spans="1:34">
      <c r="A1182" t="s">
        <v>2795</v>
      </c>
      <c r="B1182" t="s">
        <v>56</v>
      </c>
      <c r="C1182" s="10" t="s">
        <v>1147</v>
      </c>
      <c r="D1182" t="s">
        <v>58</v>
      </c>
      <c r="E1182" t="s">
        <v>497</v>
      </c>
      <c r="F1182" t="s">
        <v>2796</v>
      </c>
      <c r="G1182">
        <v>50000</v>
      </c>
      <c r="H1182">
        <v>1978</v>
      </c>
      <c r="I1182" t="s">
        <v>58</v>
      </c>
      <c r="J1182" t="s">
        <v>58</v>
      </c>
      <c r="K1182" t="s">
        <v>58</v>
      </c>
      <c r="L1182" t="s">
        <v>58</v>
      </c>
      <c r="M1182" t="s">
        <v>58</v>
      </c>
      <c r="N1182" t="s">
        <v>61</v>
      </c>
      <c r="Q1182" t="s">
        <v>58</v>
      </c>
      <c r="R1182" s="11" t="str">
        <f>HYPERLINK("\\imagefiles.bcgov\imagery\scanned_maps\moe_terrain_maps\Scanned_T_maps_all\I18\I18-3279","\\imagefiles.bcgov\imagery\scanned_maps\moe_terrain_maps\Scanned_T_maps_all\I18\I18-3279")</f>
        <v>\\imagefiles.bcgov\imagery\scanned_maps\moe_terrain_maps\Scanned_T_maps_all\I18\I18-3279</v>
      </c>
      <c r="S1182" t="s">
        <v>62</v>
      </c>
      <c r="T1182" s="11" t="str">
        <f>HYPERLINK("http://www.env.gov.bc.ca/esd/distdata/ecosystems/TEI_Scanned_Maps/I18/I18-3279","http://www.env.gov.bc.ca/esd/distdata/ecosystems/TEI_Scanned_Maps/I18/I18-3279")</f>
        <v>http://www.env.gov.bc.ca/esd/distdata/ecosystems/TEI_Scanned_Maps/I18/I18-3279</v>
      </c>
      <c r="U1182" t="s">
        <v>58</v>
      </c>
      <c r="V1182" t="s">
        <v>58</v>
      </c>
      <c r="W1182" t="s">
        <v>58</v>
      </c>
      <c r="X1182" t="s">
        <v>58</v>
      </c>
      <c r="Y1182" t="s">
        <v>58</v>
      </c>
      <c r="Z1182" t="s">
        <v>58</v>
      </c>
      <c r="AA1182" t="s">
        <v>58</v>
      </c>
      <c r="AC1182" t="s">
        <v>58</v>
      </c>
      <c r="AE1182" t="s">
        <v>58</v>
      </c>
      <c r="AG1182" t="s">
        <v>63</v>
      </c>
      <c r="AH1182" s="11" t="str">
        <f t="shared" si="21"/>
        <v>mailto: soilterrain@victoria1.gov.bc.ca</v>
      </c>
    </row>
    <row r="1183" spans="1:34">
      <c r="A1183" t="s">
        <v>2797</v>
      </c>
      <c r="B1183" t="s">
        <v>56</v>
      </c>
      <c r="C1183" s="10" t="s">
        <v>1149</v>
      </c>
      <c r="D1183" t="s">
        <v>58</v>
      </c>
      <c r="E1183" t="s">
        <v>497</v>
      </c>
      <c r="F1183" t="s">
        <v>2798</v>
      </c>
      <c r="G1183">
        <v>50000</v>
      </c>
      <c r="H1183">
        <v>1978</v>
      </c>
      <c r="I1183" t="s">
        <v>58</v>
      </c>
      <c r="J1183" t="s">
        <v>58</v>
      </c>
      <c r="K1183" t="s">
        <v>58</v>
      </c>
      <c r="L1183" t="s">
        <v>58</v>
      </c>
      <c r="M1183" t="s">
        <v>58</v>
      </c>
      <c r="N1183" t="s">
        <v>61</v>
      </c>
      <c r="Q1183" t="s">
        <v>58</v>
      </c>
      <c r="R1183" s="11" t="str">
        <f>HYPERLINK("\\imagefiles.bcgov\imagery\scanned_maps\moe_terrain_maps\Scanned_T_maps_all\I18\I18-3280","\\imagefiles.bcgov\imagery\scanned_maps\moe_terrain_maps\Scanned_T_maps_all\I18\I18-3280")</f>
        <v>\\imagefiles.bcgov\imagery\scanned_maps\moe_terrain_maps\Scanned_T_maps_all\I18\I18-3280</v>
      </c>
      <c r="S1183" t="s">
        <v>62</v>
      </c>
      <c r="T1183" s="11" t="str">
        <f>HYPERLINK("http://www.env.gov.bc.ca/esd/distdata/ecosystems/TEI_Scanned_Maps/I18/I18-3280","http://www.env.gov.bc.ca/esd/distdata/ecosystems/TEI_Scanned_Maps/I18/I18-3280")</f>
        <v>http://www.env.gov.bc.ca/esd/distdata/ecosystems/TEI_Scanned_Maps/I18/I18-3280</v>
      </c>
      <c r="U1183" t="s">
        <v>58</v>
      </c>
      <c r="V1183" t="s">
        <v>58</v>
      </c>
      <c r="W1183" t="s">
        <v>58</v>
      </c>
      <c r="X1183" t="s">
        <v>58</v>
      </c>
      <c r="Y1183" t="s">
        <v>58</v>
      </c>
      <c r="Z1183" t="s">
        <v>58</v>
      </c>
      <c r="AA1183" t="s">
        <v>58</v>
      </c>
      <c r="AC1183" t="s">
        <v>58</v>
      </c>
      <c r="AE1183" t="s">
        <v>58</v>
      </c>
      <c r="AG1183" t="s">
        <v>63</v>
      </c>
      <c r="AH1183" s="11" t="str">
        <f t="shared" si="21"/>
        <v>mailto: soilterrain@victoria1.gov.bc.ca</v>
      </c>
    </row>
    <row r="1184" spans="1:34">
      <c r="A1184" t="s">
        <v>2799</v>
      </c>
      <c r="B1184" t="s">
        <v>56</v>
      </c>
      <c r="C1184" s="10" t="s">
        <v>1151</v>
      </c>
      <c r="D1184" t="s">
        <v>58</v>
      </c>
      <c r="E1184" t="s">
        <v>497</v>
      </c>
      <c r="F1184" t="s">
        <v>2800</v>
      </c>
      <c r="G1184">
        <v>50000</v>
      </c>
      <c r="H1184">
        <v>1978</v>
      </c>
      <c r="I1184" t="s">
        <v>58</v>
      </c>
      <c r="J1184" t="s">
        <v>58</v>
      </c>
      <c r="K1184" t="s">
        <v>58</v>
      </c>
      <c r="L1184" t="s">
        <v>58</v>
      </c>
      <c r="M1184" t="s">
        <v>58</v>
      </c>
      <c r="N1184" t="s">
        <v>61</v>
      </c>
      <c r="Q1184" t="s">
        <v>58</v>
      </c>
      <c r="R1184" s="11" t="str">
        <f>HYPERLINK("\\imagefiles.bcgov\imagery\scanned_maps\moe_terrain_maps\Scanned_T_maps_all\I18\I18-3281","\\imagefiles.bcgov\imagery\scanned_maps\moe_terrain_maps\Scanned_T_maps_all\I18\I18-3281")</f>
        <v>\\imagefiles.bcgov\imagery\scanned_maps\moe_terrain_maps\Scanned_T_maps_all\I18\I18-3281</v>
      </c>
      <c r="S1184" t="s">
        <v>62</v>
      </c>
      <c r="T1184" s="11" t="str">
        <f>HYPERLINK("http://www.env.gov.bc.ca/esd/distdata/ecosystems/TEI_Scanned_Maps/I18/I18-3281","http://www.env.gov.bc.ca/esd/distdata/ecosystems/TEI_Scanned_Maps/I18/I18-3281")</f>
        <v>http://www.env.gov.bc.ca/esd/distdata/ecosystems/TEI_Scanned_Maps/I18/I18-3281</v>
      </c>
      <c r="U1184" t="s">
        <v>58</v>
      </c>
      <c r="V1184" t="s">
        <v>58</v>
      </c>
      <c r="W1184" t="s">
        <v>58</v>
      </c>
      <c r="X1184" t="s">
        <v>58</v>
      </c>
      <c r="Y1184" t="s">
        <v>58</v>
      </c>
      <c r="Z1184" t="s">
        <v>58</v>
      </c>
      <c r="AA1184" t="s">
        <v>58</v>
      </c>
      <c r="AC1184" t="s">
        <v>58</v>
      </c>
      <c r="AE1184" t="s">
        <v>58</v>
      </c>
      <c r="AG1184" t="s">
        <v>63</v>
      </c>
      <c r="AH1184" s="11" t="str">
        <f t="shared" si="21"/>
        <v>mailto: soilterrain@victoria1.gov.bc.ca</v>
      </c>
    </row>
    <row r="1185" spans="1:34">
      <c r="A1185" t="s">
        <v>2801</v>
      </c>
      <c r="B1185" t="s">
        <v>56</v>
      </c>
      <c r="C1185" s="10" t="s">
        <v>1153</v>
      </c>
      <c r="D1185" t="s">
        <v>58</v>
      </c>
      <c r="E1185" t="s">
        <v>497</v>
      </c>
      <c r="F1185" t="s">
        <v>2802</v>
      </c>
      <c r="G1185">
        <v>50000</v>
      </c>
      <c r="H1185">
        <v>1978</v>
      </c>
      <c r="I1185" t="s">
        <v>58</v>
      </c>
      <c r="J1185" t="s">
        <v>58</v>
      </c>
      <c r="K1185" t="s">
        <v>58</v>
      </c>
      <c r="L1185" t="s">
        <v>58</v>
      </c>
      <c r="M1185" t="s">
        <v>58</v>
      </c>
      <c r="N1185" t="s">
        <v>61</v>
      </c>
      <c r="Q1185" t="s">
        <v>58</v>
      </c>
      <c r="R1185" s="11" t="str">
        <f>HYPERLINK("\\imagefiles.bcgov\imagery\scanned_maps\moe_terrain_maps\Scanned_T_maps_all\I18\I18-3282","\\imagefiles.bcgov\imagery\scanned_maps\moe_terrain_maps\Scanned_T_maps_all\I18\I18-3282")</f>
        <v>\\imagefiles.bcgov\imagery\scanned_maps\moe_terrain_maps\Scanned_T_maps_all\I18\I18-3282</v>
      </c>
      <c r="S1185" t="s">
        <v>62</v>
      </c>
      <c r="T1185" s="11" t="str">
        <f>HYPERLINK("http://www.env.gov.bc.ca/esd/distdata/ecosystems/TEI_Scanned_Maps/I18/I18-3282","http://www.env.gov.bc.ca/esd/distdata/ecosystems/TEI_Scanned_Maps/I18/I18-3282")</f>
        <v>http://www.env.gov.bc.ca/esd/distdata/ecosystems/TEI_Scanned_Maps/I18/I18-3282</v>
      </c>
      <c r="U1185" t="s">
        <v>58</v>
      </c>
      <c r="V1185" t="s">
        <v>58</v>
      </c>
      <c r="W1185" t="s">
        <v>58</v>
      </c>
      <c r="X1185" t="s">
        <v>58</v>
      </c>
      <c r="Y1185" t="s">
        <v>58</v>
      </c>
      <c r="Z1185" t="s">
        <v>58</v>
      </c>
      <c r="AA1185" t="s">
        <v>58</v>
      </c>
      <c r="AC1185" t="s">
        <v>58</v>
      </c>
      <c r="AE1185" t="s">
        <v>58</v>
      </c>
      <c r="AG1185" t="s">
        <v>63</v>
      </c>
      <c r="AH1185" s="11" t="str">
        <f t="shared" si="21"/>
        <v>mailto: soilterrain@victoria1.gov.bc.ca</v>
      </c>
    </row>
    <row r="1186" spans="1:34">
      <c r="A1186" t="s">
        <v>2803</v>
      </c>
      <c r="B1186" t="s">
        <v>56</v>
      </c>
      <c r="C1186" s="10" t="s">
        <v>1155</v>
      </c>
      <c r="D1186" t="s">
        <v>58</v>
      </c>
      <c r="E1186" t="s">
        <v>497</v>
      </c>
      <c r="F1186" t="s">
        <v>2804</v>
      </c>
      <c r="G1186">
        <v>50000</v>
      </c>
      <c r="H1186">
        <v>1978</v>
      </c>
      <c r="I1186" t="s">
        <v>58</v>
      </c>
      <c r="J1186" t="s">
        <v>58</v>
      </c>
      <c r="K1186" t="s">
        <v>58</v>
      </c>
      <c r="L1186" t="s">
        <v>58</v>
      </c>
      <c r="M1186" t="s">
        <v>58</v>
      </c>
      <c r="N1186" t="s">
        <v>61</v>
      </c>
      <c r="Q1186" t="s">
        <v>58</v>
      </c>
      <c r="R1186" s="11" t="str">
        <f>HYPERLINK("\\imagefiles.bcgov\imagery\scanned_maps\moe_terrain_maps\Scanned_T_maps_all\I18\I18-3283","\\imagefiles.bcgov\imagery\scanned_maps\moe_terrain_maps\Scanned_T_maps_all\I18\I18-3283")</f>
        <v>\\imagefiles.bcgov\imagery\scanned_maps\moe_terrain_maps\Scanned_T_maps_all\I18\I18-3283</v>
      </c>
      <c r="S1186" t="s">
        <v>62</v>
      </c>
      <c r="T1186" s="11" t="str">
        <f>HYPERLINK("http://www.env.gov.bc.ca/esd/distdata/ecosystems/TEI_Scanned_Maps/I18/I18-3283","http://www.env.gov.bc.ca/esd/distdata/ecosystems/TEI_Scanned_Maps/I18/I18-3283")</f>
        <v>http://www.env.gov.bc.ca/esd/distdata/ecosystems/TEI_Scanned_Maps/I18/I18-3283</v>
      </c>
      <c r="U1186" t="s">
        <v>58</v>
      </c>
      <c r="V1186" t="s">
        <v>58</v>
      </c>
      <c r="W1186" t="s">
        <v>58</v>
      </c>
      <c r="X1186" t="s">
        <v>58</v>
      </c>
      <c r="Y1186" t="s">
        <v>58</v>
      </c>
      <c r="Z1186" t="s">
        <v>58</v>
      </c>
      <c r="AA1186" t="s">
        <v>58</v>
      </c>
      <c r="AC1186" t="s">
        <v>58</v>
      </c>
      <c r="AE1186" t="s">
        <v>58</v>
      </c>
      <c r="AG1186" t="s">
        <v>63</v>
      </c>
      <c r="AH1186" s="11" t="str">
        <f t="shared" si="21"/>
        <v>mailto: soilterrain@victoria1.gov.bc.ca</v>
      </c>
    </row>
    <row r="1187" spans="1:34">
      <c r="A1187" t="s">
        <v>2805</v>
      </c>
      <c r="B1187" t="s">
        <v>56</v>
      </c>
      <c r="C1187" s="10" t="s">
        <v>1157</v>
      </c>
      <c r="D1187" t="s">
        <v>58</v>
      </c>
      <c r="E1187" t="s">
        <v>497</v>
      </c>
      <c r="F1187" t="s">
        <v>2806</v>
      </c>
      <c r="G1187">
        <v>50000</v>
      </c>
      <c r="H1187">
        <v>1978</v>
      </c>
      <c r="I1187" t="s">
        <v>58</v>
      </c>
      <c r="J1187" t="s">
        <v>58</v>
      </c>
      <c r="K1187" t="s">
        <v>58</v>
      </c>
      <c r="L1187" t="s">
        <v>58</v>
      </c>
      <c r="M1187" t="s">
        <v>58</v>
      </c>
      <c r="N1187" t="s">
        <v>61</v>
      </c>
      <c r="Q1187" t="s">
        <v>58</v>
      </c>
      <c r="R1187" s="11" t="str">
        <f>HYPERLINK("\\imagefiles.bcgov\imagery\scanned_maps\moe_terrain_maps\Scanned_T_maps_all\I18\I18-3284","\\imagefiles.bcgov\imagery\scanned_maps\moe_terrain_maps\Scanned_T_maps_all\I18\I18-3284")</f>
        <v>\\imagefiles.bcgov\imagery\scanned_maps\moe_terrain_maps\Scanned_T_maps_all\I18\I18-3284</v>
      </c>
      <c r="S1187" t="s">
        <v>62</v>
      </c>
      <c r="T1187" s="11" t="str">
        <f>HYPERLINK("http://www.env.gov.bc.ca/esd/distdata/ecosystems/TEI_Scanned_Maps/I18/I18-3284","http://www.env.gov.bc.ca/esd/distdata/ecosystems/TEI_Scanned_Maps/I18/I18-3284")</f>
        <v>http://www.env.gov.bc.ca/esd/distdata/ecosystems/TEI_Scanned_Maps/I18/I18-3284</v>
      </c>
      <c r="U1187" t="s">
        <v>58</v>
      </c>
      <c r="V1187" t="s">
        <v>58</v>
      </c>
      <c r="W1187" t="s">
        <v>58</v>
      </c>
      <c r="X1187" t="s">
        <v>58</v>
      </c>
      <c r="Y1187" t="s">
        <v>58</v>
      </c>
      <c r="Z1187" t="s">
        <v>58</v>
      </c>
      <c r="AA1187" t="s">
        <v>58</v>
      </c>
      <c r="AC1187" t="s">
        <v>58</v>
      </c>
      <c r="AE1187" t="s">
        <v>58</v>
      </c>
      <c r="AG1187" t="s">
        <v>63</v>
      </c>
      <c r="AH1187" s="11" t="str">
        <f t="shared" si="21"/>
        <v>mailto: soilterrain@victoria1.gov.bc.ca</v>
      </c>
    </row>
    <row r="1188" spans="1:34">
      <c r="A1188" t="s">
        <v>2807</v>
      </c>
      <c r="B1188" t="s">
        <v>56</v>
      </c>
      <c r="C1188" s="10" t="s">
        <v>1159</v>
      </c>
      <c r="D1188" t="s">
        <v>58</v>
      </c>
      <c r="E1188" t="s">
        <v>497</v>
      </c>
      <c r="F1188" t="s">
        <v>2808</v>
      </c>
      <c r="G1188">
        <v>50000</v>
      </c>
      <c r="H1188">
        <v>1978</v>
      </c>
      <c r="I1188" t="s">
        <v>58</v>
      </c>
      <c r="J1188" t="s">
        <v>58</v>
      </c>
      <c r="K1188" t="s">
        <v>58</v>
      </c>
      <c r="L1188" t="s">
        <v>58</v>
      </c>
      <c r="M1188" t="s">
        <v>58</v>
      </c>
      <c r="N1188" t="s">
        <v>61</v>
      </c>
      <c r="Q1188" t="s">
        <v>58</v>
      </c>
      <c r="R1188" s="11" t="str">
        <f>HYPERLINK("\\imagefiles.bcgov\imagery\scanned_maps\moe_terrain_maps\Scanned_T_maps_all\I18\I18-3285","\\imagefiles.bcgov\imagery\scanned_maps\moe_terrain_maps\Scanned_T_maps_all\I18\I18-3285")</f>
        <v>\\imagefiles.bcgov\imagery\scanned_maps\moe_terrain_maps\Scanned_T_maps_all\I18\I18-3285</v>
      </c>
      <c r="S1188" t="s">
        <v>62</v>
      </c>
      <c r="T1188" s="11" t="str">
        <f>HYPERLINK("http://www.env.gov.bc.ca/esd/distdata/ecosystems/TEI_Scanned_Maps/I18/I18-3285","http://www.env.gov.bc.ca/esd/distdata/ecosystems/TEI_Scanned_Maps/I18/I18-3285")</f>
        <v>http://www.env.gov.bc.ca/esd/distdata/ecosystems/TEI_Scanned_Maps/I18/I18-3285</v>
      </c>
      <c r="U1188" t="s">
        <v>58</v>
      </c>
      <c r="V1188" t="s">
        <v>58</v>
      </c>
      <c r="W1188" t="s">
        <v>58</v>
      </c>
      <c r="X1188" t="s">
        <v>58</v>
      </c>
      <c r="Y1188" t="s">
        <v>58</v>
      </c>
      <c r="Z1188" t="s">
        <v>58</v>
      </c>
      <c r="AA1188" t="s">
        <v>58</v>
      </c>
      <c r="AC1188" t="s">
        <v>58</v>
      </c>
      <c r="AE1188" t="s">
        <v>58</v>
      </c>
      <c r="AG1188" t="s">
        <v>63</v>
      </c>
      <c r="AH1188" s="11" t="str">
        <f t="shared" si="21"/>
        <v>mailto: soilterrain@victoria1.gov.bc.ca</v>
      </c>
    </row>
    <row r="1189" spans="1:34">
      <c r="A1189" t="s">
        <v>2809</v>
      </c>
      <c r="B1189" t="s">
        <v>56</v>
      </c>
      <c r="C1189" s="10" t="s">
        <v>1163</v>
      </c>
      <c r="D1189" t="s">
        <v>58</v>
      </c>
      <c r="E1189" t="s">
        <v>497</v>
      </c>
      <c r="F1189" t="s">
        <v>2810</v>
      </c>
      <c r="G1189">
        <v>50000</v>
      </c>
      <c r="H1189">
        <v>1978</v>
      </c>
      <c r="I1189" t="s">
        <v>58</v>
      </c>
      <c r="J1189" t="s">
        <v>58</v>
      </c>
      <c r="K1189" t="s">
        <v>58</v>
      </c>
      <c r="L1189" t="s">
        <v>58</v>
      </c>
      <c r="M1189" t="s">
        <v>58</v>
      </c>
      <c r="N1189" t="s">
        <v>61</v>
      </c>
      <c r="Q1189" t="s">
        <v>58</v>
      </c>
      <c r="R1189" s="11" t="str">
        <f>HYPERLINK("\\imagefiles.bcgov\imagery\scanned_maps\moe_terrain_maps\Scanned_T_maps_all\I18\I18-3286","\\imagefiles.bcgov\imagery\scanned_maps\moe_terrain_maps\Scanned_T_maps_all\I18\I18-3286")</f>
        <v>\\imagefiles.bcgov\imagery\scanned_maps\moe_terrain_maps\Scanned_T_maps_all\I18\I18-3286</v>
      </c>
      <c r="S1189" t="s">
        <v>62</v>
      </c>
      <c r="T1189" s="11" t="str">
        <f>HYPERLINK("http://www.env.gov.bc.ca/esd/distdata/ecosystems/TEI_Scanned_Maps/I18/I18-3286","http://www.env.gov.bc.ca/esd/distdata/ecosystems/TEI_Scanned_Maps/I18/I18-3286")</f>
        <v>http://www.env.gov.bc.ca/esd/distdata/ecosystems/TEI_Scanned_Maps/I18/I18-3286</v>
      </c>
      <c r="U1189" t="s">
        <v>58</v>
      </c>
      <c r="V1189" t="s">
        <v>58</v>
      </c>
      <c r="W1189" t="s">
        <v>58</v>
      </c>
      <c r="X1189" t="s">
        <v>58</v>
      </c>
      <c r="Y1189" t="s">
        <v>58</v>
      </c>
      <c r="Z1189" t="s">
        <v>58</v>
      </c>
      <c r="AA1189" t="s">
        <v>58</v>
      </c>
      <c r="AC1189" t="s">
        <v>58</v>
      </c>
      <c r="AE1189" t="s">
        <v>58</v>
      </c>
      <c r="AG1189" t="s">
        <v>63</v>
      </c>
      <c r="AH1189" s="11" t="str">
        <f t="shared" si="21"/>
        <v>mailto: soilterrain@victoria1.gov.bc.ca</v>
      </c>
    </row>
    <row r="1190" spans="1:34">
      <c r="A1190" t="s">
        <v>2811</v>
      </c>
      <c r="B1190" t="s">
        <v>56</v>
      </c>
      <c r="C1190" s="10" t="s">
        <v>1165</v>
      </c>
      <c r="D1190" t="s">
        <v>58</v>
      </c>
      <c r="E1190" t="s">
        <v>497</v>
      </c>
      <c r="F1190" t="s">
        <v>2812</v>
      </c>
      <c r="G1190">
        <v>50000</v>
      </c>
      <c r="H1190">
        <v>1978</v>
      </c>
      <c r="I1190" t="s">
        <v>58</v>
      </c>
      <c r="J1190" t="s">
        <v>58</v>
      </c>
      <c r="K1190" t="s">
        <v>58</v>
      </c>
      <c r="L1190" t="s">
        <v>58</v>
      </c>
      <c r="M1190" t="s">
        <v>58</v>
      </c>
      <c r="N1190" t="s">
        <v>61</v>
      </c>
      <c r="Q1190" t="s">
        <v>58</v>
      </c>
      <c r="R1190" s="11" t="str">
        <f>HYPERLINK("\\imagefiles.bcgov\imagery\scanned_maps\moe_terrain_maps\Scanned_T_maps_all\I18\I18-3287","\\imagefiles.bcgov\imagery\scanned_maps\moe_terrain_maps\Scanned_T_maps_all\I18\I18-3287")</f>
        <v>\\imagefiles.bcgov\imagery\scanned_maps\moe_terrain_maps\Scanned_T_maps_all\I18\I18-3287</v>
      </c>
      <c r="S1190" t="s">
        <v>62</v>
      </c>
      <c r="T1190" s="11" t="str">
        <f>HYPERLINK("http://www.env.gov.bc.ca/esd/distdata/ecosystems/TEI_Scanned_Maps/I18/I18-3287","http://www.env.gov.bc.ca/esd/distdata/ecosystems/TEI_Scanned_Maps/I18/I18-3287")</f>
        <v>http://www.env.gov.bc.ca/esd/distdata/ecosystems/TEI_Scanned_Maps/I18/I18-3287</v>
      </c>
      <c r="U1190" t="s">
        <v>58</v>
      </c>
      <c r="V1190" t="s">
        <v>58</v>
      </c>
      <c r="W1190" t="s">
        <v>58</v>
      </c>
      <c r="X1190" t="s">
        <v>58</v>
      </c>
      <c r="Y1190" t="s">
        <v>58</v>
      </c>
      <c r="Z1190" t="s">
        <v>58</v>
      </c>
      <c r="AA1190" t="s">
        <v>58</v>
      </c>
      <c r="AC1190" t="s">
        <v>58</v>
      </c>
      <c r="AE1190" t="s">
        <v>58</v>
      </c>
      <c r="AG1190" t="s">
        <v>63</v>
      </c>
      <c r="AH1190" s="11" t="str">
        <f t="shared" si="21"/>
        <v>mailto: soilterrain@victoria1.gov.bc.ca</v>
      </c>
    </row>
    <row r="1191" spans="1:34">
      <c r="A1191" t="s">
        <v>2813</v>
      </c>
      <c r="B1191" t="s">
        <v>56</v>
      </c>
      <c r="C1191" s="10" t="s">
        <v>1169</v>
      </c>
      <c r="D1191" t="s">
        <v>58</v>
      </c>
      <c r="E1191" t="s">
        <v>497</v>
      </c>
      <c r="F1191" t="s">
        <v>2814</v>
      </c>
      <c r="G1191">
        <v>50000</v>
      </c>
      <c r="H1191">
        <v>1978</v>
      </c>
      <c r="I1191" t="s">
        <v>58</v>
      </c>
      <c r="J1191" t="s">
        <v>58</v>
      </c>
      <c r="K1191" t="s">
        <v>58</v>
      </c>
      <c r="L1191" t="s">
        <v>58</v>
      </c>
      <c r="M1191" t="s">
        <v>58</v>
      </c>
      <c r="N1191" t="s">
        <v>61</v>
      </c>
      <c r="Q1191" t="s">
        <v>58</v>
      </c>
      <c r="R1191" s="11" t="str">
        <f>HYPERLINK("\\imagefiles.bcgov\imagery\scanned_maps\moe_terrain_maps\Scanned_T_maps_all\I18\I18-3288","\\imagefiles.bcgov\imagery\scanned_maps\moe_terrain_maps\Scanned_T_maps_all\I18\I18-3288")</f>
        <v>\\imagefiles.bcgov\imagery\scanned_maps\moe_terrain_maps\Scanned_T_maps_all\I18\I18-3288</v>
      </c>
      <c r="S1191" t="s">
        <v>62</v>
      </c>
      <c r="T1191" s="11" t="str">
        <f>HYPERLINK("http://www.env.gov.bc.ca/esd/distdata/ecosystems/TEI_Scanned_Maps/I18/I18-3288","http://www.env.gov.bc.ca/esd/distdata/ecosystems/TEI_Scanned_Maps/I18/I18-3288")</f>
        <v>http://www.env.gov.bc.ca/esd/distdata/ecosystems/TEI_Scanned_Maps/I18/I18-3288</v>
      </c>
      <c r="U1191" t="s">
        <v>58</v>
      </c>
      <c r="V1191" t="s">
        <v>58</v>
      </c>
      <c r="W1191" t="s">
        <v>58</v>
      </c>
      <c r="X1191" t="s">
        <v>58</v>
      </c>
      <c r="Y1191" t="s">
        <v>58</v>
      </c>
      <c r="Z1191" t="s">
        <v>58</v>
      </c>
      <c r="AA1191" t="s">
        <v>58</v>
      </c>
      <c r="AC1191" t="s">
        <v>58</v>
      </c>
      <c r="AE1191" t="s">
        <v>58</v>
      </c>
      <c r="AG1191" t="s">
        <v>63</v>
      </c>
      <c r="AH1191" s="11" t="str">
        <f t="shared" si="21"/>
        <v>mailto: soilterrain@victoria1.gov.bc.ca</v>
      </c>
    </row>
    <row r="1192" spans="1:34">
      <c r="A1192" t="s">
        <v>2815</v>
      </c>
      <c r="B1192" t="s">
        <v>56</v>
      </c>
      <c r="C1192" s="10" t="s">
        <v>1171</v>
      </c>
      <c r="D1192" t="s">
        <v>58</v>
      </c>
      <c r="E1192" t="s">
        <v>497</v>
      </c>
      <c r="F1192" t="s">
        <v>2816</v>
      </c>
      <c r="G1192">
        <v>50000</v>
      </c>
      <c r="H1192">
        <v>1978</v>
      </c>
      <c r="I1192" t="s">
        <v>58</v>
      </c>
      <c r="J1192" t="s">
        <v>58</v>
      </c>
      <c r="K1192" t="s">
        <v>58</v>
      </c>
      <c r="L1192" t="s">
        <v>58</v>
      </c>
      <c r="M1192" t="s">
        <v>58</v>
      </c>
      <c r="N1192" t="s">
        <v>61</v>
      </c>
      <c r="Q1192" t="s">
        <v>58</v>
      </c>
      <c r="R1192" s="11" t="str">
        <f>HYPERLINK("\\imagefiles.bcgov\imagery\scanned_maps\moe_terrain_maps\Scanned_T_maps_all\I18\I18-3289","\\imagefiles.bcgov\imagery\scanned_maps\moe_terrain_maps\Scanned_T_maps_all\I18\I18-3289")</f>
        <v>\\imagefiles.bcgov\imagery\scanned_maps\moe_terrain_maps\Scanned_T_maps_all\I18\I18-3289</v>
      </c>
      <c r="S1192" t="s">
        <v>62</v>
      </c>
      <c r="T1192" s="11" t="str">
        <f>HYPERLINK("http://www.env.gov.bc.ca/esd/distdata/ecosystems/TEI_Scanned_Maps/I18/I18-3289","http://www.env.gov.bc.ca/esd/distdata/ecosystems/TEI_Scanned_Maps/I18/I18-3289")</f>
        <v>http://www.env.gov.bc.ca/esd/distdata/ecosystems/TEI_Scanned_Maps/I18/I18-3289</v>
      </c>
      <c r="U1192" t="s">
        <v>58</v>
      </c>
      <c r="V1192" t="s">
        <v>58</v>
      </c>
      <c r="W1192" t="s">
        <v>58</v>
      </c>
      <c r="X1192" t="s">
        <v>58</v>
      </c>
      <c r="Y1192" t="s">
        <v>58</v>
      </c>
      <c r="Z1192" t="s">
        <v>58</v>
      </c>
      <c r="AA1192" t="s">
        <v>58</v>
      </c>
      <c r="AC1192" t="s">
        <v>58</v>
      </c>
      <c r="AE1192" t="s">
        <v>58</v>
      </c>
      <c r="AG1192" t="s">
        <v>63</v>
      </c>
      <c r="AH1192" s="11" t="str">
        <f t="shared" si="21"/>
        <v>mailto: soilterrain@victoria1.gov.bc.ca</v>
      </c>
    </row>
    <row r="1193" spans="1:34">
      <c r="A1193" t="s">
        <v>2817</v>
      </c>
      <c r="B1193" t="s">
        <v>56</v>
      </c>
      <c r="C1193" s="10" t="s">
        <v>923</v>
      </c>
      <c r="D1193" t="s">
        <v>58</v>
      </c>
      <c r="E1193" t="s">
        <v>497</v>
      </c>
      <c r="F1193" t="s">
        <v>2818</v>
      </c>
      <c r="G1193">
        <v>50000</v>
      </c>
      <c r="H1193">
        <v>1978</v>
      </c>
      <c r="I1193" t="s">
        <v>58</v>
      </c>
      <c r="J1193" t="s">
        <v>58</v>
      </c>
      <c r="K1193" t="s">
        <v>58</v>
      </c>
      <c r="L1193" t="s">
        <v>58</v>
      </c>
      <c r="M1193" t="s">
        <v>58</v>
      </c>
      <c r="N1193" t="s">
        <v>61</v>
      </c>
      <c r="Q1193" t="s">
        <v>58</v>
      </c>
      <c r="R1193" s="11" t="str">
        <f>HYPERLINK("\\imagefiles.bcgov\imagery\scanned_maps\moe_terrain_maps\Scanned_T_maps_all\I18\I18-3290","\\imagefiles.bcgov\imagery\scanned_maps\moe_terrain_maps\Scanned_T_maps_all\I18\I18-3290")</f>
        <v>\\imagefiles.bcgov\imagery\scanned_maps\moe_terrain_maps\Scanned_T_maps_all\I18\I18-3290</v>
      </c>
      <c r="S1193" t="s">
        <v>62</v>
      </c>
      <c r="T1193" s="11" t="str">
        <f>HYPERLINK("http://www.env.gov.bc.ca/esd/distdata/ecosystems/TEI_Scanned_Maps/I18/I18-3290","http://www.env.gov.bc.ca/esd/distdata/ecosystems/TEI_Scanned_Maps/I18/I18-3290")</f>
        <v>http://www.env.gov.bc.ca/esd/distdata/ecosystems/TEI_Scanned_Maps/I18/I18-3290</v>
      </c>
      <c r="U1193" t="s">
        <v>58</v>
      </c>
      <c r="V1193" t="s">
        <v>58</v>
      </c>
      <c r="W1193" t="s">
        <v>58</v>
      </c>
      <c r="X1193" t="s">
        <v>58</v>
      </c>
      <c r="Y1193" t="s">
        <v>58</v>
      </c>
      <c r="Z1193" t="s">
        <v>58</v>
      </c>
      <c r="AA1193" t="s">
        <v>58</v>
      </c>
      <c r="AC1193" t="s">
        <v>58</v>
      </c>
      <c r="AE1193" t="s">
        <v>58</v>
      </c>
      <c r="AG1193" t="s">
        <v>63</v>
      </c>
      <c r="AH1193" s="11" t="str">
        <f t="shared" si="21"/>
        <v>mailto: soilterrain@victoria1.gov.bc.ca</v>
      </c>
    </row>
    <row r="1194" spans="1:34">
      <c r="A1194" t="s">
        <v>2819</v>
      </c>
      <c r="B1194" t="s">
        <v>56</v>
      </c>
      <c r="C1194" s="10" t="s">
        <v>1176</v>
      </c>
      <c r="D1194" t="s">
        <v>58</v>
      </c>
      <c r="E1194" t="s">
        <v>497</v>
      </c>
      <c r="F1194" t="s">
        <v>2820</v>
      </c>
      <c r="G1194">
        <v>50000</v>
      </c>
      <c r="H1194">
        <v>1978</v>
      </c>
      <c r="I1194" t="s">
        <v>58</v>
      </c>
      <c r="J1194" t="s">
        <v>58</v>
      </c>
      <c r="K1194" t="s">
        <v>58</v>
      </c>
      <c r="L1194" t="s">
        <v>58</v>
      </c>
      <c r="M1194" t="s">
        <v>58</v>
      </c>
      <c r="N1194" t="s">
        <v>61</v>
      </c>
      <c r="Q1194" t="s">
        <v>58</v>
      </c>
      <c r="R1194" s="11" t="str">
        <f>HYPERLINK("\\imagefiles.bcgov\imagery\scanned_maps\moe_terrain_maps\Scanned_T_maps_all\I18\I18-3291","\\imagefiles.bcgov\imagery\scanned_maps\moe_terrain_maps\Scanned_T_maps_all\I18\I18-3291")</f>
        <v>\\imagefiles.bcgov\imagery\scanned_maps\moe_terrain_maps\Scanned_T_maps_all\I18\I18-3291</v>
      </c>
      <c r="S1194" t="s">
        <v>62</v>
      </c>
      <c r="T1194" s="11" t="str">
        <f>HYPERLINK("http://www.env.gov.bc.ca/esd/distdata/ecosystems/TEI_Scanned_Maps/I18/I18-3291","http://www.env.gov.bc.ca/esd/distdata/ecosystems/TEI_Scanned_Maps/I18/I18-3291")</f>
        <v>http://www.env.gov.bc.ca/esd/distdata/ecosystems/TEI_Scanned_Maps/I18/I18-3291</v>
      </c>
      <c r="U1194" t="s">
        <v>58</v>
      </c>
      <c r="V1194" t="s">
        <v>58</v>
      </c>
      <c r="W1194" t="s">
        <v>58</v>
      </c>
      <c r="X1194" t="s">
        <v>58</v>
      </c>
      <c r="Y1194" t="s">
        <v>58</v>
      </c>
      <c r="Z1194" t="s">
        <v>58</v>
      </c>
      <c r="AA1194" t="s">
        <v>58</v>
      </c>
      <c r="AC1194" t="s">
        <v>58</v>
      </c>
      <c r="AE1194" t="s">
        <v>58</v>
      </c>
      <c r="AG1194" t="s">
        <v>63</v>
      </c>
      <c r="AH1194" s="11" t="str">
        <f t="shared" si="21"/>
        <v>mailto: soilterrain@victoria1.gov.bc.ca</v>
      </c>
    </row>
    <row r="1195" spans="1:34">
      <c r="A1195" t="s">
        <v>2821</v>
      </c>
      <c r="B1195" t="s">
        <v>56</v>
      </c>
      <c r="C1195" s="10" t="s">
        <v>936</v>
      </c>
      <c r="D1195" t="s">
        <v>58</v>
      </c>
      <c r="E1195" t="s">
        <v>497</v>
      </c>
      <c r="F1195" t="s">
        <v>2822</v>
      </c>
      <c r="G1195">
        <v>50000</v>
      </c>
      <c r="H1195">
        <v>1978</v>
      </c>
      <c r="I1195" t="s">
        <v>58</v>
      </c>
      <c r="J1195" t="s">
        <v>58</v>
      </c>
      <c r="K1195" t="s">
        <v>58</v>
      </c>
      <c r="L1195" t="s">
        <v>58</v>
      </c>
      <c r="M1195" t="s">
        <v>58</v>
      </c>
      <c r="N1195" t="s">
        <v>61</v>
      </c>
      <c r="Q1195" t="s">
        <v>58</v>
      </c>
      <c r="R1195" s="11" t="str">
        <f>HYPERLINK("\\imagefiles.bcgov\imagery\scanned_maps\moe_terrain_maps\Scanned_T_maps_all\I18\I18-3292","\\imagefiles.bcgov\imagery\scanned_maps\moe_terrain_maps\Scanned_T_maps_all\I18\I18-3292")</f>
        <v>\\imagefiles.bcgov\imagery\scanned_maps\moe_terrain_maps\Scanned_T_maps_all\I18\I18-3292</v>
      </c>
      <c r="S1195" t="s">
        <v>62</v>
      </c>
      <c r="T1195" s="11" t="str">
        <f>HYPERLINK("http://www.env.gov.bc.ca/esd/distdata/ecosystems/TEI_Scanned_Maps/I18/I18-3292","http://www.env.gov.bc.ca/esd/distdata/ecosystems/TEI_Scanned_Maps/I18/I18-3292")</f>
        <v>http://www.env.gov.bc.ca/esd/distdata/ecosystems/TEI_Scanned_Maps/I18/I18-3292</v>
      </c>
      <c r="U1195" t="s">
        <v>58</v>
      </c>
      <c r="V1195" t="s">
        <v>58</v>
      </c>
      <c r="W1195" t="s">
        <v>58</v>
      </c>
      <c r="X1195" t="s">
        <v>58</v>
      </c>
      <c r="Y1195" t="s">
        <v>58</v>
      </c>
      <c r="Z1195" t="s">
        <v>58</v>
      </c>
      <c r="AA1195" t="s">
        <v>58</v>
      </c>
      <c r="AC1195" t="s">
        <v>58</v>
      </c>
      <c r="AE1195" t="s">
        <v>58</v>
      </c>
      <c r="AG1195" t="s">
        <v>63</v>
      </c>
      <c r="AH1195" s="11" t="str">
        <f t="shared" si="21"/>
        <v>mailto: soilterrain@victoria1.gov.bc.ca</v>
      </c>
    </row>
    <row r="1196" spans="1:34">
      <c r="A1196" t="s">
        <v>2823</v>
      </c>
      <c r="B1196" t="s">
        <v>56</v>
      </c>
      <c r="C1196" s="10" t="s">
        <v>1275</v>
      </c>
      <c r="D1196" t="s">
        <v>58</v>
      </c>
      <c r="E1196" t="s">
        <v>497</v>
      </c>
      <c r="F1196" t="s">
        <v>2824</v>
      </c>
      <c r="G1196">
        <v>50000</v>
      </c>
      <c r="H1196">
        <v>1978</v>
      </c>
      <c r="I1196" t="s">
        <v>58</v>
      </c>
      <c r="J1196" t="s">
        <v>58</v>
      </c>
      <c r="K1196" t="s">
        <v>58</v>
      </c>
      <c r="L1196" t="s">
        <v>58</v>
      </c>
      <c r="M1196" t="s">
        <v>58</v>
      </c>
      <c r="N1196" t="s">
        <v>61</v>
      </c>
      <c r="Q1196" t="s">
        <v>58</v>
      </c>
      <c r="R1196" s="11" t="str">
        <f>HYPERLINK("\\imagefiles.bcgov\imagery\scanned_maps\moe_terrain_maps\Scanned_T_maps_all\I18\I18-3293","\\imagefiles.bcgov\imagery\scanned_maps\moe_terrain_maps\Scanned_T_maps_all\I18\I18-3293")</f>
        <v>\\imagefiles.bcgov\imagery\scanned_maps\moe_terrain_maps\Scanned_T_maps_all\I18\I18-3293</v>
      </c>
      <c r="S1196" t="s">
        <v>62</v>
      </c>
      <c r="T1196" s="11" t="str">
        <f>HYPERLINK("http://www.env.gov.bc.ca/esd/distdata/ecosystems/TEI_Scanned_Maps/I18/I18-3293","http://www.env.gov.bc.ca/esd/distdata/ecosystems/TEI_Scanned_Maps/I18/I18-3293")</f>
        <v>http://www.env.gov.bc.ca/esd/distdata/ecosystems/TEI_Scanned_Maps/I18/I18-3293</v>
      </c>
      <c r="U1196" t="s">
        <v>58</v>
      </c>
      <c r="V1196" t="s">
        <v>58</v>
      </c>
      <c r="W1196" t="s">
        <v>58</v>
      </c>
      <c r="X1196" t="s">
        <v>58</v>
      </c>
      <c r="Y1196" t="s">
        <v>58</v>
      </c>
      <c r="Z1196" t="s">
        <v>58</v>
      </c>
      <c r="AA1196" t="s">
        <v>58</v>
      </c>
      <c r="AC1196" t="s">
        <v>58</v>
      </c>
      <c r="AE1196" t="s">
        <v>58</v>
      </c>
      <c r="AG1196" t="s">
        <v>63</v>
      </c>
      <c r="AH1196" s="11" t="str">
        <f t="shared" si="21"/>
        <v>mailto: soilterrain@victoria1.gov.bc.ca</v>
      </c>
    </row>
    <row r="1197" spans="1:34">
      <c r="A1197" t="s">
        <v>2825</v>
      </c>
      <c r="B1197" t="s">
        <v>56</v>
      </c>
      <c r="C1197" s="10" t="s">
        <v>1277</v>
      </c>
      <c r="D1197" t="s">
        <v>58</v>
      </c>
      <c r="E1197" t="s">
        <v>497</v>
      </c>
      <c r="F1197" t="s">
        <v>2826</v>
      </c>
      <c r="G1197">
        <v>50000</v>
      </c>
      <c r="H1197">
        <v>1978</v>
      </c>
      <c r="I1197" t="s">
        <v>58</v>
      </c>
      <c r="J1197" t="s">
        <v>58</v>
      </c>
      <c r="K1197" t="s">
        <v>58</v>
      </c>
      <c r="L1197" t="s">
        <v>58</v>
      </c>
      <c r="M1197" t="s">
        <v>58</v>
      </c>
      <c r="N1197" t="s">
        <v>61</v>
      </c>
      <c r="Q1197" t="s">
        <v>58</v>
      </c>
      <c r="R1197" s="11" t="str">
        <f>HYPERLINK("\\imagefiles.bcgov\imagery\scanned_maps\moe_terrain_maps\Scanned_T_maps_all\I18\I18-3294","\\imagefiles.bcgov\imagery\scanned_maps\moe_terrain_maps\Scanned_T_maps_all\I18\I18-3294")</f>
        <v>\\imagefiles.bcgov\imagery\scanned_maps\moe_terrain_maps\Scanned_T_maps_all\I18\I18-3294</v>
      </c>
      <c r="S1197" t="s">
        <v>62</v>
      </c>
      <c r="T1197" s="11" t="str">
        <f>HYPERLINK("http://www.env.gov.bc.ca/esd/distdata/ecosystems/TEI_Scanned_Maps/I18/I18-3294","http://www.env.gov.bc.ca/esd/distdata/ecosystems/TEI_Scanned_Maps/I18/I18-3294")</f>
        <v>http://www.env.gov.bc.ca/esd/distdata/ecosystems/TEI_Scanned_Maps/I18/I18-3294</v>
      </c>
      <c r="U1197" t="s">
        <v>58</v>
      </c>
      <c r="V1197" t="s">
        <v>58</v>
      </c>
      <c r="W1197" t="s">
        <v>58</v>
      </c>
      <c r="X1197" t="s">
        <v>58</v>
      </c>
      <c r="Y1197" t="s">
        <v>58</v>
      </c>
      <c r="Z1197" t="s">
        <v>58</v>
      </c>
      <c r="AA1197" t="s">
        <v>58</v>
      </c>
      <c r="AC1197" t="s">
        <v>58</v>
      </c>
      <c r="AE1197" t="s">
        <v>58</v>
      </c>
      <c r="AG1197" t="s">
        <v>63</v>
      </c>
      <c r="AH1197" s="11" t="str">
        <f t="shared" si="21"/>
        <v>mailto: soilterrain@victoria1.gov.bc.ca</v>
      </c>
    </row>
    <row r="1198" spans="1:34">
      <c r="A1198" t="s">
        <v>2827</v>
      </c>
      <c r="B1198" t="s">
        <v>56</v>
      </c>
      <c r="C1198" s="10" t="s">
        <v>1279</v>
      </c>
      <c r="D1198" t="s">
        <v>58</v>
      </c>
      <c r="E1198" t="s">
        <v>497</v>
      </c>
      <c r="F1198" t="s">
        <v>2828</v>
      </c>
      <c r="G1198">
        <v>50000</v>
      </c>
      <c r="H1198">
        <v>1978</v>
      </c>
      <c r="I1198" t="s">
        <v>58</v>
      </c>
      <c r="J1198" t="s">
        <v>58</v>
      </c>
      <c r="K1198" t="s">
        <v>58</v>
      </c>
      <c r="L1198" t="s">
        <v>58</v>
      </c>
      <c r="M1198" t="s">
        <v>58</v>
      </c>
      <c r="N1198" t="s">
        <v>61</v>
      </c>
      <c r="Q1198" t="s">
        <v>58</v>
      </c>
      <c r="R1198" s="11" t="str">
        <f>HYPERLINK("\\imagefiles.bcgov\imagery\scanned_maps\moe_terrain_maps\Scanned_T_maps_all\I18\I18-3295","\\imagefiles.bcgov\imagery\scanned_maps\moe_terrain_maps\Scanned_T_maps_all\I18\I18-3295")</f>
        <v>\\imagefiles.bcgov\imagery\scanned_maps\moe_terrain_maps\Scanned_T_maps_all\I18\I18-3295</v>
      </c>
      <c r="S1198" t="s">
        <v>62</v>
      </c>
      <c r="T1198" s="11" t="str">
        <f>HYPERLINK("http://www.env.gov.bc.ca/esd/distdata/ecosystems/TEI_Scanned_Maps/I18/I18-3295","http://www.env.gov.bc.ca/esd/distdata/ecosystems/TEI_Scanned_Maps/I18/I18-3295")</f>
        <v>http://www.env.gov.bc.ca/esd/distdata/ecosystems/TEI_Scanned_Maps/I18/I18-3295</v>
      </c>
      <c r="U1198" t="s">
        <v>58</v>
      </c>
      <c r="V1198" t="s">
        <v>58</v>
      </c>
      <c r="W1198" t="s">
        <v>58</v>
      </c>
      <c r="X1198" t="s">
        <v>58</v>
      </c>
      <c r="Y1198" t="s">
        <v>58</v>
      </c>
      <c r="Z1198" t="s">
        <v>58</v>
      </c>
      <c r="AA1198" t="s">
        <v>58</v>
      </c>
      <c r="AC1198" t="s">
        <v>58</v>
      </c>
      <c r="AE1198" t="s">
        <v>58</v>
      </c>
      <c r="AG1198" t="s">
        <v>63</v>
      </c>
      <c r="AH1198" s="11" t="str">
        <f t="shared" si="21"/>
        <v>mailto: soilterrain@victoria1.gov.bc.ca</v>
      </c>
    </row>
    <row r="1199" spans="1:34">
      <c r="A1199" t="s">
        <v>2829</v>
      </c>
      <c r="B1199" t="s">
        <v>56</v>
      </c>
      <c r="C1199" s="10" t="s">
        <v>1281</v>
      </c>
      <c r="D1199" t="s">
        <v>58</v>
      </c>
      <c r="E1199" t="s">
        <v>497</v>
      </c>
      <c r="F1199" t="s">
        <v>2830</v>
      </c>
      <c r="G1199">
        <v>50000</v>
      </c>
      <c r="H1199">
        <v>1978</v>
      </c>
      <c r="I1199" t="s">
        <v>58</v>
      </c>
      <c r="J1199" t="s">
        <v>58</v>
      </c>
      <c r="K1199" t="s">
        <v>58</v>
      </c>
      <c r="L1199" t="s">
        <v>58</v>
      </c>
      <c r="M1199" t="s">
        <v>58</v>
      </c>
      <c r="N1199" t="s">
        <v>61</v>
      </c>
      <c r="Q1199" t="s">
        <v>58</v>
      </c>
      <c r="R1199" s="11" t="str">
        <f>HYPERLINK("\\imagefiles.bcgov\imagery\scanned_maps\moe_terrain_maps\Scanned_T_maps_all\I18\I18-3296","\\imagefiles.bcgov\imagery\scanned_maps\moe_terrain_maps\Scanned_T_maps_all\I18\I18-3296")</f>
        <v>\\imagefiles.bcgov\imagery\scanned_maps\moe_terrain_maps\Scanned_T_maps_all\I18\I18-3296</v>
      </c>
      <c r="S1199" t="s">
        <v>62</v>
      </c>
      <c r="T1199" s="11" t="str">
        <f>HYPERLINK("http://www.env.gov.bc.ca/esd/distdata/ecosystems/TEI_Scanned_Maps/I18/I18-3296","http://www.env.gov.bc.ca/esd/distdata/ecosystems/TEI_Scanned_Maps/I18/I18-3296")</f>
        <v>http://www.env.gov.bc.ca/esd/distdata/ecosystems/TEI_Scanned_Maps/I18/I18-3296</v>
      </c>
      <c r="U1199" t="s">
        <v>58</v>
      </c>
      <c r="V1199" t="s">
        <v>58</v>
      </c>
      <c r="W1199" t="s">
        <v>58</v>
      </c>
      <c r="X1199" t="s">
        <v>58</v>
      </c>
      <c r="Y1199" t="s">
        <v>58</v>
      </c>
      <c r="Z1199" t="s">
        <v>58</v>
      </c>
      <c r="AA1199" t="s">
        <v>58</v>
      </c>
      <c r="AC1199" t="s">
        <v>58</v>
      </c>
      <c r="AE1199" t="s">
        <v>58</v>
      </c>
      <c r="AG1199" t="s">
        <v>63</v>
      </c>
      <c r="AH1199" s="11" t="str">
        <f t="shared" si="21"/>
        <v>mailto: soilterrain@victoria1.gov.bc.ca</v>
      </c>
    </row>
    <row r="1200" spans="1:34">
      <c r="A1200" t="s">
        <v>2831</v>
      </c>
      <c r="B1200" t="s">
        <v>56</v>
      </c>
      <c r="C1200" s="10" t="s">
        <v>619</v>
      </c>
      <c r="D1200" t="s">
        <v>58</v>
      </c>
      <c r="E1200" t="s">
        <v>497</v>
      </c>
      <c r="F1200" t="s">
        <v>2832</v>
      </c>
      <c r="G1200">
        <v>50000</v>
      </c>
      <c r="H1200">
        <v>1979</v>
      </c>
      <c r="I1200" t="s">
        <v>58</v>
      </c>
      <c r="J1200" t="s">
        <v>58</v>
      </c>
      <c r="K1200" t="s">
        <v>58</v>
      </c>
      <c r="L1200" t="s">
        <v>58</v>
      </c>
      <c r="M1200" t="s">
        <v>58</v>
      </c>
      <c r="N1200" t="s">
        <v>61</v>
      </c>
      <c r="Q1200" t="s">
        <v>58</v>
      </c>
      <c r="R1200" s="11" t="str">
        <f>HYPERLINK("\\imagefiles.bcgov\imagery\scanned_maps\moe_terrain_maps\Scanned_T_maps_all\I19\I19-3301","\\imagefiles.bcgov\imagery\scanned_maps\moe_terrain_maps\Scanned_T_maps_all\I19\I19-3301")</f>
        <v>\\imagefiles.bcgov\imagery\scanned_maps\moe_terrain_maps\Scanned_T_maps_all\I19\I19-3301</v>
      </c>
      <c r="S1200" t="s">
        <v>62</v>
      </c>
      <c r="T1200" s="11" t="str">
        <f>HYPERLINK("http://www.env.gov.bc.ca/esd/distdata/ecosystems/TEI_Scanned_Maps/I19/I19-3301","http://www.env.gov.bc.ca/esd/distdata/ecosystems/TEI_Scanned_Maps/I19/I19-3301")</f>
        <v>http://www.env.gov.bc.ca/esd/distdata/ecosystems/TEI_Scanned_Maps/I19/I19-3301</v>
      </c>
      <c r="U1200" t="s">
        <v>58</v>
      </c>
      <c r="V1200" t="s">
        <v>58</v>
      </c>
      <c r="W1200" t="s">
        <v>58</v>
      </c>
      <c r="X1200" t="s">
        <v>58</v>
      </c>
      <c r="Y1200" t="s">
        <v>58</v>
      </c>
      <c r="Z1200" t="s">
        <v>58</v>
      </c>
      <c r="AA1200" t="s">
        <v>58</v>
      </c>
      <c r="AC1200" t="s">
        <v>58</v>
      </c>
      <c r="AE1200" t="s">
        <v>58</v>
      </c>
      <c r="AG1200" t="s">
        <v>63</v>
      </c>
      <c r="AH1200" s="11" t="str">
        <f t="shared" si="21"/>
        <v>mailto: soilterrain@victoria1.gov.bc.ca</v>
      </c>
    </row>
    <row r="1201" spans="1:34">
      <c r="A1201" t="s">
        <v>2833</v>
      </c>
      <c r="B1201" t="s">
        <v>56</v>
      </c>
      <c r="C1201" s="10" t="s">
        <v>429</v>
      </c>
      <c r="D1201" t="s">
        <v>58</v>
      </c>
      <c r="E1201" t="s">
        <v>497</v>
      </c>
      <c r="F1201" t="s">
        <v>2834</v>
      </c>
      <c r="G1201">
        <v>50000</v>
      </c>
      <c r="H1201">
        <v>1979</v>
      </c>
      <c r="I1201" t="s">
        <v>58</v>
      </c>
      <c r="J1201" t="s">
        <v>58</v>
      </c>
      <c r="K1201" t="s">
        <v>58</v>
      </c>
      <c r="L1201" t="s">
        <v>58</v>
      </c>
      <c r="M1201" t="s">
        <v>58</v>
      </c>
      <c r="N1201" t="s">
        <v>61</v>
      </c>
      <c r="Q1201" t="s">
        <v>58</v>
      </c>
      <c r="R1201" s="11" t="str">
        <f>HYPERLINK("\\imagefiles.bcgov\imagery\scanned_maps\moe_terrain_maps\Scanned_T_maps_all\I19\I19-3302","\\imagefiles.bcgov\imagery\scanned_maps\moe_terrain_maps\Scanned_T_maps_all\I19\I19-3302")</f>
        <v>\\imagefiles.bcgov\imagery\scanned_maps\moe_terrain_maps\Scanned_T_maps_all\I19\I19-3302</v>
      </c>
      <c r="S1201" t="s">
        <v>62</v>
      </c>
      <c r="T1201" s="11" t="str">
        <f>HYPERLINK("http://www.env.gov.bc.ca/esd/distdata/ecosystems/TEI_Scanned_Maps/I19/I19-3302","http://www.env.gov.bc.ca/esd/distdata/ecosystems/TEI_Scanned_Maps/I19/I19-3302")</f>
        <v>http://www.env.gov.bc.ca/esd/distdata/ecosystems/TEI_Scanned_Maps/I19/I19-3302</v>
      </c>
      <c r="U1201" t="s">
        <v>58</v>
      </c>
      <c r="V1201" t="s">
        <v>58</v>
      </c>
      <c r="W1201" t="s">
        <v>58</v>
      </c>
      <c r="X1201" t="s">
        <v>58</v>
      </c>
      <c r="Y1201" t="s">
        <v>58</v>
      </c>
      <c r="Z1201" t="s">
        <v>58</v>
      </c>
      <c r="AA1201" t="s">
        <v>58</v>
      </c>
      <c r="AC1201" t="s">
        <v>58</v>
      </c>
      <c r="AE1201" t="s">
        <v>58</v>
      </c>
      <c r="AG1201" t="s">
        <v>63</v>
      </c>
      <c r="AH1201" s="11" t="str">
        <f t="shared" si="21"/>
        <v>mailto: soilterrain@victoria1.gov.bc.ca</v>
      </c>
    </row>
    <row r="1202" spans="1:34">
      <c r="A1202" t="s">
        <v>2835</v>
      </c>
      <c r="B1202" t="s">
        <v>56</v>
      </c>
      <c r="C1202" s="10" t="s">
        <v>451</v>
      </c>
      <c r="D1202" t="s">
        <v>58</v>
      </c>
      <c r="E1202" t="s">
        <v>497</v>
      </c>
      <c r="F1202" t="s">
        <v>2836</v>
      </c>
      <c r="G1202">
        <v>50000</v>
      </c>
      <c r="H1202">
        <v>1979</v>
      </c>
      <c r="I1202" t="s">
        <v>58</v>
      </c>
      <c r="J1202" t="s">
        <v>58</v>
      </c>
      <c r="K1202" t="s">
        <v>58</v>
      </c>
      <c r="L1202" t="s">
        <v>58</v>
      </c>
      <c r="M1202" t="s">
        <v>58</v>
      </c>
      <c r="N1202" t="s">
        <v>61</v>
      </c>
      <c r="Q1202" t="s">
        <v>58</v>
      </c>
      <c r="R1202" s="11" t="str">
        <f>HYPERLINK("\\imagefiles.bcgov\imagery\scanned_maps\moe_terrain_maps\Scanned_T_maps_all\I19\I19-3303","\\imagefiles.bcgov\imagery\scanned_maps\moe_terrain_maps\Scanned_T_maps_all\I19\I19-3303")</f>
        <v>\\imagefiles.bcgov\imagery\scanned_maps\moe_terrain_maps\Scanned_T_maps_all\I19\I19-3303</v>
      </c>
      <c r="S1202" t="s">
        <v>62</v>
      </c>
      <c r="T1202" s="11" t="str">
        <f>HYPERLINK("http://www.env.gov.bc.ca/esd/distdata/ecosystems/TEI_Scanned_Maps/I19/I19-3303","http://www.env.gov.bc.ca/esd/distdata/ecosystems/TEI_Scanned_Maps/I19/I19-3303")</f>
        <v>http://www.env.gov.bc.ca/esd/distdata/ecosystems/TEI_Scanned_Maps/I19/I19-3303</v>
      </c>
      <c r="U1202" t="s">
        <v>58</v>
      </c>
      <c r="V1202" t="s">
        <v>58</v>
      </c>
      <c r="W1202" t="s">
        <v>58</v>
      </c>
      <c r="X1202" t="s">
        <v>58</v>
      </c>
      <c r="Y1202" t="s">
        <v>58</v>
      </c>
      <c r="Z1202" t="s">
        <v>58</v>
      </c>
      <c r="AA1202" t="s">
        <v>58</v>
      </c>
      <c r="AC1202" t="s">
        <v>58</v>
      </c>
      <c r="AE1202" t="s">
        <v>58</v>
      </c>
      <c r="AG1202" t="s">
        <v>63</v>
      </c>
      <c r="AH1202" s="11" t="str">
        <f t="shared" si="21"/>
        <v>mailto: soilterrain@victoria1.gov.bc.ca</v>
      </c>
    </row>
    <row r="1203" spans="1:34">
      <c r="A1203" t="s">
        <v>2837</v>
      </c>
      <c r="B1203" t="s">
        <v>56</v>
      </c>
      <c r="C1203" s="10" t="s">
        <v>1687</v>
      </c>
      <c r="D1203" t="s">
        <v>58</v>
      </c>
      <c r="E1203" t="s">
        <v>497</v>
      </c>
      <c r="F1203" t="s">
        <v>2838</v>
      </c>
      <c r="G1203">
        <v>50000</v>
      </c>
      <c r="H1203">
        <v>1979</v>
      </c>
      <c r="I1203" t="s">
        <v>58</v>
      </c>
      <c r="J1203" t="s">
        <v>58</v>
      </c>
      <c r="K1203" t="s">
        <v>58</v>
      </c>
      <c r="L1203" t="s">
        <v>58</v>
      </c>
      <c r="M1203" t="s">
        <v>58</v>
      </c>
      <c r="N1203" t="s">
        <v>61</v>
      </c>
      <c r="Q1203" t="s">
        <v>58</v>
      </c>
      <c r="R1203" s="11" t="str">
        <f>HYPERLINK("\\imagefiles.bcgov\imagery\scanned_maps\moe_terrain_maps\Scanned_T_maps_all\I19\I19-3304","\\imagefiles.bcgov\imagery\scanned_maps\moe_terrain_maps\Scanned_T_maps_all\I19\I19-3304")</f>
        <v>\\imagefiles.bcgov\imagery\scanned_maps\moe_terrain_maps\Scanned_T_maps_all\I19\I19-3304</v>
      </c>
      <c r="S1203" t="s">
        <v>62</v>
      </c>
      <c r="T1203" s="11" t="str">
        <f>HYPERLINK("http://www.env.gov.bc.ca/esd/distdata/ecosystems/TEI_Scanned_Maps/I19/I19-3304","http://www.env.gov.bc.ca/esd/distdata/ecosystems/TEI_Scanned_Maps/I19/I19-3304")</f>
        <v>http://www.env.gov.bc.ca/esd/distdata/ecosystems/TEI_Scanned_Maps/I19/I19-3304</v>
      </c>
      <c r="U1203" t="s">
        <v>58</v>
      </c>
      <c r="V1203" t="s">
        <v>58</v>
      </c>
      <c r="W1203" t="s">
        <v>58</v>
      </c>
      <c r="X1203" t="s">
        <v>58</v>
      </c>
      <c r="Y1203" t="s">
        <v>58</v>
      </c>
      <c r="Z1203" t="s">
        <v>58</v>
      </c>
      <c r="AA1203" t="s">
        <v>58</v>
      </c>
      <c r="AC1203" t="s">
        <v>58</v>
      </c>
      <c r="AE1203" t="s">
        <v>58</v>
      </c>
      <c r="AG1203" t="s">
        <v>63</v>
      </c>
      <c r="AH1203" s="11" t="str">
        <f t="shared" si="21"/>
        <v>mailto: soilterrain@victoria1.gov.bc.ca</v>
      </c>
    </row>
    <row r="1204" spans="1:34">
      <c r="A1204" t="s">
        <v>2839</v>
      </c>
      <c r="B1204" t="s">
        <v>56</v>
      </c>
      <c r="C1204" s="10" t="s">
        <v>1694</v>
      </c>
      <c r="D1204" t="s">
        <v>58</v>
      </c>
      <c r="E1204" t="s">
        <v>497</v>
      </c>
      <c r="F1204" t="s">
        <v>2840</v>
      </c>
      <c r="G1204">
        <v>50000</v>
      </c>
      <c r="H1204">
        <v>1979</v>
      </c>
      <c r="I1204" t="s">
        <v>58</v>
      </c>
      <c r="J1204" t="s">
        <v>58</v>
      </c>
      <c r="K1204" t="s">
        <v>58</v>
      </c>
      <c r="L1204" t="s">
        <v>58</v>
      </c>
      <c r="M1204" t="s">
        <v>58</v>
      </c>
      <c r="N1204" t="s">
        <v>61</v>
      </c>
      <c r="Q1204" t="s">
        <v>58</v>
      </c>
      <c r="R1204" s="11" t="str">
        <f>HYPERLINK("\\imagefiles.bcgov\imagery\scanned_maps\moe_terrain_maps\Scanned_T_maps_all\I19\I19-3305","\\imagefiles.bcgov\imagery\scanned_maps\moe_terrain_maps\Scanned_T_maps_all\I19\I19-3305")</f>
        <v>\\imagefiles.bcgov\imagery\scanned_maps\moe_terrain_maps\Scanned_T_maps_all\I19\I19-3305</v>
      </c>
      <c r="S1204" t="s">
        <v>62</v>
      </c>
      <c r="T1204" s="11" t="str">
        <f>HYPERLINK("http://www.env.gov.bc.ca/esd/distdata/ecosystems/TEI_Scanned_Maps/I19/I19-3305","http://www.env.gov.bc.ca/esd/distdata/ecosystems/TEI_Scanned_Maps/I19/I19-3305")</f>
        <v>http://www.env.gov.bc.ca/esd/distdata/ecosystems/TEI_Scanned_Maps/I19/I19-3305</v>
      </c>
      <c r="U1204" t="s">
        <v>58</v>
      </c>
      <c r="V1204" t="s">
        <v>58</v>
      </c>
      <c r="W1204" t="s">
        <v>58</v>
      </c>
      <c r="X1204" t="s">
        <v>58</v>
      </c>
      <c r="Y1204" t="s">
        <v>58</v>
      </c>
      <c r="Z1204" t="s">
        <v>58</v>
      </c>
      <c r="AA1204" t="s">
        <v>58</v>
      </c>
      <c r="AC1204" t="s">
        <v>58</v>
      </c>
      <c r="AE1204" t="s">
        <v>58</v>
      </c>
      <c r="AG1204" t="s">
        <v>63</v>
      </c>
      <c r="AH1204" s="11" t="str">
        <f t="shared" si="21"/>
        <v>mailto: soilterrain@victoria1.gov.bc.ca</v>
      </c>
    </row>
    <row r="1205" spans="1:34">
      <c r="A1205" t="s">
        <v>2841</v>
      </c>
      <c r="B1205" t="s">
        <v>56</v>
      </c>
      <c r="C1205" s="10" t="s">
        <v>468</v>
      </c>
      <c r="D1205" t="s">
        <v>58</v>
      </c>
      <c r="E1205" t="s">
        <v>497</v>
      </c>
      <c r="F1205" t="s">
        <v>2842</v>
      </c>
      <c r="G1205">
        <v>50000</v>
      </c>
      <c r="H1205">
        <v>1979</v>
      </c>
      <c r="I1205" t="s">
        <v>58</v>
      </c>
      <c r="J1205" t="s">
        <v>58</v>
      </c>
      <c r="K1205" t="s">
        <v>58</v>
      </c>
      <c r="L1205" t="s">
        <v>58</v>
      </c>
      <c r="M1205" t="s">
        <v>58</v>
      </c>
      <c r="N1205" t="s">
        <v>61</v>
      </c>
      <c r="Q1205" t="s">
        <v>58</v>
      </c>
      <c r="R1205" s="11" t="str">
        <f>HYPERLINK("\\imagefiles.bcgov\imagery\scanned_maps\moe_terrain_maps\Scanned_T_maps_all\I19\I19-3306","\\imagefiles.bcgov\imagery\scanned_maps\moe_terrain_maps\Scanned_T_maps_all\I19\I19-3306")</f>
        <v>\\imagefiles.bcgov\imagery\scanned_maps\moe_terrain_maps\Scanned_T_maps_all\I19\I19-3306</v>
      </c>
      <c r="S1205" t="s">
        <v>62</v>
      </c>
      <c r="T1205" s="11" t="str">
        <f>HYPERLINK("http://www.env.gov.bc.ca/esd/distdata/ecosystems/TEI_Scanned_Maps/I19/I19-3306","http://www.env.gov.bc.ca/esd/distdata/ecosystems/TEI_Scanned_Maps/I19/I19-3306")</f>
        <v>http://www.env.gov.bc.ca/esd/distdata/ecosystems/TEI_Scanned_Maps/I19/I19-3306</v>
      </c>
      <c r="U1205" t="s">
        <v>58</v>
      </c>
      <c r="V1205" t="s">
        <v>58</v>
      </c>
      <c r="W1205" t="s">
        <v>58</v>
      </c>
      <c r="X1205" t="s">
        <v>58</v>
      </c>
      <c r="Y1205" t="s">
        <v>58</v>
      </c>
      <c r="Z1205" t="s">
        <v>58</v>
      </c>
      <c r="AA1205" t="s">
        <v>58</v>
      </c>
      <c r="AC1205" t="s">
        <v>58</v>
      </c>
      <c r="AE1205" t="s">
        <v>58</v>
      </c>
      <c r="AG1205" t="s">
        <v>63</v>
      </c>
      <c r="AH1205" s="11" t="str">
        <f t="shared" si="21"/>
        <v>mailto: soilterrain@victoria1.gov.bc.ca</v>
      </c>
    </row>
    <row r="1206" spans="1:34">
      <c r="A1206" t="s">
        <v>2843</v>
      </c>
      <c r="B1206" t="s">
        <v>56</v>
      </c>
      <c r="C1206" s="10" t="s">
        <v>1699</v>
      </c>
      <c r="D1206" t="s">
        <v>58</v>
      </c>
      <c r="E1206" t="s">
        <v>497</v>
      </c>
      <c r="F1206" t="s">
        <v>2844</v>
      </c>
      <c r="G1206">
        <v>50000</v>
      </c>
      <c r="H1206">
        <v>1979</v>
      </c>
      <c r="I1206" t="s">
        <v>58</v>
      </c>
      <c r="J1206" t="s">
        <v>58</v>
      </c>
      <c r="K1206" t="s">
        <v>58</v>
      </c>
      <c r="L1206" t="s">
        <v>58</v>
      </c>
      <c r="M1206" t="s">
        <v>58</v>
      </c>
      <c r="N1206" t="s">
        <v>61</v>
      </c>
      <c r="Q1206" t="s">
        <v>58</v>
      </c>
      <c r="R1206" s="11" t="str">
        <f>HYPERLINK("\\imagefiles.bcgov\imagery\scanned_maps\moe_terrain_maps\Scanned_T_maps_all\I19\I19-3307","\\imagefiles.bcgov\imagery\scanned_maps\moe_terrain_maps\Scanned_T_maps_all\I19\I19-3307")</f>
        <v>\\imagefiles.bcgov\imagery\scanned_maps\moe_terrain_maps\Scanned_T_maps_all\I19\I19-3307</v>
      </c>
      <c r="S1206" t="s">
        <v>62</v>
      </c>
      <c r="T1206" s="11" t="str">
        <f>HYPERLINK("http://www.env.gov.bc.ca/esd/distdata/ecosystems/TEI_Scanned_Maps/I19/I19-3307","http://www.env.gov.bc.ca/esd/distdata/ecosystems/TEI_Scanned_Maps/I19/I19-3307")</f>
        <v>http://www.env.gov.bc.ca/esd/distdata/ecosystems/TEI_Scanned_Maps/I19/I19-3307</v>
      </c>
      <c r="U1206" t="s">
        <v>58</v>
      </c>
      <c r="V1206" t="s">
        <v>58</v>
      </c>
      <c r="W1206" t="s">
        <v>58</v>
      </c>
      <c r="X1206" t="s">
        <v>58</v>
      </c>
      <c r="Y1206" t="s">
        <v>58</v>
      </c>
      <c r="Z1206" t="s">
        <v>58</v>
      </c>
      <c r="AA1206" t="s">
        <v>58</v>
      </c>
      <c r="AC1206" t="s">
        <v>58</v>
      </c>
      <c r="AE1206" t="s">
        <v>58</v>
      </c>
      <c r="AG1206" t="s">
        <v>63</v>
      </c>
      <c r="AH1206" s="11" t="str">
        <f t="shared" si="21"/>
        <v>mailto: soilterrain@victoria1.gov.bc.ca</v>
      </c>
    </row>
    <row r="1207" spans="1:34">
      <c r="A1207" t="s">
        <v>2845</v>
      </c>
      <c r="B1207" t="s">
        <v>56</v>
      </c>
      <c r="C1207" s="10" t="s">
        <v>1704</v>
      </c>
      <c r="D1207" t="s">
        <v>58</v>
      </c>
      <c r="E1207" t="s">
        <v>497</v>
      </c>
      <c r="F1207" t="s">
        <v>2846</v>
      </c>
      <c r="G1207">
        <v>50000</v>
      </c>
      <c r="H1207">
        <v>1979</v>
      </c>
      <c r="I1207" t="s">
        <v>58</v>
      </c>
      <c r="J1207" t="s">
        <v>58</v>
      </c>
      <c r="K1207" t="s">
        <v>58</v>
      </c>
      <c r="L1207" t="s">
        <v>58</v>
      </c>
      <c r="M1207" t="s">
        <v>58</v>
      </c>
      <c r="N1207" t="s">
        <v>61</v>
      </c>
      <c r="Q1207" t="s">
        <v>58</v>
      </c>
      <c r="R1207" s="11" t="str">
        <f>HYPERLINK("\\imagefiles.bcgov\imagery\scanned_maps\moe_terrain_maps\Scanned_T_maps_all\I19\I19-3308","\\imagefiles.bcgov\imagery\scanned_maps\moe_terrain_maps\Scanned_T_maps_all\I19\I19-3308")</f>
        <v>\\imagefiles.bcgov\imagery\scanned_maps\moe_terrain_maps\Scanned_T_maps_all\I19\I19-3308</v>
      </c>
      <c r="S1207" t="s">
        <v>62</v>
      </c>
      <c r="T1207" s="11" t="str">
        <f>HYPERLINK("http://www.env.gov.bc.ca/esd/distdata/ecosystems/TEI_Scanned_Maps/I19/I19-3308","http://www.env.gov.bc.ca/esd/distdata/ecosystems/TEI_Scanned_Maps/I19/I19-3308")</f>
        <v>http://www.env.gov.bc.ca/esd/distdata/ecosystems/TEI_Scanned_Maps/I19/I19-3308</v>
      </c>
      <c r="U1207" t="s">
        <v>58</v>
      </c>
      <c r="V1207" t="s">
        <v>58</v>
      </c>
      <c r="W1207" t="s">
        <v>58</v>
      </c>
      <c r="X1207" t="s">
        <v>58</v>
      </c>
      <c r="Y1207" t="s">
        <v>58</v>
      </c>
      <c r="Z1207" t="s">
        <v>58</v>
      </c>
      <c r="AA1207" t="s">
        <v>58</v>
      </c>
      <c r="AC1207" t="s">
        <v>58</v>
      </c>
      <c r="AE1207" t="s">
        <v>58</v>
      </c>
      <c r="AG1207" t="s">
        <v>63</v>
      </c>
      <c r="AH1207" s="11" t="str">
        <f t="shared" si="21"/>
        <v>mailto: soilterrain@victoria1.gov.bc.ca</v>
      </c>
    </row>
    <row r="1208" spans="1:34">
      <c r="A1208" t="s">
        <v>2847</v>
      </c>
      <c r="B1208" t="s">
        <v>56</v>
      </c>
      <c r="C1208" s="10" t="s">
        <v>951</v>
      </c>
      <c r="D1208" t="s">
        <v>58</v>
      </c>
      <c r="E1208" t="s">
        <v>497</v>
      </c>
      <c r="F1208" t="s">
        <v>2848</v>
      </c>
      <c r="G1208">
        <v>50000</v>
      </c>
      <c r="H1208">
        <v>1979</v>
      </c>
      <c r="I1208" t="s">
        <v>58</v>
      </c>
      <c r="J1208" t="s">
        <v>58</v>
      </c>
      <c r="K1208" t="s">
        <v>58</v>
      </c>
      <c r="L1208" t="s">
        <v>58</v>
      </c>
      <c r="M1208" t="s">
        <v>58</v>
      </c>
      <c r="N1208" t="s">
        <v>61</v>
      </c>
      <c r="Q1208" t="s">
        <v>58</v>
      </c>
      <c r="R1208" s="11" t="str">
        <f>HYPERLINK("\\imagefiles.bcgov\imagery\scanned_maps\moe_terrain_maps\Scanned_T_maps_all\I19\I19-3309","\\imagefiles.bcgov\imagery\scanned_maps\moe_terrain_maps\Scanned_T_maps_all\I19\I19-3309")</f>
        <v>\\imagefiles.bcgov\imagery\scanned_maps\moe_terrain_maps\Scanned_T_maps_all\I19\I19-3309</v>
      </c>
      <c r="S1208" t="s">
        <v>62</v>
      </c>
      <c r="T1208" s="11" t="str">
        <f>HYPERLINK("http://www.env.gov.bc.ca/esd/distdata/ecosystems/TEI_Scanned_Maps/I19/I19-3309","http://www.env.gov.bc.ca/esd/distdata/ecosystems/TEI_Scanned_Maps/I19/I19-3309")</f>
        <v>http://www.env.gov.bc.ca/esd/distdata/ecosystems/TEI_Scanned_Maps/I19/I19-3309</v>
      </c>
      <c r="U1208" t="s">
        <v>58</v>
      </c>
      <c r="V1208" t="s">
        <v>58</v>
      </c>
      <c r="W1208" t="s">
        <v>58</v>
      </c>
      <c r="X1208" t="s">
        <v>58</v>
      </c>
      <c r="Y1208" t="s">
        <v>58</v>
      </c>
      <c r="Z1208" t="s">
        <v>58</v>
      </c>
      <c r="AA1208" t="s">
        <v>58</v>
      </c>
      <c r="AC1208" t="s">
        <v>58</v>
      </c>
      <c r="AE1208" t="s">
        <v>58</v>
      </c>
      <c r="AG1208" t="s">
        <v>63</v>
      </c>
      <c r="AH1208" s="11" t="str">
        <f t="shared" si="21"/>
        <v>mailto: soilterrain@victoria1.gov.bc.ca</v>
      </c>
    </row>
    <row r="1209" spans="1:34">
      <c r="A1209" t="s">
        <v>2849</v>
      </c>
      <c r="B1209" t="s">
        <v>56</v>
      </c>
      <c r="C1209" s="10" t="s">
        <v>954</v>
      </c>
      <c r="D1209" t="s">
        <v>58</v>
      </c>
      <c r="E1209" t="s">
        <v>497</v>
      </c>
      <c r="F1209" t="s">
        <v>2850</v>
      </c>
      <c r="G1209">
        <v>50000</v>
      </c>
      <c r="H1209">
        <v>1979</v>
      </c>
      <c r="I1209" t="s">
        <v>58</v>
      </c>
      <c r="J1209" t="s">
        <v>58</v>
      </c>
      <c r="K1209" t="s">
        <v>58</v>
      </c>
      <c r="L1209" t="s">
        <v>58</v>
      </c>
      <c r="M1209" t="s">
        <v>58</v>
      </c>
      <c r="N1209" t="s">
        <v>61</v>
      </c>
      <c r="Q1209" t="s">
        <v>58</v>
      </c>
      <c r="R1209" s="11" t="str">
        <f>HYPERLINK("\\imagefiles.bcgov\imagery\scanned_maps\moe_terrain_maps\Scanned_T_maps_all\I19\I19-3310","\\imagefiles.bcgov\imagery\scanned_maps\moe_terrain_maps\Scanned_T_maps_all\I19\I19-3310")</f>
        <v>\\imagefiles.bcgov\imagery\scanned_maps\moe_terrain_maps\Scanned_T_maps_all\I19\I19-3310</v>
      </c>
      <c r="S1209" t="s">
        <v>62</v>
      </c>
      <c r="T1209" s="11" t="str">
        <f>HYPERLINK("http://www.env.gov.bc.ca/esd/distdata/ecosystems/TEI_Scanned_Maps/I19/I19-3310","http://www.env.gov.bc.ca/esd/distdata/ecosystems/TEI_Scanned_Maps/I19/I19-3310")</f>
        <v>http://www.env.gov.bc.ca/esd/distdata/ecosystems/TEI_Scanned_Maps/I19/I19-3310</v>
      </c>
      <c r="U1209" t="s">
        <v>58</v>
      </c>
      <c r="V1209" t="s">
        <v>58</v>
      </c>
      <c r="W1209" t="s">
        <v>58</v>
      </c>
      <c r="X1209" t="s">
        <v>58</v>
      </c>
      <c r="Y1209" t="s">
        <v>58</v>
      </c>
      <c r="Z1209" t="s">
        <v>58</v>
      </c>
      <c r="AA1209" t="s">
        <v>58</v>
      </c>
      <c r="AC1209" t="s">
        <v>58</v>
      </c>
      <c r="AE1209" t="s">
        <v>58</v>
      </c>
      <c r="AG1209" t="s">
        <v>63</v>
      </c>
      <c r="AH1209" s="11" t="str">
        <f t="shared" si="21"/>
        <v>mailto: soilterrain@victoria1.gov.bc.ca</v>
      </c>
    </row>
    <row r="1210" spans="1:34">
      <c r="A1210" t="s">
        <v>2851</v>
      </c>
      <c r="B1210" t="s">
        <v>56</v>
      </c>
      <c r="C1210" s="10" t="s">
        <v>1711</v>
      </c>
      <c r="D1210" t="s">
        <v>58</v>
      </c>
      <c r="E1210" t="s">
        <v>497</v>
      </c>
      <c r="F1210" t="s">
        <v>2852</v>
      </c>
      <c r="G1210">
        <v>50000</v>
      </c>
      <c r="H1210">
        <v>1979</v>
      </c>
      <c r="I1210" t="s">
        <v>58</v>
      </c>
      <c r="J1210" t="s">
        <v>58</v>
      </c>
      <c r="K1210" t="s">
        <v>58</v>
      </c>
      <c r="L1210" t="s">
        <v>58</v>
      </c>
      <c r="M1210" t="s">
        <v>58</v>
      </c>
      <c r="N1210" t="s">
        <v>61</v>
      </c>
      <c r="Q1210" t="s">
        <v>58</v>
      </c>
      <c r="R1210" s="11" t="str">
        <f>HYPERLINK("\\imagefiles.bcgov\imagery\scanned_maps\moe_terrain_maps\Scanned_T_maps_all\I19\I19-3311","\\imagefiles.bcgov\imagery\scanned_maps\moe_terrain_maps\Scanned_T_maps_all\I19\I19-3311")</f>
        <v>\\imagefiles.bcgov\imagery\scanned_maps\moe_terrain_maps\Scanned_T_maps_all\I19\I19-3311</v>
      </c>
      <c r="S1210" t="s">
        <v>62</v>
      </c>
      <c r="T1210" s="11" t="str">
        <f>HYPERLINK("http://www.env.gov.bc.ca/esd/distdata/ecosystems/TEI_Scanned_Maps/I19/I19-3311","http://www.env.gov.bc.ca/esd/distdata/ecosystems/TEI_Scanned_Maps/I19/I19-3311")</f>
        <v>http://www.env.gov.bc.ca/esd/distdata/ecosystems/TEI_Scanned_Maps/I19/I19-3311</v>
      </c>
      <c r="U1210" t="s">
        <v>58</v>
      </c>
      <c r="V1210" t="s">
        <v>58</v>
      </c>
      <c r="W1210" t="s">
        <v>58</v>
      </c>
      <c r="X1210" t="s">
        <v>58</v>
      </c>
      <c r="Y1210" t="s">
        <v>58</v>
      </c>
      <c r="Z1210" t="s">
        <v>58</v>
      </c>
      <c r="AA1210" t="s">
        <v>58</v>
      </c>
      <c r="AC1210" t="s">
        <v>58</v>
      </c>
      <c r="AE1210" t="s">
        <v>58</v>
      </c>
      <c r="AG1210" t="s">
        <v>63</v>
      </c>
      <c r="AH1210" s="11" t="str">
        <f t="shared" si="21"/>
        <v>mailto: soilterrain@victoria1.gov.bc.ca</v>
      </c>
    </row>
    <row r="1211" spans="1:34">
      <c r="A1211" t="s">
        <v>2853</v>
      </c>
      <c r="B1211" t="s">
        <v>56</v>
      </c>
      <c r="C1211" s="10" t="s">
        <v>465</v>
      </c>
      <c r="D1211" t="s">
        <v>58</v>
      </c>
      <c r="E1211" t="s">
        <v>497</v>
      </c>
      <c r="F1211" t="s">
        <v>2854</v>
      </c>
      <c r="G1211">
        <v>50000</v>
      </c>
      <c r="H1211">
        <v>1979</v>
      </c>
      <c r="I1211" t="s">
        <v>58</v>
      </c>
      <c r="J1211" t="s">
        <v>58</v>
      </c>
      <c r="K1211" t="s">
        <v>58</v>
      </c>
      <c r="L1211" t="s">
        <v>58</v>
      </c>
      <c r="M1211" t="s">
        <v>58</v>
      </c>
      <c r="N1211" t="s">
        <v>61</v>
      </c>
      <c r="Q1211" t="s">
        <v>58</v>
      </c>
      <c r="R1211" s="11" t="str">
        <f>HYPERLINK("\\imagefiles.bcgov\imagery\scanned_maps\moe_terrain_maps\Scanned_T_maps_all\I19\I19-3312","\\imagefiles.bcgov\imagery\scanned_maps\moe_terrain_maps\Scanned_T_maps_all\I19\I19-3312")</f>
        <v>\\imagefiles.bcgov\imagery\scanned_maps\moe_terrain_maps\Scanned_T_maps_all\I19\I19-3312</v>
      </c>
      <c r="S1211" t="s">
        <v>62</v>
      </c>
      <c r="T1211" s="11" t="str">
        <f>HYPERLINK("http://www.env.gov.bc.ca/esd/distdata/ecosystems/TEI_Scanned_Maps/I19/I19-3312","http://www.env.gov.bc.ca/esd/distdata/ecosystems/TEI_Scanned_Maps/I19/I19-3312")</f>
        <v>http://www.env.gov.bc.ca/esd/distdata/ecosystems/TEI_Scanned_Maps/I19/I19-3312</v>
      </c>
      <c r="U1211" t="s">
        <v>58</v>
      </c>
      <c r="V1211" t="s">
        <v>58</v>
      </c>
      <c r="W1211" t="s">
        <v>58</v>
      </c>
      <c r="X1211" t="s">
        <v>58</v>
      </c>
      <c r="Y1211" t="s">
        <v>58</v>
      </c>
      <c r="Z1211" t="s">
        <v>58</v>
      </c>
      <c r="AA1211" t="s">
        <v>58</v>
      </c>
      <c r="AC1211" t="s">
        <v>58</v>
      </c>
      <c r="AE1211" t="s">
        <v>58</v>
      </c>
      <c r="AG1211" t="s">
        <v>63</v>
      </c>
      <c r="AH1211" s="11" t="str">
        <f t="shared" si="21"/>
        <v>mailto: soilterrain@victoria1.gov.bc.ca</v>
      </c>
    </row>
    <row r="1212" spans="1:34">
      <c r="A1212" t="s">
        <v>2855</v>
      </c>
      <c r="B1212" t="s">
        <v>56</v>
      </c>
      <c r="C1212" s="10" t="s">
        <v>1716</v>
      </c>
      <c r="D1212" t="s">
        <v>58</v>
      </c>
      <c r="E1212" t="s">
        <v>497</v>
      </c>
      <c r="F1212" t="s">
        <v>2856</v>
      </c>
      <c r="G1212">
        <v>50000</v>
      </c>
      <c r="H1212">
        <v>1979</v>
      </c>
      <c r="I1212" t="s">
        <v>58</v>
      </c>
      <c r="J1212" t="s">
        <v>58</v>
      </c>
      <c r="K1212" t="s">
        <v>58</v>
      </c>
      <c r="L1212" t="s">
        <v>58</v>
      </c>
      <c r="M1212" t="s">
        <v>58</v>
      </c>
      <c r="N1212" t="s">
        <v>61</v>
      </c>
      <c r="Q1212" t="s">
        <v>58</v>
      </c>
      <c r="R1212" s="11" t="str">
        <f>HYPERLINK("\\imagefiles.bcgov\imagery\scanned_maps\moe_terrain_maps\Scanned_T_maps_all\I19\I19-3313","\\imagefiles.bcgov\imagery\scanned_maps\moe_terrain_maps\Scanned_T_maps_all\I19\I19-3313")</f>
        <v>\\imagefiles.bcgov\imagery\scanned_maps\moe_terrain_maps\Scanned_T_maps_all\I19\I19-3313</v>
      </c>
      <c r="S1212" t="s">
        <v>62</v>
      </c>
      <c r="T1212" s="11" t="str">
        <f>HYPERLINK("http://www.env.gov.bc.ca/esd/distdata/ecosystems/TEI_Scanned_Maps/I19/I19-3313","http://www.env.gov.bc.ca/esd/distdata/ecosystems/TEI_Scanned_Maps/I19/I19-3313")</f>
        <v>http://www.env.gov.bc.ca/esd/distdata/ecosystems/TEI_Scanned_Maps/I19/I19-3313</v>
      </c>
      <c r="U1212" t="s">
        <v>58</v>
      </c>
      <c r="V1212" t="s">
        <v>58</v>
      </c>
      <c r="W1212" t="s">
        <v>58</v>
      </c>
      <c r="X1212" t="s">
        <v>58</v>
      </c>
      <c r="Y1212" t="s">
        <v>58</v>
      </c>
      <c r="Z1212" t="s">
        <v>58</v>
      </c>
      <c r="AA1212" t="s">
        <v>58</v>
      </c>
      <c r="AC1212" t="s">
        <v>58</v>
      </c>
      <c r="AE1212" t="s">
        <v>58</v>
      </c>
      <c r="AG1212" t="s">
        <v>63</v>
      </c>
      <c r="AH1212" s="11" t="str">
        <f t="shared" si="21"/>
        <v>mailto: soilterrain@victoria1.gov.bc.ca</v>
      </c>
    </row>
    <row r="1213" spans="1:34">
      <c r="A1213" t="s">
        <v>2857</v>
      </c>
      <c r="B1213" t="s">
        <v>56</v>
      </c>
      <c r="C1213" s="10" t="s">
        <v>1719</v>
      </c>
      <c r="D1213" t="s">
        <v>58</v>
      </c>
      <c r="E1213" t="s">
        <v>497</v>
      </c>
      <c r="F1213" t="s">
        <v>2858</v>
      </c>
      <c r="G1213">
        <v>50000</v>
      </c>
      <c r="H1213">
        <v>1979</v>
      </c>
      <c r="I1213" t="s">
        <v>58</v>
      </c>
      <c r="J1213" t="s">
        <v>58</v>
      </c>
      <c r="K1213" t="s">
        <v>58</v>
      </c>
      <c r="L1213" t="s">
        <v>58</v>
      </c>
      <c r="M1213" t="s">
        <v>58</v>
      </c>
      <c r="N1213" t="s">
        <v>61</v>
      </c>
      <c r="Q1213" t="s">
        <v>58</v>
      </c>
      <c r="R1213" s="11" t="str">
        <f>HYPERLINK("\\imagefiles.bcgov\imagery\scanned_maps\moe_terrain_maps\Scanned_T_maps_all\I19\I19-3314","\\imagefiles.bcgov\imagery\scanned_maps\moe_terrain_maps\Scanned_T_maps_all\I19\I19-3314")</f>
        <v>\\imagefiles.bcgov\imagery\scanned_maps\moe_terrain_maps\Scanned_T_maps_all\I19\I19-3314</v>
      </c>
      <c r="S1213" t="s">
        <v>62</v>
      </c>
      <c r="T1213" s="11" t="str">
        <f>HYPERLINK("http://www.env.gov.bc.ca/esd/distdata/ecosystems/TEI_Scanned_Maps/I19/I19-3314","http://www.env.gov.bc.ca/esd/distdata/ecosystems/TEI_Scanned_Maps/I19/I19-3314")</f>
        <v>http://www.env.gov.bc.ca/esd/distdata/ecosystems/TEI_Scanned_Maps/I19/I19-3314</v>
      </c>
      <c r="U1213" t="s">
        <v>58</v>
      </c>
      <c r="V1213" t="s">
        <v>58</v>
      </c>
      <c r="W1213" t="s">
        <v>58</v>
      </c>
      <c r="X1213" t="s">
        <v>58</v>
      </c>
      <c r="Y1213" t="s">
        <v>58</v>
      </c>
      <c r="Z1213" t="s">
        <v>58</v>
      </c>
      <c r="AA1213" t="s">
        <v>58</v>
      </c>
      <c r="AC1213" t="s">
        <v>58</v>
      </c>
      <c r="AE1213" t="s">
        <v>58</v>
      </c>
      <c r="AG1213" t="s">
        <v>63</v>
      </c>
      <c r="AH1213" s="11" t="str">
        <f t="shared" si="21"/>
        <v>mailto: soilterrain@victoria1.gov.bc.ca</v>
      </c>
    </row>
    <row r="1214" spans="1:34">
      <c r="A1214" t="s">
        <v>2859</v>
      </c>
      <c r="B1214" t="s">
        <v>56</v>
      </c>
      <c r="C1214" s="10" t="s">
        <v>957</v>
      </c>
      <c r="D1214" t="s">
        <v>58</v>
      </c>
      <c r="E1214" t="s">
        <v>497</v>
      </c>
      <c r="F1214" t="s">
        <v>2860</v>
      </c>
      <c r="G1214">
        <v>50000</v>
      </c>
      <c r="H1214">
        <v>1979</v>
      </c>
      <c r="I1214" t="s">
        <v>58</v>
      </c>
      <c r="J1214" t="s">
        <v>58</v>
      </c>
      <c r="K1214" t="s">
        <v>58</v>
      </c>
      <c r="L1214" t="s">
        <v>58</v>
      </c>
      <c r="M1214" t="s">
        <v>58</v>
      </c>
      <c r="N1214" t="s">
        <v>61</v>
      </c>
      <c r="Q1214" t="s">
        <v>58</v>
      </c>
      <c r="R1214" s="11" t="str">
        <f>HYPERLINK("\\imagefiles.bcgov\imagery\scanned_maps\moe_terrain_maps\Scanned_T_maps_all\I19\I19-3315","\\imagefiles.bcgov\imagery\scanned_maps\moe_terrain_maps\Scanned_T_maps_all\I19\I19-3315")</f>
        <v>\\imagefiles.bcgov\imagery\scanned_maps\moe_terrain_maps\Scanned_T_maps_all\I19\I19-3315</v>
      </c>
      <c r="S1214" t="s">
        <v>62</v>
      </c>
      <c r="T1214" s="11" t="str">
        <f>HYPERLINK("http://www.env.gov.bc.ca/esd/distdata/ecosystems/TEI_Scanned_Maps/I19/I19-3315","http://www.env.gov.bc.ca/esd/distdata/ecosystems/TEI_Scanned_Maps/I19/I19-3315")</f>
        <v>http://www.env.gov.bc.ca/esd/distdata/ecosystems/TEI_Scanned_Maps/I19/I19-3315</v>
      </c>
      <c r="U1214" t="s">
        <v>58</v>
      </c>
      <c r="V1214" t="s">
        <v>58</v>
      </c>
      <c r="W1214" t="s">
        <v>58</v>
      </c>
      <c r="X1214" t="s">
        <v>58</v>
      </c>
      <c r="Y1214" t="s">
        <v>58</v>
      </c>
      <c r="Z1214" t="s">
        <v>58</v>
      </c>
      <c r="AA1214" t="s">
        <v>58</v>
      </c>
      <c r="AC1214" t="s">
        <v>58</v>
      </c>
      <c r="AE1214" t="s">
        <v>58</v>
      </c>
      <c r="AG1214" t="s">
        <v>63</v>
      </c>
      <c r="AH1214" s="11" t="str">
        <f t="shared" si="21"/>
        <v>mailto: soilterrain@victoria1.gov.bc.ca</v>
      </c>
    </row>
    <row r="1215" spans="1:34">
      <c r="A1215" t="s">
        <v>2861</v>
      </c>
      <c r="B1215" t="s">
        <v>56</v>
      </c>
      <c r="C1215" s="10" t="s">
        <v>960</v>
      </c>
      <c r="D1215" t="s">
        <v>58</v>
      </c>
      <c r="E1215" t="s">
        <v>497</v>
      </c>
      <c r="F1215" t="s">
        <v>2862</v>
      </c>
      <c r="G1215">
        <v>50000</v>
      </c>
      <c r="H1215">
        <v>1979</v>
      </c>
      <c r="I1215" t="s">
        <v>58</v>
      </c>
      <c r="J1215" t="s">
        <v>58</v>
      </c>
      <c r="K1215" t="s">
        <v>58</v>
      </c>
      <c r="L1215" t="s">
        <v>58</v>
      </c>
      <c r="M1215" t="s">
        <v>58</v>
      </c>
      <c r="N1215" t="s">
        <v>61</v>
      </c>
      <c r="Q1215" t="s">
        <v>58</v>
      </c>
      <c r="R1215" s="11" t="str">
        <f>HYPERLINK("\\imagefiles.bcgov\imagery\scanned_maps\moe_terrain_maps\Scanned_T_maps_all\I19\I19-3316","\\imagefiles.bcgov\imagery\scanned_maps\moe_terrain_maps\Scanned_T_maps_all\I19\I19-3316")</f>
        <v>\\imagefiles.bcgov\imagery\scanned_maps\moe_terrain_maps\Scanned_T_maps_all\I19\I19-3316</v>
      </c>
      <c r="S1215" t="s">
        <v>62</v>
      </c>
      <c r="T1215" s="11" t="str">
        <f>HYPERLINK("http://www.env.gov.bc.ca/esd/distdata/ecosystems/TEI_Scanned_Maps/I19/I19-3316","http://www.env.gov.bc.ca/esd/distdata/ecosystems/TEI_Scanned_Maps/I19/I19-3316")</f>
        <v>http://www.env.gov.bc.ca/esd/distdata/ecosystems/TEI_Scanned_Maps/I19/I19-3316</v>
      </c>
      <c r="U1215" t="s">
        <v>58</v>
      </c>
      <c r="V1215" t="s">
        <v>58</v>
      </c>
      <c r="W1215" t="s">
        <v>58</v>
      </c>
      <c r="X1215" t="s">
        <v>58</v>
      </c>
      <c r="Y1215" t="s">
        <v>58</v>
      </c>
      <c r="Z1215" t="s">
        <v>58</v>
      </c>
      <c r="AA1215" t="s">
        <v>58</v>
      </c>
      <c r="AC1215" t="s">
        <v>58</v>
      </c>
      <c r="AE1215" t="s">
        <v>58</v>
      </c>
      <c r="AG1215" t="s">
        <v>63</v>
      </c>
      <c r="AH1215" s="11" t="str">
        <f t="shared" si="21"/>
        <v>mailto: soilterrain@victoria1.gov.bc.ca</v>
      </c>
    </row>
    <row r="1216" spans="1:34">
      <c r="A1216" t="s">
        <v>2863</v>
      </c>
      <c r="B1216" t="s">
        <v>56</v>
      </c>
      <c r="C1216" s="10" t="s">
        <v>1726</v>
      </c>
      <c r="D1216" t="s">
        <v>58</v>
      </c>
      <c r="E1216" t="s">
        <v>497</v>
      </c>
      <c r="F1216" t="s">
        <v>2864</v>
      </c>
      <c r="G1216">
        <v>50000</v>
      </c>
      <c r="H1216">
        <v>1979</v>
      </c>
      <c r="I1216" t="s">
        <v>58</v>
      </c>
      <c r="J1216" t="s">
        <v>58</v>
      </c>
      <c r="K1216" t="s">
        <v>58</v>
      </c>
      <c r="L1216" t="s">
        <v>58</v>
      </c>
      <c r="M1216" t="s">
        <v>58</v>
      </c>
      <c r="N1216" t="s">
        <v>61</v>
      </c>
      <c r="Q1216" t="s">
        <v>58</v>
      </c>
      <c r="R1216" s="11" t="str">
        <f>HYPERLINK("\\imagefiles.bcgov\imagery\scanned_maps\moe_terrain_maps\Scanned_T_maps_all\I19\I19-3317","\\imagefiles.bcgov\imagery\scanned_maps\moe_terrain_maps\Scanned_T_maps_all\I19\I19-3317")</f>
        <v>\\imagefiles.bcgov\imagery\scanned_maps\moe_terrain_maps\Scanned_T_maps_all\I19\I19-3317</v>
      </c>
      <c r="S1216" t="s">
        <v>62</v>
      </c>
      <c r="T1216" s="11" t="str">
        <f>HYPERLINK("http://www.env.gov.bc.ca/esd/distdata/ecosystems/TEI_Scanned_Maps/I19/I19-3317","http://www.env.gov.bc.ca/esd/distdata/ecosystems/TEI_Scanned_Maps/I19/I19-3317")</f>
        <v>http://www.env.gov.bc.ca/esd/distdata/ecosystems/TEI_Scanned_Maps/I19/I19-3317</v>
      </c>
      <c r="U1216" t="s">
        <v>58</v>
      </c>
      <c r="V1216" t="s">
        <v>58</v>
      </c>
      <c r="W1216" t="s">
        <v>58</v>
      </c>
      <c r="X1216" t="s">
        <v>58</v>
      </c>
      <c r="Y1216" t="s">
        <v>58</v>
      </c>
      <c r="Z1216" t="s">
        <v>58</v>
      </c>
      <c r="AA1216" t="s">
        <v>58</v>
      </c>
      <c r="AC1216" t="s">
        <v>58</v>
      </c>
      <c r="AE1216" t="s">
        <v>58</v>
      </c>
      <c r="AG1216" t="s">
        <v>63</v>
      </c>
      <c r="AH1216" s="11" t="str">
        <f t="shared" si="21"/>
        <v>mailto: soilterrain@victoria1.gov.bc.ca</v>
      </c>
    </row>
    <row r="1217" spans="1:34">
      <c r="A1217" t="s">
        <v>2865</v>
      </c>
      <c r="B1217" t="s">
        <v>56</v>
      </c>
      <c r="C1217" s="10" t="s">
        <v>1729</v>
      </c>
      <c r="D1217" t="s">
        <v>58</v>
      </c>
      <c r="E1217" t="s">
        <v>497</v>
      </c>
      <c r="F1217" t="s">
        <v>2866</v>
      </c>
      <c r="G1217">
        <v>50000</v>
      </c>
      <c r="H1217">
        <v>1979</v>
      </c>
      <c r="I1217" t="s">
        <v>58</v>
      </c>
      <c r="J1217" t="s">
        <v>58</v>
      </c>
      <c r="K1217" t="s">
        <v>58</v>
      </c>
      <c r="L1217" t="s">
        <v>58</v>
      </c>
      <c r="M1217" t="s">
        <v>58</v>
      </c>
      <c r="N1217" t="s">
        <v>61</v>
      </c>
      <c r="Q1217" t="s">
        <v>58</v>
      </c>
      <c r="R1217" s="11" t="str">
        <f>HYPERLINK("\\imagefiles.bcgov\imagery\scanned_maps\moe_terrain_maps\Scanned_T_maps_all\I19\I19-3318","\\imagefiles.bcgov\imagery\scanned_maps\moe_terrain_maps\Scanned_T_maps_all\I19\I19-3318")</f>
        <v>\\imagefiles.bcgov\imagery\scanned_maps\moe_terrain_maps\Scanned_T_maps_all\I19\I19-3318</v>
      </c>
      <c r="S1217" t="s">
        <v>62</v>
      </c>
      <c r="T1217" s="11" t="str">
        <f>HYPERLINK("http://www.env.gov.bc.ca/esd/distdata/ecosystems/TEI_Scanned_Maps/I19/I19-3318","http://www.env.gov.bc.ca/esd/distdata/ecosystems/TEI_Scanned_Maps/I19/I19-3318")</f>
        <v>http://www.env.gov.bc.ca/esd/distdata/ecosystems/TEI_Scanned_Maps/I19/I19-3318</v>
      </c>
      <c r="U1217" t="s">
        <v>58</v>
      </c>
      <c r="V1217" t="s">
        <v>58</v>
      </c>
      <c r="W1217" t="s">
        <v>58</v>
      </c>
      <c r="X1217" t="s">
        <v>58</v>
      </c>
      <c r="Y1217" t="s">
        <v>58</v>
      </c>
      <c r="Z1217" t="s">
        <v>58</v>
      </c>
      <c r="AA1217" t="s">
        <v>58</v>
      </c>
      <c r="AC1217" t="s">
        <v>58</v>
      </c>
      <c r="AE1217" t="s">
        <v>58</v>
      </c>
      <c r="AG1217" t="s">
        <v>63</v>
      </c>
      <c r="AH1217" s="11" t="str">
        <f t="shared" si="21"/>
        <v>mailto: soilterrain@victoria1.gov.bc.ca</v>
      </c>
    </row>
    <row r="1218" spans="1:34">
      <c r="A1218" t="s">
        <v>2867</v>
      </c>
      <c r="B1218" t="s">
        <v>56</v>
      </c>
      <c r="C1218" s="10" t="s">
        <v>1732</v>
      </c>
      <c r="D1218" t="s">
        <v>58</v>
      </c>
      <c r="E1218" t="s">
        <v>497</v>
      </c>
      <c r="F1218" t="s">
        <v>2868</v>
      </c>
      <c r="G1218">
        <v>50000</v>
      </c>
      <c r="H1218">
        <v>1979</v>
      </c>
      <c r="I1218" t="s">
        <v>58</v>
      </c>
      <c r="J1218" t="s">
        <v>58</v>
      </c>
      <c r="K1218" t="s">
        <v>58</v>
      </c>
      <c r="L1218" t="s">
        <v>58</v>
      </c>
      <c r="M1218" t="s">
        <v>58</v>
      </c>
      <c r="N1218" t="s">
        <v>61</v>
      </c>
      <c r="Q1218" t="s">
        <v>58</v>
      </c>
      <c r="R1218" s="11" t="str">
        <f>HYPERLINK("\\imagefiles.bcgov\imagery\scanned_maps\moe_terrain_maps\Scanned_T_maps_all\I19\I19-3319","\\imagefiles.bcgov\imagery\scanned_maps\moe_terrain_maps\Scanned_T_maps_all\I19\I19-3319")</f>
        <v>\\imagefiles.bcgov\imagery\scanned_maps\moe_terrain_maps\Scanned_T_maps_all\I19\I19-3319</v>
      </c>
      <c r="S1218" t="s">
        <v>62</v>
      </c>
      <c r="T1218" s="11" t="str">
        <f>HYPERLINK("http://www.env.gov.bc.ca/esd/distdata/ecosystems/TEI_Scanned_Maps/I19/I19-3319","http://www.env.gov.bc.ca/esd/distdata/ecosystems/TEI_Scanned_Maps/I19/I19-3319")</f>
        <v>http://www.env.gov.bc.ca/esd/distdata/ecosystems/TEI_Scanned_Maps/I19/I19-3319</v>
      </c>
      <c r="U1218" t="s">
        <v>58</v>
      </c>
      <c r="V1218" t="s">
        <v>58</v>
      </c>
      <c r="W1218" t="s">
        <v>58</v>
      </c>
      <c r="X1218" t="s">
        <v>58</v>
      </c>
      <c r="Y1218" t="s">
        <v>58</v>
      </c>
      <c r="Z1218" t="s">
        <v>58</v>
      </c>
      <c r="AA1218" t="s">
        <v>58</v>
      </c>
      <c r="AC1218" t="s">
        <v>58</v>
      </c>
      <c r="AE1218" t="s">
        <v>58</v>
      </c>
      <c r="AG1218" t="s">
        <v>63</v>
      </c>
      <c r="AH1218" s="11" t="str">
        <f t="shared" ref="AH1218:AH1281" si="22">HYPERLINK("mailto: soilterrain@victoria1.gov.bc.ca","mailto: soilterrain@victoria1.gov.bc.ca")</f>
        <v>mailto: soilterrain@victoria1.gov.bc.ca</v>
      </c>
    </row>
    <row r="1219" spans="1:34">
      <c r="A1219" t="s">
        <v>2869</v>
      </c>
      <c r="B1219" t="s">
        <v>56</v>
      </c>
      <c r="C1219" s="10" t="s">
        <v>1735</v>
      </c>
      <c r="D1219" t="s">
        <v>58</v>
      </c>
      <c r="E1219" t="s">
        <v>497</v>
      </c>
      <c r="F1219" t="s">
        <v>2870</v>
      </c>
      <c r="G1219">
        <v>50000</v>
      </c>
      <c r="H1219">
        <v>1979</v>
      </c>
      <c r="I1219" t="s">
        <v>58</v>
      </c>
      <c r="J1219" t="s">
        <v>58</v>
      </c>
      <c r="K1219" t="s">
        <v>58</v>
      </c>
      <c r="L1219" t="s">
        <v>58</v>
      </c>
      <c r="M1219" t="s">
        <v>58</v>
      </c>
      <c r="N1219" t="s">
        <v>61</v>
      </c>
      <c r="Q1219" t="s">
        <v>58</v>
      </c>
      <c r="R1219" s="11" t="str">
        <f>HYPERLINK("\\imagefiles.bcgov\imagery\scanned_maps\moe_terrain_maps\Scanned_T_maps_all\I19\I19-3320","\\imagefiles.bcgov\imagery\scanned_maps\moe_terrain_maps\Scanned_T_maps_all\I19\I19-3320")</f>
        <v>\\imagefiles.bcgov\imagery\scanned_maps\moe_terrain_maps\Scanned_T_maps_all\I19\I19-3320</v>
      </c>
      <c r="S1219" t="s">
        <v>62</v>
      </c>
      <c r="T1219" s="11" t="str">
        <f>HYPERLINK("http://www.env.gov.bc.ca/esd/distdata/ecosystems/TEI_Scanned_Maps/I19/I19-3320","http://www.env.gov.bc.ca/esd/distdata/ecosystems/TEI_Scanned_Maps/I19/I19-3320")</f>
        <v>http://www.env.gov.bc.ca/esd/distdata/ecosystems/TEI_Scanned_Maps/I19/I19-3320</v>
      </c>
      <c r="U1219" t="s">
        <v>58</v>
      </c>
      <c r="V1219" t="s">
        <v>58</v>
      </c>
      <c r="W1219" t="s">
        <v>58</v>
      </c>
      <c r="X1219" t="s">
        <v>58</v>
      </c>
      <c r="Y1219" t="s">
        <v>58</v>
      </c>
      <c r="Z1219" t="s">
        <v>58</v>
      </c>
      <c r="AA1219" t="s">
        <v>58</v>
      </c>
      <c r="AC1219" t="s">
        <v>58</v>
      </c>
      <c r="AE1219" t="s">
        <v>58</v>
      </c>
      <c r="AG1219" t="s">
        <v>63</v>
      </c>
      <c r="AH1219" s="11" t="str">
        <f t="shared" si="22"/>
        <v>mailto: soilterrain@victoria1.gov.bc.ca</v>
      </c>
    </row>
    <row r="1220" spans="1:34">
      <c r="A1220" t="s">
        <v>2871</v>
      </c>
      <c r="B1220" t="s">
        <v>56</v>
      </c>
      <c r="C1220" s="10" t="s">
        <v>1741</v>
      </c>
      <c r="D1220" t="s">
        <v>58</v>
      </c>
      <c r="E1220" t="s">
        <v>497</v>
      </c>
      <c r="F1220" t="s">
        <v>2872</v>
      </c>
      <c r="G1220">
        <v>50000</v>
      </c>
      <c r="H1220">
        <v>1979</v>
      </c>
      <c r="I1220" t="s">
        <v>58</v>
      </c>
      <c r="J1220" t="s">
        <v>58</v>
      </c>
      <c r="K1220" t="s">
        <v>58</v>
      </c>
      <c r="L1220" t="s">
        <v>58</v>
      </c>
      <c r="M1220" t="s">
        <v>58</v>
      </c>
      <c r="N1220" t="s">
        <v>61</v>
      </c>
      <c r="Q1220" t="s">
        <v>58</v>
      </c>
      <c r="R1220" s="11" t="str">
        <f>HYPERLINK("\\imagefiles.bcgov\imagery\scanned_maps\moe_terrain_maps\Scanned_T_maps_all\I19\I19-3321","\\imagefiles.bcgov\imagery\scanned_maps\moe_terrain_maps\Scanned_T_maps_all\I19\I19-3321")</f>
        <v>\\imagefiles.bcgov\imagery\scanned_maps\moe_terrain_maps\Scanned_T_maps_all\I19\I19-3321</v>
      </c>
      <c r="S1220" t="s">
        <v>62</v>
      </c>
      <c r="T1220" s="11" t="str">
        <f>HYPERLINK("http://www.env.gov.bc.ca/esd/distdata/ecosystems/TEI_Scanned_Maps/I19/I19-3321","http://www.env.gov.bc.ca/esd/distdata/ecosystems/TEI_Scanned_Maps/I19/I19-3321")</f>
        <v>http://www.env.gov.bc.ca/esd/distdata/ecosystems/TEI_Scanned_Maps/I19/I19-3321</v>
      </c>
      <c r="U1220" t="s">
        <v>58</v>
      </c>
      <c r="V1220" t="s">
        <v>58</v>
      </c>
      <c r="W1220" t="s">
        <v>58</v>
      </c>
      <c r="X1220" t="s">
        <v>58</v>
      </c>
      <c r="Y1220" t="s">
        <v>58</v>
      </c>
      <c r="Z1220" t="s">
        <v>58</v>
      </c>
      <c r="AA1220" t="s">
        <v>58</v>
      </c>
      <c r="AC1220" t="s">
        <v>58</v>
      </c>
      <c r="AE1220" t="s">
        <v>58</v>
      </c>
      <c r="AG1220" t="s">
        <v>63</v>
      </c>
      <c r="AH1220" s="11" t="str">
        <f t="shared" si="22"/>
        <v>mailto: soilterrain@victoria1.gov.bc.ca</v>
      </c>
    </row>
    <row r="1221" spans="1:34">
      <c r="A1221" t="s">
        <v>2873</v>
      </c>
      <c r="B1221" t="s">
        <v>56</v>
      </c>
      <c r="C1221" s="10" t="s">
        <v>1744</v>
      </c>
      <c r="D1221" t="s">
        <v>58</v>
      </c>
      <c r="E1221" t="s">
        <v>497</v>
      </c>
      <c r="F1221" t="s">
        <v>2874</v>
      </c>
      <c r="G1221">
        <v>50000</v>
      </c>
      <c r="H1221">
        <v>1979</v>
      </c>
      <c r="I1221" t="s">
        <v>58</v>
      </c>
      <c r="J1221" t="s">
        <v>58</v>
      </c>
      <c r="K1221" t="s">
        <v>58</v>
      </c>
      <c r="L1221" t="s">
        <v>58</v>
      </c>
      <c r="M1221" t="s">
        <v>58</v>
      </c>
      <c r="N1221" t="s">
        <v>61</v>
      </c>
      <c r="Q1221" t="s">
        <v>58</v>
      </c>
      <c r="R1221" s="11" t="str">
        <f>HYPERLINK("\\imagefiles.bcgov\imagery\scanned_maps\moe_terrain_maps\Scanned_T_maps_all\I19\I19-3322","\\imagefiles.bcgov\imagery\scanned_maps\moe_terrain_maps\Scanned_T_maps_all\I19\I19-3322")</f>
        <v>\\imagefiles.bcgov\imagery\scanned_maps\moe_terrain_maps\Scanned_T_maps_all\I19\I19-3322</v>
      </c>
      <c r="S1221" t="s">
        <v>62</v>
      </c>
      <c r="T1221" s="11" t="str">
        <f>HYPERLINK("http://www.env.gov.bc.ca/esd/distdata/ecosystems/TEI_Scanned_Maps/I19/I19-3322","http://www.env.gov.bc.ca/esd/distdata/ecosystems/TEI_Scanned_Maps/I19/I19-3322")</f>
        <v>http://www.env.gov.bc.ca/esd/distdata/ecosystems/TEI_Scanned_Maps/I19/I19-3322</v>
      </c>
      <c r="U1221" t="s">
        <v>58</v>
      </c>
      <c r="V1221" t="s">
        <v>58</v>
      </c>
      <c r="W1221" t="s">
        <v>58</v>
      </c>
      <c r="X1221" t="s">
        <v>58</v>
      </c>
      <c r="Y1221" t="s">
        <v>58</v>
      </c>
      <c r="Z1221" t="s">
        <v>58</v>
      </c>
      <c r="AA1221" t="s">
        <v>58</v>
      </c>
      <c r="AC1221" t="s">
        <v>58</v>
      </c>
      <c r="AE1221" t="s">
        <v>58</v>
      </c>
      <c r="AG1221" t="s">
        <v>63</v>
      </c>
      <c r="AH1221" s="11" t="str">
        <f t="shared" si="22"/>
        <v>mailto: soilterrain@victoria1.gov.bc.ca</v>
      </c>
    </row>
    <row r="1222" spans="1:34">
      <c r="A1222" t="s">
        <v>2875</v>
      </c>
      <c r="B1222" t="s">
        <v>56</v>
      </c>
      <c r="C1222" s="10" t="s">
        <v>1747</v>
      </c>
      <c r="D1222" t="s">
        <v>58</v>
      </c>
      <c r="E1222" t="s">
        <v>497</v>
      </c>
      <c r="F1222" t="s">
        <v>2876</v>
      </c>
      <c r="G1222">
        <v>50000</v>
      </c>
      <c r="H1222">
        <v>1979</v>
      </c>
      <c r="I1222" t="s">
        <v>58</v>
      </c>
      <c r="J1222" t="s">
        <v>58</v>
      </c>
      <c r="K1222" t="s">
        <v>58</v>
      </c>
      <c r="L1222" t="s">
        <v>58</v>
      </c>
      <c r="M1222" t="s">
        <v>58</v>
      </c>
      <c r="N1222" t="s">
        <v>61</v>
      </c>
      <c r="Q1222" t="s">
        <v>58</v>
      </c>
      <c r="R1222" s="11" t="str">
        <f>HYPERLINK("\\imagefiles.bcgov\imagery\scanned_maps\moe_terrain_maps\Scanned_T_maps_all\I19\I19-3323","\\imagefiles.bcgov\imagery\scanned_maps\moe_terrain_maps\Scanned_T_maps_all\I19\I19-3323")</f>
        <v>\\imagefiles.bcgov\imagery\scanned_maps\moe_terrain_maps\Scanned_T_maps_all\I19\I19-3323</v>
      </c>
      <c r="S1222" t="s">
        <v>62</v>
      </c>
      <c r="T1222" s="11" t="str">
        <f>HYPERLINK("http://www.env.gov.bc.ca/esd/distdata/ecosystems/TEI_Scanned_Maps/I19/I19-3323","http://www.env.gov.bc.ca/esd/distdata/ecosystems/TEI_Scanned_Maps/I19/I19-3323")</f>
        <v>http://www.env.gov.bc.ca/esd/distdata/ecosystems/TEI_Scanned_Maps/I19/I19-3323</v>
      </c>
      <c r="U1222" t="s">
        <v>58</v>
      </c>
      <c r="V1222" t="s">
        <v>58</v>
      </c>
      <c r="W1222" t="s">
        <v>58</v>
      </c>
      <c r="X1222" t="s">
        <v>58</v>
      </c>
      <c r="Y1222" t="s">
        <v>58</v>
      </c>
      <c r="Z1222" t="s">
        <v>58</v>
      </c>
      <c r="AA1222" t="s">
        <v>58</v>
      </c>
      <c r="AC1222" t="s">
        <v>58</v>
      </c>
      <c r="AE1222" t="s">
        <v>58</v>
      </c>
      <c r="AG1222" t="s">
        <v>63</v>
      </c>
      <c r="AH1222" s="11" t="str">
        <f t="shared" si="22"/>
        <v>mailto: soilterrain@victoria1.gov.bc.ca</v>
      </c>
    </row>
    <row r="1223" spans="1:34">
      <c r="A1223" t="s">
        <v>2877</v>
      </c>
      <c r="B1223" t="s">
        <v>56</v>
      </c>
      <c r="C1223" s="10" t="s">
        <v>1750</v>
      </c>
      <c r="D1223" t="s">
        <v>58</v>
      </c>
      <c r="E1223" t="s">
        <v>497</v>
      </c>
      <c r="F1223" t="s">
        <v>2878</v>
      </c>
      <c r="G1223">
        <v>50000</v>
      </c>
      <c r="H1223">
        <v>1979</v>
      </c>
      <c r="I1223" t="s">
        <v>58</v>
      </c>
      <c r="J1223" t="s">
        <v>58</v>
      </c>
      <c r="K1223" t="s">
        <v>58</v>
      </c>
      <c r="L1223" t="s">
        <v>58</v>
      </c>
      <c r="M1223" t="s">
        <v>58</v>
      </c>
      <c r="N1223" t="s">
        <v>61</v>
      </c>
      <c r="Q1223" t="s">
        <v>58</v>
      </c>
      <c r="R1223" s="11" t="str">
        <f>HYPERLINK("\\imagefiles.bcgov\imagery\scanned_maps\moe_terrain_maps\Scanned_T_maps_all\I19\I19-3324","\\imagefiles.bcgov\imagery\scanned_maps\moe_terrain_maps\Scanned_T_maps_all\I19\I19-3324")</f>
        <v>\\imagefiles.bcgov\imagery\scanned_maps\moe_terrain_maps\Scanned_T_maps_all\I19\I19-3324</v>
      </c>
      <c r="S1223" t="s">
        <v>62</v>
      </c>
      <c r="T1223" s="11" t="str">
        <f>HYPERLINK("http://www.env.gov.bc.ca/esd/distdata/ecosystems/TEI_Scanned_Maps/I19/I19-3324","http://www.env.gov.bc.ca/esd/distdata/ecosystems/TEI_Scanned_Maps/I19/I19-3324")</f>
        <v>http://www.env.gov.bc.ca/esd/distdata/ecosystems/TEI_Scanned_Maps/I19/I19-3324</v>
      </c>
      <c r="U1223" t="s">
        <v>58</v>
      </c>
      <c r="V1223" t="s">
        <v>58</v>
      </c>
      <c r="W1223" t="s">
        <v>58</v>
      </c>
      <c r="X1223" t="s">
        <v>58</v>
      </c>
      <c r="Y1223" t="s">
        <v>58</v>
      </c>
      <c r="Z1223" t="s">
        <v>58</v>
      </c>
      <c r="AA1223" t="s">
        <v>58</v>
      </c>
      <c r="AC1223" t="s">
        <v>58</v>
      </c>
      <c r="AE1223" t="s">
        <v>58</v>
      </c>
      <c r="AG1223" t="s">
        <v>63</v>
      </c>
      <c r="AH1223" s="11" t="str">
        <f t="shared" si="22"/>
        <v>mailto: soilterrain@victoria1.gov.bc.ca</v>
      </c>
    </row>
    <row r="1224" spans="1:34">
      <c r="A1224" t="s">
        <v>2879</v>
      </c>
      <c r="B1224" t="s">
        <v>56</v>
      </c>
      <c r="C1224" s="10" t="s">
        <v>1753</v>
      </c>
      <c r="D1224" t="s">
        <v>58</v>
      </c>
      <c r="E1224" t="s">
        <v>497</v>
      </c>
      <c r="F1224" t="s">
        <v>2880</v>
      </c>
      <c r="G1224">
        <v>50000</v>
      </c>
      <c r="H1224">
        <v>1979</v>
      </c>
      <c r="I1224" t="s">
        <v>58</v>
      </c>
      <c r="J1224" t="s">
        <v>58</v>
      </c>
      <c r="K1224" t="s">
        <v>58</v>
      </c>
      <c r="L1224" t="s">
        <v>58</v>
      </c>
      <c r="M1224" t="s">
        <v>58</v>
      </c>
      <c r="N1224" t="s">
        <v>61</v>
      </c>
      <c r="Q1224" t="s">
        <v>58</v>
      </c>
      <c r="R1224" s="11" t="str">
        <f>HYPERLINK("\\imagefiles.bcgov\imagery\scanned_maps\moe_terrain_maps\Scanned_T_maps_all\I19\I19-3325","\\imagefiles.bcgov\imagery\scanned_maps\moe_terrain_maps\Scanned_T_maps_all\I19\I19-3325")</f>
        <v>\\imagefiles.bcgov\imagery\scanned_maps\moe_terrain_maps\Scanned_T_maps_all\I19\I19-3325</v>
      </c>
      <c r="S1224" t="s">
        <v>62</v>
      </c>
      <c r="T1224" s="11" t="str">
        <f>HYPERLINK("http://www.env.gov.bc.ca/esd/distdata/ecosystems/TEI_Scanned_Maps/I19/I19-3325","http://www.env.gov.bc.ca/esd/distdata/ecosystems/TEI_Scanned_Maps/I19/I19-3325")</f>
        <v>http://www.env.gov.bc.ca/esd/distdata/ecosystems/TEI_Scanned_Maps/I19/I19-3325</v>
      </c>
      <c r="U1224" t="s">
        <v>58</v>
      </c>
      <c r="V1224" t="s">
        <v>58</v>
      </c>
      <c r="W1224" t="s">
        <v>58</v>
      </c>
      <c r="X1224" t="s">
        <v>58</v>
      </c>
      <c r="Y1224" t="s">
        <v>58</v>
      </c>
      <c r="Z1224" t="s">
        <v>58</v>
      </c>
      <c r="AA1224" t="s">
        <v>58</v>
      </c>
      <c r="AC1224" t="s">
        <v>58</v>
      </c>
      <c r="AE1224" t="s">
        <v>58</v>
      </c>
      <c r="AG1224" t="s">
        <v>63</v>
      </c>
      <c r="AH1224" s="11" t="str">
        <f t="shared" si="22"/>
        <v>mailto: soilterrain@victoria1.gov.bc.ca</v>
      </c>
    </row>
    <row r="1225" spans="1:34">
      <c r="A1225" t="s">
        <v>2881</v>
      </c>
      <c r="B1225" t="s">
        <v>56</v>
      </c>
      <c r="C1225" s="10" t="s">
        <v>1756</v>
      </c>
      <c r="D1225" t="s">
        <v>58</v>
      </c>
      <c r="E1225" t="s">
        <v>497</v>
      </c>
      <c r="F1225" t="s">
        <v>2882</v>
      </c>
      <c r="G1225">
        <v>50000</v>
      </c>
      <c r="H1225">
        <v>1979</v>
      </c>
      <c r="I1225" t="s">
        <v>58</v>
      </c>
      <c r="J1225" t="s">
        <v>58</v>
      </c>
      <c r="K1225" t="s">
        <v>58</v>
      </c>
      <c r="L1225" t="s">
        <v>58</v>
      </c>
      <c r="M1225" t="s">
        <v>58</v>
      </c>
      <c r="N1225" t="s">
        <v>61</v>
      </c>
      <c r="Q1225" t="s">
        <v>58</v>
      </c>
      <c r="R1225" s="11" t="str">
        <f>HYPERLINK("\\imagefiles.bcgov\imagery\scanned_maps\moe_terrain_maps\Scanned_T_maps_all\I19\I19-3326","\\imagefiles.bcgov\imagery\scanned_maps\moe_terrain_maps\Scanned_T_maps_all\I19\I19-3326")</f>
        <v>\\imagefiles.bcgov\imagery\scanned_maps\moe_terrain_maps\Scanned_T_maps_all\I19\I19-3326</v>
      </c>
      <c r="S1225" t="s">
        <v>62</v>
      </c>
      <c r="T1225" s="11" t="str">
        <f>HYPERLINK("http://www.env.gov.bc.ca/esd/distdata/ecosystems/TEI_Scanned_Maps/I19/I19-3326","http://www.env.gov.bc.ca/esd/distdata/ecosystems/TEI_Scanned_Maps/I19/I19-3326")</f>
        <v>http://www.env.gov.bc.ca/esd/distdata/ecosystems/TEI_Scanned_Maps/I19/I19-3326</v>
      </c>
      <c r="U1225" t="s">
        <v>58</v>
      </c>
      <c r="V1225" t="s">
        <v>58</v>
      </c>
      <c r="W1225" t="s">
        <v>58</v>
      </c>
      <c r="X1225" t="s">
        <v>58</v>
      </c>
      <c r="Y1225" t="s">
        <v>58</v>
      </c>
      <c r="Z1225" t="s">
        <v>58</v>
      </c>
      <c r="AA1225" t="s">
        <v>58</v>
      </c>
      <c r="AC1225" t="s">
        <v>58</v>
      </c>
      <c r="AE1225" t="s">
        <v>58</v>
      </c>
      <c r="AG1225" t="s">
        <v>63</v>
      </c>
      <c r="AH1225" s="11" t="str">
        <f t="shared" si="22"/>
        <v>mailto: soilterrain@victoria1.gov.bc.ca</v>
      </c>
    </row>
    <row r="1226" spans="1:34">
      <c r="A1226" t="s">
        <v>2883</v>
      </c>
      <c r="B1226" t="s">
        <v>56</v>
      </c>
      <c r="C1226" s="10" t="s">
        <v>1759</v>
      </c>
      <c r="D1226" t="s">
        <v>58</v>
      </c>
      <c r="E1226" t="s">
        <v>497</v>
      </c>
      <c r="F1226" t="s">
        <v>2884</v>
      </c>
      <c r="G1226">
        <v>50000</v>
      </c>
      <c r="H1226">
        <v>1979</v>
      </c>
      <c r="I1226" t="s">
        <v>58</v>
      </c>
      <c r="J1226" t="s">
        <v>58</v>
      </c>
      <c r="K1226" t="s">
        <v>58</v>
      </c>
      <c r="L1226" t="s">
        <v>58</v>
      </c>
      <c r="M1226" t="s">
        <v>58</v>
      </c>
      <c r="N1226" t="s">
        <v>61</v>
      </c>
      <c r="Q1226" t="s">
        <v>58</v>
      </c>
      <c r="R1226" s="11" t="str">
        <f>HYPERLINK("\\imagefiles.bcgov\imagery\scanned_maps\moe_terrain_maps\Scanned_T_maps_all\I19\I19-3327","\\imagefiles.bcgov\imagery\scanned_maps\moe_terrain_maps\Scanned_T_maps_all\I19\I19-3327")</f>
        <v>\\imagefiles.bcgov\imagery\scanned_maps\moe_terrain_maps\Scanned_T_maps_all\I19\I19-3327</v>
      </c>
      <c r="S1226" t="s">
        <v>62</v>
      </c>
      <c r="T1226" s="11" t="str">
        <f>HYPERLINK("http://www.env.gov.bc.ca/esd/distdata/ecosystems/TEI_Scanned_Maps/I19/I19-3327","http://www.env.gov.bc.ca/esd/distdata/ecosystems/TEI_Scanned_Maps/I19/I19-3327")</f>
        <v>http://www.env.gov.bc.ca/esd/distdata/ecosystems/TEI_Scanned_Maps/I19/I19-3327</v>
      </c>
      <c r="U1226" t="s">
        <v>58</v>
      </c>
      <c r="V1226" t="s">
        <v>58</v>
      </c>
      <c r="W1226" t="s">
        <v>58</v>
      </c>
      <c r="X1226" t="s">
        <v>58</v>
      </c>
      <c r="Y1226" t="s">
        <v>58</v>
      </c>
      <c r="Z1226" t="s">
        <v>58</v>
      </c>
      <c r="AA1226" t="s">
        <v>58</v>
      </c>
      <c r="AC1226" t="s">
        <v>58</v>
      </c>
      <c r="AE1226" t="s">
        <v>58</v>
      </c>
      <c r="AG1226" t="s">
        <v>63</v>
      </c>
      <c r="AH1226" s="11" t="str">
        <f t="shared" si="22"/>
        <v>mailto: soilterrain@victoria1.gov.bc.ca</v>
      </c>
    </row>
    <row r="1227" spans="1:34">
      <c r="A1227" t="s">
        <v>2885</v>
      </c>
      <c r="B1227" t="s">
        <v>56</v>
      </c>
      <c r="C1227" s="10" t="s">
        <v>1762</v>
      </c>
      <c r="D1227" t="s">
        <v>58</v>
      </c>
      <c r="E1227" t="s">
        <v>497</v>
      </c>
      <c r="F1227" t="s">
        <v>2886</v>
      </c>
      <c r="G1227">
        <v>50000</v>
      </c>
      <c r="H1227">
        <v>1979</v>
      </c>
      <c r="I1227" t="s">
        <v>58</v>
      </c>
      <c r="J1227" t="s">
        <v>58</v>
      </c>
      <c r="K1227" t="s">
        <v>58</v>
      </c>
      <c r="L1227" t="s">
        <v>58</v>
      </c>
      <c r="M1227" t="s">
        <v>58</v>
      </c>
      <c r="N1227" t="s">
        <v>61</v>
      </c>
      <c r="Q1227" t="s">
        <v>58</v>
      </c>
      <c r="R1227" s="11" t="str">
        <f>HYPERLINK("\\imagefiles.bcgov\imagery\scanned_maps\moe_terrain_maps\Scanned_T_maps_all\I19\I19-3328","\\imagefiles.bcgov\imagery\scanned_maps\moe_terrain_maps\Scanned_T_maps_all\I19\I19-3328")</f>
        <v>\\imagefiles.bcgov\imagery\scanned_maps\moe_terrain_maps\Scanned_T_maps_all\I19\I19-3328</v>
      </c>
      <c r="S1227" t="s">
        <v>62</v>
      </c>
      <c r="T1227" s="11" t="str">
        <f>HYPERLINK("http://www.env.gov.bc.ca/esd/distdata/ecosystems/TEI_Scanned_Maps/I19/I19-3328","http://www.env.gov.bc.ca/esd/distdata/ecosystems/TEI_Scanned_Maps/I19/I19-3328")</f>
        <v>http://www.env.gov.bc.ca/esd/distdata/ecosystems/TEI_Scanned_Maps/I19/I19-3328</v>
      </c>
      <c r="U1227" t="s">
        <v>58</v>
      </c>
      <c r="V1227" t="s">
        <v>58</v>
      </c>
      <c r="W1227" t="s">
        <v>58</v>
      </c>
      <c r="X1227" t="s">
        <v>58</v>
      </c>
      <c r="Y1227" t="s">
        <v>58</v>
      </c>
      <c r="Z1227" t="s">
        <v>58</v>
      </c>
      <c r="AA1227" t="s">
        <v>58</v>
      </c>
      <c r="AC1227" t="s">
        <v>58</v>
      </c>
      <c r="AE1227" t="s">
        <v>58</v>
      </c>
      <c r="AG1227" t="s">
        <v>63</v>
      </c>
      <c r="AH1227" s="11" t="str">
        <f t="shared" si="22"/>
        <v>mailto: soilterrain@victoria1.gov.bc.ca</v>
      </c>
    </row>
    <row r="1228" spans="1:34">
      <c r="A1228" t="s">
        <v>2887</v>
      </c>
      <c r="B1228" t="s">
        <v>56</v>
      </c>
      <c r="C1228" s="10" t="s">
        <v>1765</v>
      </c>
      <c r="D1228" t="s">
        <v>58</v>
      </c>
      <c r="E1228" t="s">
        <v>497</v>
      </c>
      <c r="F1228" t="s">
        <v>2888</v>
      </c>
      <c r="G1228">
        <v>50000</v>
      </c>
      <c r="H1228">
        <v>1979</v>
      </c>
      <c r="I1228" t="s">
        <v>58</v>
      </c>
      <c r="J1228" t="s">
        <v>58</v>
      </c>
      <c r="K1228" t="s">
        <v>58</v>
      </c>
      <c r="L1228" t="s">
        <v>58</v>
      </c>
      <c r="M1228" t="s">
        <v>58</v>
      </c>
      <c r="N1228" t="s">
        <v>61</v>
      </c>
      <c r="Q1228" t="s">
        <v>58</v>
      </c>
      <c r="R1228" s="11" t="str">
        <f>HYPERLINK("\\imagefiles.bcgov\imagery\scanned_maps\moe_terrain_maps\Scanned_T_maps_all\I19\I19-3329","\\imagefiles.bcgov\imagery\scanned_maps\moe_terrain_maps\Scanned_T_maps_all\I19\I19-3329")</f>
        <v>\\imagefiles.bcgov\imagery\scanned_maps\moe_terrain_maps\Scanned_T_maps_all\I19\I19-3329</v>
      </c>
      <c r="S1228" t="s">
        <v>62</v>
      </c>
      <c r="T1228" s="11" t="str">
        <f>HYPERLINK("http://www.env.gov.bc.ca/esd/distdata/ecosystems/TEI_Scanned_Maps/I19/I19-3329","http://www.env.gov.bc.ca/esd/distdata/ecosystems/TEI_Scanned_Maps/I19/I19-3329")</f>
        <v>http://www.env.gov.bc.ca/esd/distdata/ecosystems/TEI_Scanned_Maps/I19/I19-3329</v>
      </c>
      <c r="U1228" t="s">
        <v>58</v>
      </c>
      <c r="V1228" t="s">
        <v>58</v>
      </c>
      <c r="W1228" t="s">
        <v>58</v>
      </c>
      <c r="X1228" t="s">
        <v>58</v>
      </c>
      <c r="Y1228" t="s">
        <v>58</v>
      </c>
      <c r="Z1228" t="s">
        <v>58</v>
      </c>
      <c r="AA1228" t="s">
        <v>58</v>
      </c>
      <c r="AC1228" t="s">
        <v>58</v>
      </c>
      <c r="AE1228" t="s">
        <v>58</v>
      </c>
      <c r="AG1228" t="s">
        <v>63</v>
      </c>
      <c r="AH1228" s="11" t="str">
        <f t="shared" si="22"/>
        <v>mailto: soilterrain@victoria1.gov.bc.ca</v>
      </c>
    </row>
    <row r="1229" spans="1:34">
      <c r="A1229" t="s">
        <v>2889</v>
      </c>
      <c r="B1229" t="s">
        <v>56</v>
      </c>
      <c r="C1229" s="10" t="s">
        <v>1768</v>
      </c>
      <c r="D1229" t="s">
        <v>58</v>
      </c>
      <c r="E1229" t="s">
        <v>497</v>
      </c>
      <c r="F1229" t="s">
        <v>2890</v>
      </c>
      <c r="G1229">
        <v>50000</v>
      </c>
      <c r="H1229">
        <v>1979</v>
      </c>
      <c r="I1229" t="s">
        <v>58</v>
      </c>
      <c r="J1229" t="s">
        <v>58</v>
      </c>
      <c r="K1229" t="s">
        <v>58</v>
      </c>
      <c r="L1229" t="s">
        <v>58</v>
      </c>
      <c r="M1229" t="s">
        <v>58</v>
      </c>
      <c r="N1229" t="s">
        <v>61</v>
      </c>
      <c r="Q1229" t="s">
        <v>58</v>
      </c>
      <c r="R1229" s="11" t="str">
        <f>HYPERLINK("\\imagefiles.bcgov\imagery\scanned_maps\moe_terrain_maps\Scanned_T_maps_all\I19\I19-3330","\\imagefiles.bcgov\imagery\scanned_maps\moe_terrain_maps\Scanned_T_maps_all\I19\I19-3330")</f>
        <v>\\imagefiles.bcgov\imagery\scanned_maps\moe_terrain_maps\Scanned_T_maps_all\I19\I19-3330</v>
      </c>
      <c r="S1229" t="s">
        <v>62</v>
      </c>
      <c r="T1229" s="11" t="str">
        <f>HYPERLINK("http://www.env.gov.bc.ca/esd/distdata/ecosystems/TEI_Scanned_Maps/I19/I19-3330","http://www.env.gov.bc.ca/esd/distdata/ecosystems/TEI_Scanned_Maps/I19/I19-3330")</f>
        <v>http://www.env.gov.bc.ca/esd/distdata/ecosystems/TEI_Scanned_Maps/I19/I19-3330</v>
      </c>
      <c r="U1229" t="s">
        <v>58</v>
      </c>
      <c r="V1229" t="s">
        <v>58</v>
      </c>
      <c r="W1229" t="s">
        <v>58</v>
      </c>
      <c r="X1229" t="s">
        <v>58</v>
      </c>
      <c r="Y1229" t="s">
        <v>58</v>
      </c>
      <c r="Z1229" t="s">
        <v>58</v>
      </c>
      <c r="AA1229" t="s">
        <v>58</v>
      </c>
      <c r="AC1229" t="s">
        <v>58</v>
      </c>
      <c r="AE1229" t="s">
        <v>58</v>
      </c>
      <c r="AG1229" t="s">
        <v>63</v>
      </c>
      <c r="AH1229" s="11" t="str">
        <f t="shared" si="22"/>
        <v>mailto: soilterrain@victoria1.gov.bc.ca</v>
      </c>
    </row>
    <row r="1230" spans="1:34">
      <c r="A1230" t="s">
        <v>2891</v>
      </c>
      <c r="B1230" t="s">
        <v>56</v>
      </c>
      <c r="C1230" s="10" t="s">
        <v>1771</v>
      </c>
      <c r="D1230" t="s">
        <v>58</v>
      </c>
      <c r="E1230" t="s">
        <v>497</v>
      </c>
      <c r="F1230" t="s">
        <v>2892</v>
      </c>
      <c r="G1230">
        <v>50000</v>
      </c>
      <c r="H1230">
        <v>1979</v>
      </c>
      <c r="I1230" t="s">
        <v>58</v>
      </c>
      <c r="J1230" t="s">
        <v>58</v>
      </c>
      <c r="K1230" t="s">
        <v>58</v>
      </c>
      <c r="L1230" t="s">
        <v>58</v>
      </c>
      <c r="M1230" t="s">
        <v>58</v>
      </c>
      <c r="N1230" t="s">
        <v>61</v>
      </c>
      <c r="Q1230" t="s">
        <v>58</v>
      </c>
      <c r="R1230" s="11" t="str">
        <f>HYPERLINK("\\imagefiles.bcgov\imagery\scanned_maps\moe_terrain_maps\Scanned_T_maps_all\I19\I19-3331","\\imagefiles.bcgov\imagery\scanned_maps\moe_terrain_maps\Scanned_T_maps_all\I19\I19-3331")</f>
        <v>\\imagefiles.bcgov\imagery\scanned_maps\moe_terrain_maps\Scanned_T_maps_all\I19\I19-3331</v>
      </c>
      <c r="S1230" t="s">
        <v>62</v>
      </c>
      <c r="T1230" s="11" t="str">
        <f>HYPERLINK("http://www.env.gov.bc.ca/esd/distdata/ecosystems/TEI_Scanned_Maps/I19/I19-3331","http://www.env.gov.bc.ca/esd/distdata/ecosystems/TEI_Scanned_Maps/I19/I19-3331")</f>
        <v>http://www.env.gov.bc.ca/esd/distdata/ecosystems/TEI_Scanned_Maps/I19/I19-3331</v>
      </c>
      <c r="U1230" t="s">
        <v>58</v>
      </c>
      <c r="V1230" t="s">
        <v>58</v>
      </c>
      <c r="W1230" t="s">
        <v>58</v>
      </c>
      <c r="X1230" t="s">
        <v>58</v>
      </c>
      <c r="Y1230" t="s">
        <v>58</v>
      </c>
      <c r="Z1230" t="s">
        <v>58</v>
      </c>
      <c r="AA1230" t="s">
        <v>58</v>
      </c>
      <c r="AC1230" t="s">
        <v>58</v>
      </c>
      <c r="AE1230" t="s">
        <v>58</v>
      </c>
      <c r="AG1230" t="s">
        <v>63</v>
      </c>
      <c r="AH1230" s="11" t="str">
        <f t="shared" si="22"/>
        <v>mailto: soilterrain@victoria1.gov.bc.ca</v>
      </c>
    </row>
    <row r="1231" spans="1:34">
      <c r="A1231" t="s">
        <v>2893</v>
      </c>
      <c r="B1231" t="s">
        <v>56</v>
      </c>
      <c r="C1231" s="10" t="s">
        <v>1774</v>
      </c>
      <c r="D1231" t="s">
        <v>58</v>
      </c>
      <c r="E1231" t="s">
        <v>497</v>
      </c>
      <c r="F1231" t="s">
        <v>2894</v>
      </c>
      <c r="G1231">
        <v>50000</v>
      </c>
      <c r="H1231">
        <v>1979</v>
      </c>
      <c r="I1231" t="s">
        <v>58</v>
      </c>
      <c r="J1231" t="s">
        <v>58</v>
      </c>
      <c r="K1231" t="s">
        <v>58</v>
      </c>
      <c r="L1231" t="s">
        <v>58</v>
      </c>
      <c r="M1231" t="s">
        <v>58</v>
      </c>
      <c r="N1231" t="s">
        <v>61</v>
      </c>
      <c r="Q1231" t="s">
        <v>58</v>
      </c>
      <c r="R1231" s="11" t="str">
        <f>HYPERLINK("\\imagefiles.bcgov\imagery\scanned_maps\moe_terrain_maps\Scanned_T_maps_all\I19\I19-3332","\\imagefiles.bcgov\imagery\scanned_maps\moe_terrain_maps\Scanned_T_maps_all\I19\I19-3332")</f>
        <v>\\imagefiles.bcgov\imagery\scanned_maps\moe_terrain_maps\Scanned_T_maps_all\I19\I19-3332</v>
      </c>
      <c r="S1231" t="s">
        <v>62</v>
      </c>
      <c r="T1231" s="11" t="str">
        <f>HYPERLINK("http://www.env.gov.bc.ca/esd/distdata/ecosystems/TEI_Scanned_Maps/I19/I19-3332","http://www.env.gov.bc.ca/esd/distdata/ecosystems/TEI_Scanned_Maps/I19/I19-3332")</f>
        <v>http://www.env.gov.bc.ca/esd/distdata/ecosystems/TEI_Scanned_Maps/I19/I19-3332</v>
      </c>
      <c r="U1231" t="s">
        <v>58</v>
      </c>
      <c r="V1231" t="s">
        <v>58</v>
      </c>
      <c r="W1231" t="s">
        <v>58</v>
      </c>
      <c r="X1231" t="s">
        <v>58</v>
      </c>
      <c r="Y1231" t="s">
        <v>58</v>
      </c>
      <c r="Z1231" t="s">
        <v>58</v>
      </c>
      <c r="AA1231" t="s">
        <v>58</v>
      </c>
      <c r="AC1231" t="s">
        <v>58</v>
      </c>
      <c r="AE1231" t="s">
        <v>58</v>
      </c>
      <c r="AG1231" t="s">
        <v>63</v>
      </c>
      <c r="AH1231" s="11" t="str">
        <f t="shared" si="22"/>
        <v>mailto: soilterrain@victoria1.gov.bc.ca</v>
      </c>
    </row>
    <row r="1232" spans="1:34">
      <c r="A1232" t="s">
        <v>2895</v>
      </c>
      <c r="B1232" t="s">
        <v>56</v>
      </c>
      <c r="C1232" s="10" t="s">
        <v>677</v>
      </c>
      <c r="D1232" t="s">
        <v>58</v>
      </c>
      <c r="E1232" t="s">
        <v>497</v>
      </c>
      <c r="F1232" t="s">
        <v>2896</v>
      </c>
      <c r="G1232">
        <v>50000</v>
      </c>
      <c r="H1232">
        <v>1979</v>
      </c>
      <c r="I1232" t="s">
        <v>58</v>
      </c>
      <c r="J1232" t="s">
        <v>58</v>
      </c>
      <c r="K1232" t="s">
        <v>58</v>
      </c>
      <c r="L1232" t="s">
        <v>58</v>
      </c>
      <c r="M1232" t="s">
        <v>58</v>
      </c>
      <c r="N1232" t="s">
        <v>61</v>
      </c>
      <c r="Q1232" t="s">
        <v>58</v>
      </c>
      <c r="R1232" s="11" t="str">
        <f>HYPERLINK("\\imagefiles.bcgov\imagery\scanned_maps\moe_terrain_maps\Scanned_T_maps_all\I19\I19-3333","\\imagefiles.bcgov\imagery\scanned_maps\moe_terrain_maps\Scanned_T_maps_all\I19\I19-3333")</f>
        <v>\\imagefiles.bcgov\imagery\scanned_maps\moe_terrain_maps\Scanned_T_maps_all\I19\I19-3333</v>
      </c>
      <c r="S1232" t="s">
        <v>62</v>
      </c>
      <c r="T1232" s="11" t="str">
        <f>HYPERLINK("http://www.env.gov.bc.ca/esd/distdata/ecosystems/TEI_Scanned_Maps/I19/I19-3333","http://www.env.gov.bc.ca/esd/distdata/ecosystems/TEI_Scanned_Maps/I19/I19-3333")</f>
        <v>http://www.env.gov.bc.ca/esd/distdata/ecosystems/TEI_Scanned_Maps/I19/I19-3333</v>
      </c>
      <c r="U1232" t="s">
        <v>58</v>
      </c>
      <c r="V1232" t="s">
        <v>58</v>
      </c>
      <c r="W1232" t="s">
        <v>58</v>
      </c>
      <c r="X1232" t="s">
        <v>58</v>
      </c>
      <c r="Y1232" t="s">
        <v>58</v>
      </c>
      <c r="Z1232" t="s">
        <v>58</v>
      </c>
      <c r="AA1232" t="s">
        <v>58</v>
      </c>
      <c r="AC1232" t="s">
        <v>58</v>
      </c>
      <c r="AE1232" t="s">
        <v>58</v>
      </c>
      <c r="AG1232" t="s">
        <v>63</v>
      </c>
      <c r="AH1232" s="11" t="str">
        <f t="shared" si="22"/>
        <v>mailto: soilterrain@victoria1.gov.bc.ca</v>
      </c>
    </row>
    <row r="1233" spans="1:34">
      <c r="A1233" t="s">
        <v>2897</v>
      </c>
      <c r="B1233" t="s">
        <v>56</v>
      </c>
      <c r="C1233" s="10" t="s">
        <v>1779</v>
      </c>
      <c r="D1233" t="s">
        <v>58</v>
      </c>
      <c r="E1233" t="s">
        <v>497</v>
      </c>
      <c r="F1233" t="s">
        <v>2898</v>
      </c>
      <c r="G1233">
        <v>50000</v>
      </c>
      <c r="H1233">
        <v>1979</v>
      </c>
      <c r="I1233" t="s">
        <v>58</v>
      </c>
      <c r="J1233" t="s">
        <v>58</v>
      </c>
      <c r="K1233" t="s">
        <v>58</v>
      </c>
      <c r="L1233" t="s">
        <v>58</v>
      </c>
      <c r="M1233" t="s">
        <v>58</v>
      </c>
      <c r="N1233" t="s">
        <v>61</v>
      </c>
      <c r="Q1233" t="s">
        <v>58</v>
      </c>
      <c r="R1233" s="11" t="str">
        <f>HYPERLINK("\\imagefiles.bcgov\imagery\scanned_maps\moe_terrain_maps\Scanned_T_maps_all\I19\I19-3334","\\imagefiles.bcgov\imagery\scanned_maps\moe_terrain_maps\Scanned_T_maps_all\I19\I19-3334")</f>
        <v>\\imagefiles.bcgov\imagery\scanned_maps\moe_terrain_maps\Scanned_T_maps_all\I19\I19-3334</v>
      </c>
      <c r="S1233" t="s">
        <v>62</v>
      </c>
      <c r="T1233" s="11" t="str">
        <f>HYPERLINK("http://www.env.gov.bc.ca/esd/distdata/ecosystems/TEI_Scanned_Maps/I19/I19-3334","http://www.env.gov.bc.ca/esd/distdata/ecosystems/TEI_Scanned_Maps/I19/I19-3334")</f>
        <v>http://www.env.gov.bc.ca/esd/distdata/ecosystems/TEI_Scanned_Maps/I19/I19-3334</v>
      </c>
      <c r="U1233" t="s">
        <v>58</v>
      </c>
      <c r="V1233" t="s">
        <v>58</v>
      </c>
      <c r="W1233" t="s">
        <v>58</v>
      </c>
      <c r="X1233" t="s">
        <v>58</v>
      </c>
      <c r="Y1233" t="s">
        <v>58</v>
      </c>
      <c r="Z1233" t="s">
        <v>58</v>
      </c>
      <c r="AA1233" t="s">
        <v>58</v>
      </c>
      <c r="AC1233" t="s">
        <v>58</v>
      </c>
      <c r="AE1233" t="s">
        <v>58</v>
      </c>
      <c r="AG1233" t="s">
        <v>63</v>
      </c>
      <c r="AH1233" s="11" t="str">
        <f t="shared" si="22"/>
        <v>mailto: soilterrain@victoria1.gov.bc.ca</v>
      </c>
    </row>
    <row r="1234" spans="1:34">
      <c r="A1234" t="s">
        <v>2899</v>
      </c>
      <c r="B1234" t="s">
        <v>56</v>
      </c>
      <c r="C1234" s="10" t="s">
        <v>1782</v>
      </c>
      <c r="D1234" t="s">
        <v>58</v>
      </c>
      <c r="E1234" t="s">
        <v>497</v>
      </c>
      <c r="F1234" t="s">
        <v>2900</v>
      </c>
      <c r="G1234">
        <v>50000</v>
      </c>
      <c r="H1234">
        <v>1979</v>
      </c>
      <c r="I1234" t="s">
        <v>58</v>
      </c>
      <c r="J1234" t="s">
        <v>58</v>
      </c>
      <c r="K1234" t="s">
        <v>58</v>
      </c>
      <c r="L1234" t="s">
        <v>58</v>
      </c>
      <c r="M1234" t="s">
        <v>58</v>
      </c>
      <c r="N1234" t="s">
        <v>61</v>
      </c>
      <c r="Q1234" t="s">
        <v>58</v>
      </c>
      <c r="R1234" s="11" t="str">
        <f>HYPERLINK("\\imagefiles.bcgov\imagery\scanned_maps\moe_terrain_maps\Scanned_T_maps_all\I19\I19-3335","\\imagefiles.bcgov\imagery\scanned_maps\moe_terrain_maps\Scanned_T_maps_all\I19\I19-3335")</f>
        <v>\\imagefiles.bcgov\imagery\scanned_maps\moe_terrain_maps\Scanned_T_maps_all\I19\I19-3335</v>
      </c>
      <c r="S1234" t="s">
        <v>62</v>
      </c>
      <c r="T1234" s="11" t="str">
        <f>HYPERLINK("http://www.env.gov.bc.ca/esd/distdata/ecosystems/TEI_Scanned_Maps/I19/I19-3335","http://www.env.gov.bc.ca/esd/distdata/ecosystems/TEI_Scanned_Maps/I19/I19-3335")</f>
        <v>http://www.env.gov.bc.ca/esd/distdata/ecosystems/TEI_Scanned_Maps/I19/I19-3335</v>
      </c>
      <c r="U1234" t="s">
        <v>58</v>
      </c>
      <c r="V1234" t="s">
        <v>58</v>
      </c>
      <c r="W1234" t="s">
        <v>58</v>
      </c>
      <c r="X1234" t="s">
        <v>58</v>
      </c>
      <c r="Y1234" t="s">
        <v>58</v>
      </c>
      <c r="Z1234" t="s">
        <v>58</v>
      </c>
      <c r="AA1234" t="s">
        <v>58</v>
      </c>
      <c r="AC1234" t="s">
        <v>58</v>
      </c>
      <c r="AE1234" t="s">
        <v>58</v>
      </c>
      <c r="AG1234" t="s">
        <v>63</v>
      </c>
      <c r="AH1234" s="11" t="str">
        <f t="shared" si="22"/>
        <v>mailto: soilterrain@victoria1.gov.bc.ca</v>
      </c>
    </row>
    <row r="1235" spans="1:34">
      <c r="A1235" t="s">
        <v>2901</v>
      </c>
      <c r="B1235" t="s">
        <v>56</v>
      </c>
      <c r="C1235" s="10" t="s">
        <v>1785</v>
      </c>
      <c r="D1235" t="s">
        <v>58</v>
      </c>
      <c r="E1235" t="s">
        <v>497</v>
      </c>
      <c r="F1235" t="s">
        <v>2902</v>
      </c>
      <c r="G1235">
        <v>50000</v>
      </c>
      <c r="H1235">
        <v>1979</v>
      </c>
      <c r="I1235" t="s">
        <v>58</v>
      </c>
      <c r="J1235" t="s">
        <v>58</v>
      </c>
      <c r="K1235" t="s">
        <v>58</v>
      </c>
      <c r="L1235" t="s">
        <v>58</v>
      </c>
      <c r="M1235" t="s">
        <v>58</v>
      </c>
      <c r="N1235" t="s">
        <v>61</v>
      </c>
      <c r="Q1235" t="s">
        <v>58</v>
      </c>
      <c r="R1235" s="11" t="str">
        <f>HYPERLINK("\\imagefiles.bcgov\imagery\scanned_maps\moe_terrain_maps\Scanned_T_maps_all\I19\I19-3336","\\imagefiles.bcgov\imagery\scanned_maps\moe_terrain_maps\Scanned_T_maps_all\I19\I19-3336")</f>
        <v>\\imagefiles.bcgov\imagery\scanned_maps\moe_terrain_maps\Scanned_T_maps_all\I19\I19-3336</v>
      </c>
      <c r="S1235" t="s">
        <v>62</v>
      </c>
      <c r="T1235" s="11" t="str">
        <f>HYPERLINK("http://www.env.gov.bc.ca/esd/distdata/ecosystems/TEI_Scanned_Maps/I19/I19-3336","http://www.env.gov.bc.ca/esd/distdata/ecosystems/TEI_Scanned_Maps/I19/I19-3336")</f>
        <v>http://www.env.gov.bc.ca/esd/distdata/ecosystems/TEI_Scanned_Maps/I19/I19-3336</v>
      </c>
      <c r="U1235" t="s">
        <v>58</v>
      </c>
      <c r="V1235" t="s">
        <v>58</v>
      </c>
      <c r="W1235" t="s">
        <v>58</v>
      </c>
      <c r="X1235" t="s">
        <v>58</v>
      </c>
      <c r="Y1235" t="s">
        <v>58</v>
      </c>
      <c r="Z1235" t="s">
        <v>58</v>
      </c>
      <c r="AA1235" t="s">
        <v>58</v>
      </c>
      <c r="AC1235" t="s">
        <v>58</v>
      </c>
      <c r="AE1235" t="s">
        <v>58</v>
      </c>
      <c r="AG1235" t="s">
        <v>63</v>
      </c>
      <c r="AH1235" s="11" t="str">
        <f t="shared" si="22"/>
        <v>mailto: soilterrain@victoria1.gov.bc.ca</v>
      </c>
    </row>
    <row r="1236" spans="1:34">
      <c r="A1236" t="s">
        <v>2903</v>
      </c>
      <c r="B1236" t="s">
        <v>56</v>
      </c>
      <c r="C1236" s="10" t="s">
        <v>1788</v>
      </c>
      <c r="D1236" t="s">
        <v>58</v>
      </c>
      <c r="E1236" t="s">
        <v>497</v>
      </c>
      <c r="F1236" t="s">
        <v>2904</v>
      </c>
      <c r="G1236">
        <v>50000</v>
      </c>
      <c r="H1236">
        <v>1979</v>
      </c>
      <c r="I1236" t="s">
        <v>58</v>
      </c>
      <c r="J1236" t="s">
        <v>58</v>
      </c>
      <c r="K1236" t="s">
        <v>58</v>
      </c>
      <c r="L1236" t="s">
        <v>58</v>
      </c>
      <c r="M1236" t="s">
        <v>58</v>
      </c>
      <c r="N1236" t="s">
        <v>61</v>
      </c>
      <c r="Q1236" t="s">
        <v>58</v>
      </c>
      <c r="R1236" s="11" t="str">
        <f>HYPERLINK("\\imagefiles.bcgov\imagery\scanned_maps\moe_terrain_maps\Scanned_T_maps_all\I19\I19-3337","\\imagefiles.bcgov\imagery\scanned_maps\moe_terrain_maps\Scanned_T_maps_all\I19\I19-3337")</f>
        <v>\\imagefiles.bcgov\imagery\scanned_maps\moe_terrain_maps\Scanned_T_maps_all\I19\I19-3337</v>
      </c>
      <c r="S1236" t="s">
        <v>62</v>
      </c>
      <c r="T1236" s="11" t="str">
        <f>HYPERLINK("http://www.env.gov.bc.ca/esd/distdata/ecosystems/TEI_Scanned_Maps/I19/I19-3337","http://www.env.gov.bc.ca/esd/distdata/ecosystems/TEI_Scanned_Maps/I19/I19-3337")</f>
        <v>http://www.env.gov.bc.ca/esd/distdata/ecosystems/TEI_Scanned_Maps/I19/I19-3337</v>
      </c>
      <c r="U1236" t="s">
        <v>58</v>
      </c>
      <c r="V1236" t="s">
        <v>58</v>
      </c>
      <c r="W1236" t="s">
        <v>58</v>
      </c>
      <c r="X1236" t="s">
        <v>58</v>
      </c>
      <c r="Y1236" t="s">
        <v>58</v>
      </c>
      <c r="Z1236" t="s">
        <v>58</v>
      </c>
      <c r="AA1236" t="s">
        <v>58</v>
      </c>
      <c r="AC1236" t="s">
        <v>58</v>
      </c>
      <c r="AE1236" t="s">
        <v>58</v>
      </c>
      <c r="AG1236" t="s">
        <v>63</v>
      </c>
      <c r="AH1236" s="11" t="str">
        <f t="shared" si="22"/>
        <v>mailto: soilterrain@victoria1.gov.bc.ca</v>
      </c>
    </row>
    <row r="1237" spans="1:34">
      <c r="A1237" t="s">
        <v>2905</v>
      </c>
      <c r="B1237" t="s">
        <v>56</v>
      </c>
      <c r="C1237" s="10" t="s">
        <v>1791</v>
      </c>
      <c r="D1237" t="s">
        <v>58</v>
      </c>
      <c r="E1237" t="s">
        <v>497</v>
      </c>
      <c r="F1237" t="s">
        <v>2906</v>
      </c>
      <c r="G1237">
        <v>50000</v>
      </c>
      <c r="H1237">
        <v>1979</v>
      </c>
      <c r="I1237" t="s">
        <v>58</v>
      </c>
      <c r="J1237" t="s">
        <v>58</v>
      </c>
      <c r="K1237" t="s">
        <v>58</v>
      </c>
      <c r="L1237" t="s">
        <v>58</v>
      </c>
      <c r="M1237" t="s">
        <v>58</v>
      </c>
      <c r="N1237" t="s">
        <v>61</v>
      </c>
      <c r="Q1237" t="s">
        <v>58</v>
      </c>
      <c r="R1237" s="11" t="str">
        <f>HYPERLINK("\\imagefiles.bcgov\imagery\scanned_maps\moe_terrain_maps\Scanned_T_maps_all\I19\I19-3338","\\imagefiles.bcgov\imagery\scanned_maps\moe_terrain_maps\Scanned_T_maps_all\I19\I19-3338")</f>
        <v>\\imagefiles.bcgov\imagery\scanned_maps\moe_terrain_maps\Scanned_T_maps_all\I19\I19-3338</v>
      </c>
      <c r="S1237" t="s">
        <v>62</v>
      </c>
      <c r="T1237" s="11" t="str">
        <f>HYPERLINK("http://www.env.gov.bc.ca/esd/distdata/ecosystems/TEI_Scanned_Maps/I19/I19-3338","http://www.env.gov.bc.ca/esd/distdata/ecosystems/TEI_Scanned_Maps/I19/I19-3338")</f>
        <v>http://www.env.gov.bc.ca/esd/distdata/ecosystems/TEI_Scanned_Maps/I19/I19-3338</v>
      </c>
      <c r="U1237" t="s">
        <v>58</v>
      </c>
      <c r="V1237" t="s">
        <v>58</v>
      </c>
      <c r="W1237" t="s">
        <v>58</v>
      </c>
      <c r="X1237" t="s">
        <v>58</v>
      </c>
      <c r="Y1237" t="s">
        <v>58</v>
      </c>
      <c r="Z1237" t="s">
        <v>58</v>
      </c>
      <c r="AA1237" t="s">
        <v>58</v>
      </c>
      <c r="AC1237" t="s">
        <v>58</v>
      </c>
      <c r="AE1237" t="s">
        <v>58</v>
      </c>
      <c r="AG1237" t="s">
        <v>63</v>
      </c>
      <c r="AH1237" s="11" t="str">
        <f t="shared" si="22"/>
        <v>mailto: soilterrain@victoria1.gov.bc.ca</v>
      </c>
    </row>
    <row r="1238" spans="1:34">
      <c r="A1238" t="s">
        <v>2907</v>
      </c>
      <c r="B1238" t="s">
        <v>56</v>
      </c>
      <c r="C1238" s="10" t="s">
        <v>1794</v>
      </c>
      <c r="D1238" t="s">
        <v>58</v>
      </c>
      <c r="E1238" t="s">
        <v>497</v>
      </c>
      <c r="F1238" t="s">
        <v>2908</v>
      </c>
      <c r="G1238">
        <v>50000</v>
      </c>
      <c r="H1238">
        <v>1979</v>
      </c>
      <c r="I1238" t="s">
        <v>58</v>
      </c>
      <c r="J1238" t="s">
        <v>58</v>
      </c>
      <c r="K1238" t="s">
        <v>58</v>
      </c>
      <c r="L1238" t="s">
        <v>58</v>
      </c>
      <c r="M1238" t="s">
        <v>58</v>
      </c>
      <c r="N1238" t="s">
        <v>61</v>
      </c>
      <c r="Q1238" t="s">
        <v>58</v>
      </c>
      <c r="R1238" s="11" t="str">
        <f>HYPERLINK("\\imagefiles.bcgov\imagery\scanned_maps\moe_terrain_maps\Scanned_T_maps_all\I19\I19-3339","\\imagefiles.bcgov\imagery\scanned_maps\moe_terrain_maps\Scanned_T_maps_all\I19\I19-3339")</f>
        <v>\\imagefiles.bcgov\imagery\scanned_maps\moe_terrain_maps\Scanned_T_maps_all\I19\I19-3339</v>
      </c>
      <c r="S1238" t="s">
        <v>62</v>
      </c>
      <c r="T1238" s="11" t="str">
        <f>HYPERLINK("http://www.env.gov.bc.ca/esd/distdata/ecosystems/TEI_Scanned_Maps/I19/I19-3339","http://www.env.gov.bc.ca/esd/distdata/ecosystems/TEI_Scanned_Maps/I19/I19-3339")</f>
        <v>http://www.env.gov.bc.ca/esd/distdata/ecosystems/TEI_Scanned_Maps/I19/I19-3339</v>
      </c>
      <c r="U1238" t="s">
        <v>58</v>
      </c>
      <c r="V1238" t="s">
        <v>58</v>
      </c>
      <c r="W1238" t="s">
        <v>58</v>
      </c>
      <c r="X1238" t="s">
        <v>58</v>
      </c>
      <c r="Y1238" t="s">
        <v>58</v>
      </c>
      <c r="Z1238" t="s">
        <v>58</v>
      </c>
      <c r="AA1238" t="s">
        <v>58</v>
      </c>
      <c r="AC1238" t="s">
        <v>58</v>
      </c>
      <c r="AE1238" t="s">
        <v>58</v>
      </c>
      <c r="AG1238" t="s">
        <v>63</v>
      </c>
      <c r="AH1238" s="11" t="str">
        <f t="shared" si="22"/>
        <v>mailto: soilterrain@victoria1.gov.bc.ca</v>
      </c>
    </row>
    <row r="1239" spans="1:34">
      <c r="A1239" t="s">
        <v>2909</v>
      </c>
      <c r="B1239" t="s">
        <v>56</v>
      </c>
      <c r="C1239" s="10" t="s">
        <v>1797</v>
      </c>
      <c r="D1239" t="s">
        <v>58</v>
      </c>
      <c r="E1239" t="s">
        <v>497</v>
      </c>
      <c r="F1239" t="s">
        <v>2910</v>
      </c>
      <c r="G1239">
        <v>50000</v>
      </c>
      <c r="H1239">
        <v>1979</v>
      </c>
      <c r="I1239" t="s">
        <v>58</v>
      </c>
      <c r="J1239" t="s">
        <v>58</v>
      </c>
      <c r="K1239" t="s">
        <v>58</v>
      </c>
      <c r="L1239" t="s">
        <v>58</v>
      </c>
      <c r="M1239" t="s">
        <v>58</v>
      </c>
      <c r="N1239" t="s">
        <v>61</v>
      </c>
      <c r="Q1239" t="s">
        <v>58</v>
      </c>
      <c r="R1239" s="11" t="str">
        <f>HYPERLINK("\\imagefiles.bcgov\imagery\scanned_maps\moe_terrain_maps\Scanned_T_maps_all\I19\I19-3340","\\imagefiles.bcgov\imagery\scanned_maps\moe_terrain_maps\Scanned_T_maps_all\I19\I19-3340")</f>
        <v>\\imagefiles.bcgov\imagery\scanned_maps\moe_terrain_maps\Scanned_T_maps_all\I19\I19-3340</v>
      </c>
      <c r="S1239" t="s">
        <v>62</v>
      </c>
      <c r="T1239" s="11" t="str">
        <f>HYPERLINK("http://www.env.gov.bc.ca/esd/distdata/ecosystems/TEI_Scanned_Maps/I19/I19-3340","http://www.env.gov.bc.ca/esd/distdata/ecosystems/TEI_Scanned_Maps/I19/I19-3340")</f>
        <v>http://www.env.gov.bc.ca/esd/distdata/ecosystems/TEI_Scanned_Maps/I19/I19-3340</v>
      </c>
      <c r="U1239" t="s">
        <v>58</v>
      </c>
      <c r="V1239" t="s">
        <v>58</v>
      </c>
      <c r="W1239" t="s">
        <v>58</v>
      </c>
      <c r="X1239" t="s">
        <v>58</v>
      </c>
      <c r="Y1239" t="s">
        <v>58</v>
      </c>
      <c r="Z1239" t="s">
        <v>58</v>
      </c>
      <c r="AA1239" t="s">
        <v>58</v>
      </c>
      <c r="AC1239" t="s">
        <v>58</v>
      </c>
      <c r="AE1239" t="s">
        <v>58</v>
      </c>
      <c r="AG1239" t="s">
        <v>63</v>
      </c>
      <c r="AH1239" s="11" t="str">
        <f t="shared" si="22"/>
        <v>mailto: soilterrain@victoria1.gov.bc.ca</v>
      </c>
    </row>
    <row r="1240" spans="1:34">
      <c r="A1240" t="s">
        <v>2911</v>
      </c>
      <c r="B1240" t="s">
        <v>56</v>
      </c>
      <c r="C1240" s="10" t="s">
        <v>1803</v>
      </c>
      <c r="D1240" t="s">
        <v>58</v>
      </c>
      <c r="E1240" t="s">
        <v>497</v>
      </c>
      <c r="F1240" t="s">
        <v>2912</v>
      </c>
      <c r="G1240">
        <v>50000</v>
      </c>
      <c r="H1240">
        <v>1979</v>
      </c>
      <c r="I1240" t="s">
        <v>58</v>
      </c>
      <c r="J1240" t="s">
        <v>58</v>
      </c>
      <c r="K1240" t="s">
        <v>58</v>
      </c>
      <c r="L1240" t="s">
        <v>58</v>
      </c>
      <c r="M1240" t="s">
        <v>58</v>
      </c>
      <c r="N1240" t="s">
        <v>61</v>
      </c>
      <c r="Q1240" t="s">
        <v>58</v>
      </c>
      <c r="R1240" s="11" t="str">
        <f>HYPERLINK("\\imagefiles.bcgov\imagery\scanned_maps\moe_terrain_maps\Scanned_T_maps_all\I19\I19-3341","\\imagefiles.bcgov\imagery\scanned_maps\moe_terrain_maps\Scanned_T_maps_all\I19\I19-3341")</f>
        <v>\\imagefiles.bcgov\imagery\scanned_maps\moe_terrain_maps\Scanned_T_maps_all\I19\I19-3341</v>
      </c>
      <c r="S1240" t="s">
        <v>62</v>
      </c>
      <c r="T1240" s="11" t="str">
        <f>HYPERLINK("http://www.env.gov.bc.ca/esd/distdata/ecosystems/TEI_Scanned_Maps/I19/I19-3341","http://www.env.gov.bc.ca/esd/distdata/ecosystems/TEI_Scanned_Maps/I19/I19-3341")</f>
        <v>http://www.env.gov.bc.ca/esd/distdata/ecosystems/TEI_Scanned_Maps/I19/I19-3341</v>
      </c>
      <c r="U1240" t="s">
        <v>58</v>
      </c>
      <c r="V1240" t="s">
        <v>58</v>
      </c>
      <c r="W1240" t="s">
        <v>58</v>
      </c>
      <c r="X1240" t="s">
        <v>58</v>
      </c>
      <c r="Y1240" t="s">
        <v>58</v>
      </c>
      <c r="Z1240" t="s">
        <v>58</v>
      </c>
      <c r="AA1240" t="s">
        <v>58</v>
      </c>
      <c r="AC1240" t="s">
        <v>58</v>
      </c>
      <c r="AE1240" t="s">
        <v>58</v>
      </c>
      <c r="AG1240" t="s">
        <v>63</v>
      </c>
      <c r="AH1240" s="11" t="str">
        <f t="shared" si="22"/>
        <v>mailto: soilterrain@victoria1.gov.bc.ca</v>
      </c>
    </row>
    <row r="1241" spans="1:34">
      <c r="A1241" t="s">
        <v>2913</v>
      </c>
      <c r="B1241" t="s">
        <v>56</v>
      </c>
      <c r="C1241" s="10" t="s">
        <v>1806</v>
      </c>
      <c r="D1241" t="s">
        <v>58</v>
      </c>
      <c r="E1241" t="s">
        <v>497</v>
      </c>
      <c r="F1241" t="s">
        <v>2914</v>
      </c>
      <c r="G1241">
        <v>50000</v>
      </c>
      <c r="H1241">
        <v>1979</v>
      </c>
      <c r="I1241" t="s">
        <v>58</v>
      </c>
      <c r="J1241" t="s">
        <v>58</v>
      </c>
      <c r="K1241" t="s">
        <v>58</v>
      </c>
      <c r="L1241" t="s">
        <v>58</v>
      </c>
      <c r="M1241" t="s">
        <v>58</v>
      </c>
      <c r="N1241" t="s">
        <v>61</v>
      </c>
      <c r="Q1241" t="s">
        <v>58</v>
      </c>
      <c r="R1241" s="11" t="str">
        <f>HYPERLINK("\\imagefiles.bcgov\imagery\scanned_maps\moe_terrain_maps\Scanned_T_maps_all\I19\I19-3342","\\imagefiles.bcgov\imagery\scanned_maps\moe_terrain_maps\Scanned_T_maps_all\I19\I19-3342")</f>
        <v>\\imagefiles.bcgov\imagery\scanned_maps\moe_terrain_maps\Scanned_T_maps_all\I19\I19-3342</v>
      </c>
      <c r="S1241" t="s">
        <v>62</v>
      </c>
      <c r="T1241" s="11" t="str">
        <f>HYPERLINK("http://www.env.gov.bc.ca/esd/distdata/ecosystems/TEI_Scanned_Maps/I19/I19-3342","http://www.env.gov.bc.ca/esd/distdata/ecosystems/TEI_Scanned_Maps/I19/I19-3342")</f>
        <v>http://www.env.gov.bc.ca/esd/distdata/ecosystems/TEI_Scanned_Maps/I19/I19-3342</v>
      </c>
      <c r="U1241" t="s">
        <v>58</v>
      </c>
      <c r="V1241" t="s">
        <v>58</v>
      </c>
      <c r="W1241" t="s">
        <v>58</v>
      </c>
      <c r="X1241" t="s">
        <v>58</v>
      </c>
      <c r="Y1241" t="s">
        <v>58</v>
      </c>
      <c r="Z1241" t="s">
        <v>58</v>
      </c>
      <c r="AA1241" t="s">
        <v>58</v>
      </c>
      <c r="AC1241" t="s">
        <v>58</v>
      </c>
      <c r="AE1241" t="s">
        <v>58</v>
      </c>
      <c r="AG1241" t="s">
        <v>63</v>
      </c>
      <c r="AH1241" s="11" t="str">
        <f t="shared" si="22"/>
        <v>mailto: soilterrain@victoria1.gov.bc.ca</v>
      </c>
    </row>
    <row r="1242" spans="1:34">
      <c r="A1242" t="s">
        <v>2915</v>
      </c>
      <c r="B1242" t="s">
        <v>56</v>
      </c>
      <c r="C1242" s="10" t="s">
        <v>1809</v>
      </c>
      <c r="D1242" t="s">
        <v>58</v>
      </c>
      <c r="E1242" t="s">
        <v>497</v>
      </c>
      <c r="F1242" t="s">
        <v>2916</v>
      </c>
      <c r="G1242">
        <v>50000</v>
      </c>
      <c r="H1242">
        <v>1979</v>
      </c>
      <c r="I1242" t="s">
        <v>58</v>
      </c>
      <c r="J1242" t="s">
        <v>58</v>
      </c>
      <c r="K1242" t="s">
        <v>58</v>
      </c>
      <c r="L1242" t="s">
        <v>58</v>
      </c>
      <c r="M1242" t="s">
        <v>58</v>
      </c>
      <c r="N1242" t="s">
        <v>61</v>
      </c>
      <c r="Q1242" t="s">
        <v>58</v>
      </c>
      <c r="R1242" s="11" t="str">
        <f>HYPERLINK("\\imagefiles.bcgov\imagery\scanned_maps\moe_terrain_maps\Scanned_T_maps_all\I19\I19-3343","\\imagefiles.bcgov\imagery\scanned_maps\moe_terrain_maps\Scanned_T_maps_all\I19\I19-3343")</f>
        <v>\\imagefiles.bcgov\imagery\scanned_maps\moe_terrain_maps\Scanned_T_maps_all\I19\I19-3343</v>
      </c>
      <c r="S1242" t="s">
        <v>62</v>
      </c>
      <c r="T1242" s="11" t="str">
        <f>HYPERLINK("http://www.env.gov.bc.ca/esd/distdata/ecosystems/TEI_Scanned_Maps/I19/I19-3343","http://www.env.gov.bc.ca/esd/distdata/ecosystems/TEI_Scanned_Maps/I19/I19-3343")</f>
        <v>http://www.env.gov.bc.ca/esd/distdata/ecosystems/TEI_Scanned_Maps/I19/I19-3343</v>
      </c>
      <c r="U1242" t="s">
        <v>58</v>
      </c>
      <c r="V1242" t="s">
        <v>58</v>
      </c>
      <c r="W1242" t="s">
        <v>58</v>
      </c>
      <c r="X1242" t="s">
        <v>58</v>
      </c>
      <c r="Y1242" t="s">
        <v>58</v>
      </c>
      <c r="Z1242" t="s">
        <v>58</v>
      </c>
      <c r="AA1242" t="s">
        <v>58</v>
      </c>
      <c r="AC1242" t="s">
        <v>58</v>
      </c>
      <c r="AE1242" t="s">
        <v>58</v>
      </c>
      <c r="AG1242" t="s">
        <v>63</v>
      </c>
      <c r="AH1242" s="11" t="str">
        <f t="shared" si="22"/>
        <v>mailto: soilterrain@victoria1.gov.bc.ca</v>
      </c>
    </row>
    <row r="1243" spans="1:34">
      <c r="A1243" t="s">
        <v>2917</v>
      </c>
      <c r="B1243" t="s">
        <v>56</v>
      </c>
      <c r="C1243" s="10" t="s">
        <v>522</v>
      </c>
      <c r="D1243" t="s">
        <v>58</v>
      </c>
      <c r="E1243" t="s">
        <v>497</v>
      </c>
      <c r="F1243" t="s">
        <v>2918</v>
      </c>
      <c r="G1243">
        <v>50000</v>
      </c>
      <c r="H1243">
        <v>1979</v>
      </c>
      <c r="I1243" t="s">
        <v>58</v>
      </c>
      <c r="J1243" t="s">
        <v>58</v>
      </c>
      <c r="K1243" t="s">
        <v>58</v>
      </c>
      <c r="L1243" t="s">
        <v>58</v>
      </c>
      <c r="M1243" t="s">
        <v>58</v>
      </c>
      <c r="N1243" t="s">
        <v>61</v>
      </c>
      <c r="Q1243" t="s">
        <v>58</v>
      </c>
      <c r="R1243" s="11" t="str">
        <f>HYPERLINK("\\imagefiles.bcgov\imagery\scanned_maps\moe_terrain_maps\Scanned_T_maps_all\I19\I19-3344","\\imagefiles.bcgov\imagery\scanned_maps\moe_terrain_maps\Scanned_T_maps_all\I19\I19-3344")</f>
        <v>\\imagefiles.bcgov\imagery\scanned_maps\moe_terrain_maps\Scanned_T_maps_all\I19\I19-3344</v>
      </c>
      <c r="S1243" t="s">
        <v>62</v>
      </c>
      <c r="T1243" s="11" t="str">
        <f>HYPERLINK("http://www.env.gov.bc.ca/esd/distdata/ecosystems/TEI_Scanned_Maps/I19/I19-3344","http://www.env.gov.bc.ca/esd/distdata/ecosystems/TEI_Scanned_Maps/I19/I19-3344")</f>
        <v>http://www.env.gov.bc.ca/esd/distdata/ecosystems/TEI_Scanned_Maps/I19/I19-3344</v>
      </c>
      <c r="U1243" t="s">
        <v>58</v>
      </c>
      <c r="V1243" t="s">
        <v>58</v>
      </c>
      <c r="W1243" t="s">
        <v>58</v>
      </c>
      <c r="X1243" t="s">
        <v>58</v>
      </c>
      <c r="Y1243" t="s">
        <v>58</v>
      </c>
      <c r="Z1243" t="s">
        <v>58</v>
      </c>
      <c r="AA1243" t="s">
        <v>58</v>
      </c>
      <c r="AC1243" t="s">
        <v>58</v>
      </c>
      <c r="AE1243" t="s">
        <v>58</v>
      </c>
      <c r="AG1243" t="s">
        <v>63</v>
      </c>
      <c r="AH1243" s="11" t="str">
        <f t="shared" si="22"/>
        <v>mailto: soilterrain@victoria1.gov.bc.ca</v>
      </c>
    </row>
    <row r="1244" spans="1:34">
      <c r="A1244" t="s">
        <v>2919</v>
      </c>
      <c r="B1244" t="s">
        <v>56</v>
      </c>
      <c r="C1244" s="10" t="s">
        <v>525</v>
      </c>
      <c r="D1244" t="s">
        <v>58</v>
      </c>
      <c r="E1244" t="s">
        <v>497</v>
      </c>
      <c r="F1244" t="s">
        <v>2920</v>
      </c>
      <c r="G1244">
        <v>50000</v>
      </c>
      <c r="H1244">
        <v>1979</v>
      </c>
      <c r="I1244" t="s">
        <v>58</v>
      </c>
      <c r="J1244" t="s">
        <v>58</v>
      </c>
      <c r="K1244" t="s">
        <v>58</v>
      </c>
      <c r="L1244" t="s">
        <v>58</v>
      </c>
      <c r="M1244" t="s">
        <v>58</v>
      </c>
      <c r="N1244" t="s">
        <v>61</v>
      </c>
      <c r="Q1244" t="s">
        <v>58</v>
      </c>
      <c r="R1244" s="11" t="str">
        <f>HYPERLINK("\\imagefiles.bcgov\imagery\scanned_maps\moe_terrain_maps\Scanned_T_maps_all\I19\I19-3345","\\imagefiles.bcgov\imagery\scanned_maps\moe_terrain_maps\Scanned_T_maps_all\I19\I19-3345")</f>
        <v>\\imagefiles.bcgov\imagery\scanned_maps\moe_terrain_maps\Scanned_T_maps_all\I19\I19-3345</v>
      </c>
      <c r="S1244" t="s">
        <v>62</v>
      </c>
      <c r="T1244" s="11" t="str">
        <f>HYPERLINK("http://www.env.gov.bc.ca/esd/distdata/ecosystems/TEI_Scanned_Maps/I19/I19-3345","http://www.env.gov.bc.ca/esd/distdata/ecosystems/TEI_Scanned_Maps/I19/I19-3345")</f>
        <v>http://www.env.gov.bc.ca/esd/distdata/ecosystems/TEI_Scanned_Maps/I19/I19-3345</v>
      </c>
      <c r="U1244" t="s">
        <v>58</v>
      </c>
      <c r="V1244" t="s">
        <v>58</v>
      </c>
      <c r="W1244" t="s">
        <v>58</v>
      </c>
      <c r="X1244" t="s">
        <v>58</v>
      </c>
      <c r="Y1244" t="s">
        <v>58</v>
      </c>
      <c r="Z1244" t="s">
        <v>58</v>
      </c>
      <c r="AA1244" t="s">
        <v>58</v>
      </c>
      <c r="AC1244" t="s">
        <v>58</v>
      </c>
      <c r="AE1244" t="s">
        <v>58</v>
      </c>
      <c r="AG1244" t="s">
        <v>63</v>
      </c>
      <c r="AH1244" s="11" t="str">
        <f t="shared" si="22"/>
        <v>mailto: soilterrain@victoria1.gov.bc.ca</v>
      </c>
    </row>
    <row r="1245" spans="1:34">
      <c r="A1245" t="s">
        <v>2921</v>
      </c>
      <c r="B1245" t="s">
        <v>56</v>
      </c>
      <c r="C1245" s="10" t="s">
        <v>1812</v>
      </c>
      <c r="D1245" t="s">
        <v>58</v>
      </c>
      <c r="E1245" t="s">
        <v>497</v>
      </c>
      <c r="F1245" t="s">
        <v>2922</v>
      </c>
      <c r="G1245">
        <v>50000</v>
      </c>
      <c r="H1245">
        <v>1979</v>
      </c>
      <c r="I1245" t="s">
        <v>58</v>
      </c>
      <c r="J1245" t="s">
        <v>58</v>
      </c>
      <c r="K1245" t="s">
        <v>58</v>
      </c>
      <c r="L1245" t="s">
        <v>58</v>
      </c>
      <c r="M1245" t="s">
        <v>58</v>
      </c>
      <c r="N1245" t="s">
        <v>61</v>
      </c>
      <c r="Q1245" t="s">
        <v>58</v>
      </c>
      <c r="R1245" s="11" t="str">
        <f>HYPERLINK("\\imagefiles.bcgov\imagery\scanned_maps\moe_terrain_maps\Scanned_T_maps_all\I19\I19-3346","\\imagefiles.bcgov\imagery\scanned_maps\moe_terrain_maps\Scanned_T_maps_all\I19\I19-3346")</f>
        <v>\\imagefiles.bcgov\imagery\scanned_maps\moe_terrain_maps\Scanned_T_maps_all\I19\I19-3346</v>
      </c>
      <c r="S1245" t="s">
        <v>62</v>
      </c>
      <c r="T1245" s="11" t="str">
        <f>HYPERLINK("http://www.env.gov.bc.ca/esd/distdata/ecosystems/TEI_Scanned_Maps/I19/I19-3346","http://www.env.gov.bc.ca/esd/distdata/ecosystems/TEI_Scanned_Maps/I19/I19-3346")</f>
        <v>http://www.env.gov.bc.ca/esd/distdata/ecosystems/TEI_Scanned_Maps/I19/I19-3346</v>
      </c>
      <c r="U1245" t="s">
        <v>58</v>
      </c>
      <c r="V1245" t="s">
        <v>58</v>
      </c>
      <c r="W1245" t="s">
        <v>58</v>
      </c>
      <c r="X1245" t="s">
        <v>58</v>
      </c>
      <c r="Y1245" t="s">
        <v>58</v>
      </c>
      <c r="Z1245" t="s">
        <v>58</v>
      </c>
      <c r="AA1245" t="s">
        <v>58</v>
      </c>
      <c r="AC1245" t="s">
        <v>58</v>
      </c>
      <c r="AE1245" t="s">
        <v>58</v>
      </c>
      <c r="AG1245" t="s">
        <v>63</v>
      </c>
      <c r="AH1245" s="11" t="str">
        <f t="shared" si="22"/>
        <v>mailto: soilterrain@victoria1.gov.bc.ca</v>
      </c>
    </row>
    <row r="1246" spans="1:34">
      <c r="A1246" t="s">
        <v>2923</v>
      </c>
      <c r="B1246" t="s">
        <v>56</v>
      </c>
      <c r="C1246" s="10" t="s">
        <v>1815</v>
      </c>
      <c r="D1246" t="s">
        <v>58</v>
      </c>
      <c r="E1246" t="s">
        <v>497</v>
      </c>
      <c r="F1246" t="s">
        <v>2924</v>
      </c>
      <c r="G1246">
        <v>50000</v>
      </c>
      <c r="H1246">
        <v>1979</v>
      </c>
      <c r="I1246" t="s">
        <v>58</v>
      </c>
      <c r="J1246" t="s">
        <v>58</v>
      </c>
      <c r="K1246" t="s">
        <v>58</v>
      </c>
      <c r="L1246" t="s">
        <v>58</v>
      </c>
      <c r="M1246" t="s">
        <v>58</v>
      </c>
      <c r="N1246" t="s">
        <v>61</v>
      </c>
      <c r="Q1246" t="s">
        <v>58</v>
      </c>
      <c r="R1246" s="11" t="str">
        <f>HYPERLINK("\\imagefiles.bcgov\imagery\scanned_maps\moe_terrain_maps\Scanned_T_maps_all\I19\I19-3347","\\imagefiles.bcgov\imagery\scanned_maps\moe_terrain_maps\Scanned_T_maps_all\I19\I19-3347")</f>
        <v>\\imagefiles.bcgov\imagery\scanned_maps\moe_terrain_maps\Scanned_T_maps_all\I19\I19-3347</v>
      </c>
      <c r="S1246" t="s">
        <v>62</v>
      </c>
      <c r="T1246" s="11" t="str">
        <f>HYPERLINK("http://www.env.gov.bc.ca/esd/distdata/ecosystems/TEI_Scanned_Maps/I19/I19-3347","http://www.env.gov.bc.ca/esd/distdata/ecosystems/TEI_Scanned_Maps/I19/I19-3347")</f>
        <v>http://www.env.gov.bc.ca/esd/distdata/ecosystems/TEI_Scanned_Maps/I19/I19-3347</v>
      </c>
      <c r="U1246" t="s">
        <v>58</v>
      </c>
      <c r="V1246" t="s">
        <v>58</v>
      </c>
      <c r="W1246" t="s">
        <v>58</v>
      </c>
      <c r="X1246" t="s">
        <v>58</v>
      </c>
      <c r="Y1246" t="s">
        <v>58</v>
      </c>
      <c r="Z1246" t="s">
        <v>58</v>
      </c>
      <c r="AA1246" t="s">
        <v>58</v>
      </c>
      <c r="AC1246" t="s">
        <v>58</v>
      </c>
      <c r="AE1246" t="s">
        <v>58</v>
      </c>
      <c r="AG1246" t="s">
        <v>63</v>
      </c>
      <c r="AH1246" s="11" t="str">
        <f t="shared" si="22"/>
        <v>mailto: soilterrain@victoria1.gov.bc.ca</v>
      </c>
    </row>
    <row r="1247" spans="1:34">
      <c r="A1247" t="s">
        <v>2925</v>
      </c>
      <c r="B1247" t="s">
        <v>56</v>
      </c>
      <c r="C1247" s="10" t="s">
        <v>1833</v>
      </c>
      <c r="D1247" t="s">
        <v>58</v>
      </c>
      <c r="E1247" t="s">
        <v>497</v>
      </c>
      <c r="F1247" t="s">
        <v>2926</v>
      </c>
      <c r="G1247">
        <v>50000</v>
      </c>
      <c r="H1247">
        <v>1979</v>
      </c>
      <c r="I1247" t="s">
        <v>58</v>
      </c>
      <c r="J1247" t="s">
        <v>58</v>
      </c>
      <c r="K1247" t="s">
        <v>58</v>
      </c>
      <c r="L1247" t="s">
        <v>58</v>
      </c>
      <c r="M1247" t="s">
        <v>58</v>
      </c>
      <c r="N1247" t="s">
        <v>61</v>
      </c>
      <c r="Q1247" t="s">
        <v>58</v>
      </c>
      <c r="R1247" s="11" t="str">
        <f>HYPERLINK("\\imagefiles.bcgov\imagery\scanned_maps\moe_terrain_maps\Scanned_T_maps_all\I19\I19-3348","\\imagefiles.bcgov\imagery\scanned_maps\moe_terrain_maps\Scanned_T_maps_all\I19\I19-3348")</f>
        <v>\\imagefiles.bcgov\imagery\scanned_maps\moe_terrain_maps\Scanned_T_maps_all\I19\I19-3348</v>
      </c>
      <c r="S1247" t="s">
        <v>62</v>
      </c>
      <c r="T1247" s="11" t="str">
        <f>HYPERLINK("http://www.env.gov.bc.ca/esd/distdata/ecosystems/TEI_Scanned_Maps/I19/I19-3348","http://www.env.gov.bc.ca/esd/distdata/ecosystems/TEI_Scanned_Maps/I19/I19-3348")</f>
        <v>http://www.env.gov.bc.ca/esd/distdata/ecosystems/TEI_Scanned_Maps/I19/I19-3348</v>
      </c>
      <c r="U1247" t="s">
        <v>58</v>
      </c>
      <c r="V1247" t="s">
        <v>58</v>
      </c>
      <c r="W1247" t="s">
        <v>58</v>
      </c>
      <c r="X1247" t="s">
        <v>58</v>
      </c>
      <c r="Y1247" t="s">
        <v>58</v>
      </c>
      <c r="Z1247" t="s">
        <v>58</v>
      </c>
      <c r="AA1247" t="s">
        <v>58</v>
      </c>
      <c r="AC1247" t="s">
        <v>58</v>
      </c>
      <c r="AE1247" t="s">
        <v>58</v>
      </c>
      <c r="AG1247" t="s">
        <v>63</v>
      </c>
      <c r="AH1247" s="11" t="str">
        <f t="shared" si="22"/>
        <v>mailto: soilterrain@victoria1.gov.bc.ca</v>
      </c>
    </row>
    <row r="1248" spans="1:34">
      <c r="A1248" t="s">
        <v>2927</v>
      </c>
      <c r="B1248" t="s">
        <v>56</v>
      </c>
      <c r="C1248" s="10" t="s">
        <v>1836</v>
      </c>
      <c r="D1248" t="s">
        <v>58</v>
      </c>
      <c r="E1248" t="s">
        <v>497</v>
      </c>
      <c r="F1248" t="s">
        <v>2928</v>
      </c>
      <c r="G1248">
        <v>50000</v>
      </c>
      <c r="H1248">
        <v>1979</v>
      </c>
      <c r="I1248" t="s">
        <v>58</v>
      </c>
      <c r="J1248" t="s">
        <v>58</v>
      </c>
      <c r="K1248" t="s">
        <v>58</v>
      </c>
      <c r="L1248" t="s">
        <v>58</v>
      </c>
      <c r="M1248" t="s">
        <v>58</v>
      </c>
      <c r="N1248" t="s">
        <v>61</v>
      </c>
      <c r="Q1248" t="s">
        <v>58</v>
      </c>
      <c r="R1248" s="11" t="str">
        <f>HYPERLINK("\\imagefiles.bcgov\imagery\scanned_maps\moe_terrain_maps\Scanned_T_maps_all\I19\I19-3349","\\imagefiles.bcgov\imagery\scanned_maps\moe_terrain_maps\Scanned_T_maps_all\I19\I19-3349")</f>
        <v>\\imagefiles.bcgov\imagery\scanned_maps\moe_terrain_maps\Scanned_T_maps_all\I19\I19-3349</v>
      </c>
      <c r="S1248" t="s">
        <v>62</v>
      </c>
      <c r="T1248" s="11" t="str">
        <f>HYPERLINK("http://www.env.gov.bc.ca/esd/distdata/ecosystems/TEI_Scanned_Maps/I19/I19-3349","http://www.env.gov.bc.ca/esd/distdata/ecosystems/TEI_Scanned_Maps/I19/I19-3349")</f>
        <v>http://www.env.gov.bc.ca/esd/distdata/ecosystems/TEI_Scanned_Maps/I19/I19-3349</v>
      </c>
      <c r="U1248" t="s">
        <v>58</v>
      </c>
      <c r="V1248" t="s">
        <v>58</v>
      </c>
      <c r="W1248" t="s">
        <v>58</v>
      </c>
      <c r="X1248" t="s">
        <v>58</v>
      </c>
      <c r="Y1248" t="s">
        <v>58</v>
      </c>
      <c r="Z1248" t="s">
        <v>58</v>
      </c>
      <c r="AA1248" t="s">
        <v>58</v>
      </c>
      <c r="AC1248" t="s">
        <v>58</v>
      </c>
      <c r="AE1248" t="s">
        <v>58</v>
      </c>
      <c r="AG1248" t="s">
        <v>63</v>
      </c>
      <c r="AH1248" s="11" t="str">
        <f t="shared" si="22"/>
        <v>mailto: soilterrain@victoria1.gov.bc.ca</v>
      </c>
    </row>
    <row r="1249" spans="1:34">
      <c r="A1249" t="s">
        <v>2929</v>
      </c>
      <c r="B1249" t="s">
        <v>56</v>
      </c>
      <c r="C1249" s="10" t="s">
        <v>2930</v>
      </c>
      <c r="D1249" t="s">
        <v>58</v>
      </c>
      <c r="E1249" t="s">
        <v>2931</v>
      </c>
      <c r="F1249" t="s">
        <v>2932</v>
      </c>
      <c r="G1249">
        <v>25000</v>
      </c>
      <c r="H1249">
        <v>1988</v>
      </c>
      <c r="I1249" t="s">
        <v>58</v>
      </c>
      <c r="J1249" t="s">
        <v>58</v>
      </c>
      <c r="K1249" t="s">
        <v>61</v>
      </c>
      <c r="L1249" t="s">
        <v>61</v>
      </c>
      <c r="M1249" t="s">
        <v>58</v>
      </c>
      <c r="Q1249" t="s">
        <v>58</v>
      </c>
      <c r="R1249" s="11" t="str">
        <f>HYPERLINK("\\imagefiles.bcgov\imagery\scanned_maps\moe_terrain_maps\Scanned_T_maps_all\K01\K01-1113","\\imagefiles.bcgov\imagery\scanned_maps\moe_terrain_maps\Scanned_T_maps_all\K01\K01-1113")</f>
        <v>\\imagefiles.bcgov\imagery\scanned_maps\moe_terrain_maps\Scanned_T_maps_all\K01\K01-1113</v>
      </c>
      <c r="S1249" t="s">
        <v>62</v>
      </c>
      <c r="T1249" s="11" t="str">
        <f>HYPERLINK("http://www.env.gov.bc.ca/esd/distdata/ecosystems/TEI_Scanned_Maps/K01/K01-1113","http://www.env.gov.bc.ca/esd/distdata/ecosystems/TEI_Scanned_Maps/K01/K01-1113")</f>
        <v>http://www.env.gov.bc.ca/esd/distdata/ecosystems/TEI_Scanned_Maps/K01/K01-1113</v>
      </c>
      <c r="U1249" t="s">
        <v>58</v>
      </c>
      <c r="V1249" t="s">
        <v>58</v>
      </c>
      <c r="W1249" t="s">
        <v>58</v>
      </c>
      <c r="X1249" t="s">
        <v>58</v>
      </c>
      <c r="Y1249" t="s">
        <v>58</v>
      </c>
      <c r="Z1249" t="s">
        <v>58</v>
      </c>
      <c r="AA1249" t="s">
        <v>58</v>
      </c>
      <c r="AC1249" t="s">
        <v>58</v>
      </c>
      <c r="AE1249" t="s">
        <v>58</v>
      </c>
      <c r="AG1249" t="s">
        <v>63</v>
      </c>
      <c r="AH1249" s="11" t="str">
        <f t="shared" si="22"/>
        <v>mailto: soilterrain@victoria1.gov.bc.ca</v>
      </c>
    </row>
    <row r="1250" spans="1:34">
      <c r="A1250" t="s">
        <v>2933</v>
      </c>
      <c r="B1250" t="s">
        <v>56</v>
      </c>
      <c r="C1250" s="10" t="s">
        <v>1017</v>
      </c>
      <c r="D1250" t="s">
        <v>58</v>
      </c>
      <c r="E1250" t="s">
        <v>2934</v>
      </c>
      <c r="F1250" t="s">
        <v>2935</v>
      </c>
      <c r="G1250">
        <v>20000</v>
      </c>
      <c r="H1250">
        <v>1987</v>
      </c>
      <c r="I1250" t="s">
        <v>2936</v>
      </c>
      <c r="J1250" t="s">
        <v>58</v>
      </c>
      <c r="K1250" t="s">
        <v>58</v>
      </c>
      <c r="L1250" t="s">
        <v>61</v>
      </c>
      <c r="M1250" t="s">
        <v>58</v>
      </c>
      <c r="Q1250" t="s">
        <v>58</v>
      </c>
      <c r="R1250" s="11" t="str">
        <f>HYPERLINK("\\imagefiles.bcgov\imagery\scanned_maps\moe_terrain_maps\Scanned_T_maps_all\K01\K01-141","\\imagefiles.bcgov\imagery\scanned_maps\moe_terrain_maps\Scanned_T_maps_all\K01\K01-141")</f>
        <v>\\imagefiles.bcgov\imagery\scanned_maps\moe_terrain_maps\Scanned_T_maps_all\K01\K01-141</v>
      </c>
      <c r="S1250" t="s">
        <v>62</v>
      </c>
      <c r="T1250" s="11" t="str">
        <f>HYPERLINK("http://www.env.gov.bc.ca/esd/distdata/ecosystems/TEI_Scanned_Maps/K01/K01-141","http://www.env.gov.bc.ca/esd/distdata/ecosystems/TEI_Scanned_Maps/K01/K01-141")</f>
        <v>http://www.env.gov.bc.ca/esd/distdata/ecosystems/TEI_Scanned_Maps/K01/K01-141</v>
      </c>
      <c r="U1250" t="s">
        <v>269</v>
      </c>
      <c r="V1250" s="11" t="str">
        <f t="shared" ref="V1250:V1257" si="23">HYPERLINK("http://www.library.for.gov.bc.ca/#focus","http://www.library.for.gov.bc.ca/#focus")</f>
        <v>http://www.library.for.gov.bc.ca/#focus</v>
      </c>
      <c r="W1250" t="s">
        <v>58</v>
      </c>
      <c r="X1250" t="s">
        <v>58</v>
      </c>
      <c r="Y1250" t="s">
        <v>58</v>
      </c>
      <c r="Z1250" t="s">
        <v>58</v>
      </c>
      <c r="AA1250" t="s">
        <v>58</v>
      </c>
      <c r="AC1250" t="s">
        <v>58</v>
      </c>
      <c r="AE1250" t="s">
        <v>58</v>
      </c>
      <c r="AG1250" t="s">
        <v>63</v>
      </c>
      <c r="AH1250" s="11" t="str">
        <f t="shared" si="22"/>
        <v>mailto: soilterrain@victoria1.gov.bc.ca</v>
      </c>
    </row>
    <row r="1251" spans="1:34">
      <c r="A1251" t="s">
        <v>2937</v>
      </c>
      <c r="B1251" t="s">
        <v>56</v>
      </c>
      <c r="C1251" s="10" t="s">
        <v>1263</v>
      </c>
      <c r="D1251" t="s">
        <v>61</v>
      </c>
      <c r="E1251" t="s">
        <v>2934</v>
      </c>
      <c r="F1251" t="s">
        <v>2938</v>
      </c>
      <c r="G1251">
        <v>20000</v>
      </c>
      <c r="H1251">
        <v>1988</v>
      </c>
      <c r="I1251" t="s">
        <v>2936</v>
      </c>
      <c r="J1251" t="s">
        <v>58</v>
      </c>
      <c r="K1251" t="s">
        <v>58</v>
      </c>
      <c r="L1251" t="s">
        <v>61</v>
      </c>
      <c r="M1251" t="s">
        <v>58</v>
      </c>
      <c r="Q1251" t="s">
        <v>58</v>
      </c>
      <c r="R1251" s="11" t="str">
        <f>HYPERLINK("\\imagefiles.bcgov\imagery\scanned_maps\moe_terrain_maps\Scanned_T_maps_all\K01\K01-142","\\imagefiles.bcgov\imagery\scanned_maps\moe_terrain_maps\Scanned_T_maps_all\K01\K01-142")</f>
        <v>\\imagefiles.bcgov\imagery\scanned_maps\moe_terrain_maps\Scanned_T_maps_all\K01\K01-142</v>
      </c>
      <c r="S1251" t="s">
        <v>62</v>
      </c>
      <c r="T1251" s="11" t="str">
        <f>HYPERLINK("http://www.env.gov.bc.ca/esd/distdata/ecosystems/TEI_Scanned_Maps/K01/K01-142","http://www.env.gov.bc.ca/esd/distdata/ecosystems/TEI_Scanned_Maps/K01/K01-142")</f>
        <v>http://www.env.gov.bc.ca/esd/distdata/ecosystems/TEI_Scanned_Maps/K01/K01-142</v>
      </c>
      <c r="U1251" t="s">
        <v>269</v>
      </c>
      <c r="V1251" s="11" t="str">
        <f t="shared" si="23"/>
        <v>http://www.library.for.gov.bc.ca/#focus</v>
      </c>
      <c r="W1251" t="s">
        <v>58</v>
      </c>
      <c r="X1251" t="s">
        <v>58</v>
      </c>
      <c r="Y1251" t="s">
        <v>58</v>
      </c>
      <c r="Z1251" t="s">
        <v>58</v>
      </c>
      <c r="AA1251" t="s">
        <v>58</v>
      </c>
      <c r="AC1251" t="s">
        <v>58</v>
      </c>
      <c r="AE1251" t="s">
        <v>58</v>
      </c>
      <c r="AG1251" t="s">
        <v>63</v>
      </c>
      <c r="AH1251" s="11" t="str">
        <f t="shared" si="22"/>
        <v>mailto: soilterrain@victoria1.gov.bc.ca</v>
      </c>
    </row>
    <row r="1252" spans="1:34">
      <c r="A1252" t="s">
        <v>2939</v>
      </c>
      <c r="B1252" t="s">
        <v>56</v>
      </c>
      <c r="C1252" s="10" t="s">
        <v>1277</v>
      </c>
      <c r="D1252" t="s">
        <v>61</v>
      </c>
      <c r="E1252" t="s">
        <v>2934</v>
      </c>
      <c r="F1252" t="s">
        <v>2940</v>
      </c>
      <c r="G1252">
        <v>20000</v>
      </c>
      <c r="H1252">
        <v>1988</v>
      </c>
      <c r="I1252" t="s">
        <v>2936</v>
      </c>
      <c r="J1252" t="s">
        <v>58</v>
      </c>
      <c r="K1252" t="s">
        <v>58</v>
      </c>
      <c r="L1252" t="s">
        <v>61</v>
      </c>
      <c r="M1252" t="s">
        <v>58</v>
      </c>
      <c r="Q1252" t="s">
        <v>58</v>
      </c>
      <c r="R1252" s="11" t="str">
        <f>HYPERLINK("\\imagefiles.bcgov\imagery\scanned_maps\moe_terrain_maps\Scanned_T_maps_all\K01\K01-143","\\imagefiles.bcgov\imagery\scanned_maps\moe_terrain_maps\Scanned_T_maps_all\K01\K01-143")</f>
        <v>\\imagefiles.bcgov\imagery\scanned_maps\moe_terrain_maps\Scanned_T_maps_all\K01\K01-143</v>
      </c>
      <c r="S1252" t="s">
        <v>62</v>
      </c>
      <c r="T1252" s="11" t="str">
        <f>HYPERLINK("http://www.env.gov.bc.ca/esd/distdata/ecosystems/TEI_Scanned_Maps/K01/K01-143","http://www.env.gov.bc.ca/esd/distdata/ecosystems/TEI_Scanned_Maps/K01/K01-143")</f>
        <v>http://www.env.gov.bc.ca/esd/distdata/ecosystems/TEI_Scanned_Maps/K01/K01-143</v>
      </c>
      <c r="U1252" t="s">
        <v>269</v>
      </c>
      <c r="V1252" s="11" t="str">
        <f t="shared" si="23"/>
        <v>http://www.library.for.gov.bc.ca/#focus</v>
      </c>
      <c r="W1252" t="s">
        <v>58</v>
      </c>
      <c r="X1252" t="s">
        <v>58</v>
      </c>
      <c r="Y1252" t="s">
        <v>58</v>
      </c>
      <c r="Z1252" t="s">
        <v>58</v>
      </c>
      <c r="AA1252" t="s">
        <v>58</v>
      </c>
      <c r="AC1252" t="s">
        <v>58</v>
      </c>
      <c r="AE1252" t="s">
        <v>58</v>
      </c>
      <c r="AG1252" t="s">
        <v>63</v>
      </c>
      <c r="AH1252" s="11" t="str">
        <f t="shared" si="22"/>
        <v>mailto: soilterrain@victoria1.gov.bc.ca</v>
      </c>
    </row>
    <row r="1253" spans="1:34">
      <c r="A1253" t="s">
        <v>2941</v>
      </c>
      <c r="B1253" t="s">
        <v>56</v>
      </c>
      <c r="C1253" s="10" t="s">
        <v>1281</v>
      </c>
      <c r="D1253" t="s">
        <v>61</v>
      </c>
      <c r="E1253" t="s">
        <v>2934</v>
      </c>
      <c r="F1253" t="s">
        <v>2942</v>
      </c>
      <c r="G1253">
        <v>20000</v>
      </c>
      <c r="H1253">
        <v>1981</v>
      </c>
      <c r="I1253" t="s">
        <v>2936</v>
      </c>
      <c r="J1253" t="s">
        <v>58</v>
      </c>
      <c r="K1253" t="s">
        <v>58</v>
      </c>
      <c r="L1253" t="s">
        <v>61</v>
      </c>
      <c r="M1253" t="s">
        <v>58</v>
      </c>
      <c r="Q1253" t="s">
        <v>58</v>
      </c>
      <c r="R1253" s="11" t="str">
        <f>HYPERLINK("\\imagefiles.bcgov\imagery\scanned_maps\moe_terrain_maps\Scanned_T_maps_all\K01\K01-144","\\imagefiles.bcgov\imagery\scanned_maps\moe_terrain_maps\Scanned_T_maps_all\K01\K01-144")</f>
        <v>\\imagefiles.bcgov\imagery\scanned_maps\moe_terrain_maps\Scanned_T_maps_all\K01\K01-144</v>
      </c>
      <c r="S1253" t="s">
        <v>62</v>
      </c>
      <c r="T1253" s="11" t="str">
        <f>HYPERLINK("http://www.env.gov.bc.ca/esd/distdata/ecosystems/TEI_Scanned_Maps/K01/K01-144","http://www.env.gov.bc.ca/esd/distdata/ecosystems/TEI_Scanned_Maps/K01/K01-144")</f>
        <v>http://www.env.gov.bc.ca/esd/distdata/ecosystems/TEI_Scanned_Maps/K01/K01-144</v>
      </c>
      <c r="U1253" t="s">
        <v>269</v>
      </c>
      <c r="V1253" s="11" t="str">
        <f t="shared" si="23"/>
        <v>http://www.library.for.gov.bc.ca/#focus</v>
      </c>
      <c r="W1253" t="s">
        <v>58</v>
      </c>
      <c r="X1253" t="s">
        <v>58</v>
      </c>
      <c r="Y1253" t="s">
        <v>58</v>
      </c>
      <c r="Z1253" t="s">
        <v>58</v>
      </c>
      <c r="AA1253" t="s">
        <v>58</v>
      </c>
      <c r="AC1253" t="s">
        <v>58</v>
      </c>
      <c r="AE1253" t="s">
        <v>58</v>
      </c>
      <c r="AG1253" t="s">
        <v>63</v>
      </c>
      <c r="AH1253" s="11" t="str">
        <f t="shared" si="22"/>
        <v>mailto: soilterrain@victoria1.gov.bc.ca</v>
      </c>
    </row>
    <row r="1254" spans="1:34">
      <c r="A1254" t="s">
        <v>2943</v>
      </c>
      <c r="B1254" t="s">
        <v>56</v>
      </c>
      <c r="C1254" s="10" t="s">
        <v>1281</v>
      </c>
      <c r="D1254" t="s">
        <v>61</v>
      </c>
      <c r="E1254" t="s">
        <v>2934</v>
      </c>
      <c r="F1254" t="s">
        <v>2944</v>
      </c>
      <c r="G1254">
        <v>20000</v>
      </c>
      <c r="H1254">
        <v>1988</v>
      </c>
      <c r="I1254" t="s">
        <v>2936</v>
      </c>
      <c r="J1254" t="s">
        <v>58</v>
      </c>
      <c r="K1254" t="s">
        <v>58</v>
      </c>
      <c r="L1254" t="s">
        <v>61</v>
      </c>
      <c r="M1254" t="s">
        <v>58</v>
      </c>
      <c r="Q1254" t="s">
        <v>58</v>
      </c>
      <c r="R1254" s="11" t="str">
        <f>HYPERLINK("\\imagefiles.bcgov\imagery\scanned_maps\moe_terrain_maps\Scanned_T_maps_all\K01\K01-145","\\imagefiles.bcgov\imagery\scanned_maps\moe_terrain_maps\Scanned_T_maps_all\K01\K01-145")</f>
        <v>\\imagefiles.bcgov\imagery\scanned_maps\moe_terrain_maps\Scanned_T_maps_all\K01\K01-145</v>
      </c>
      <c r="S1254" t="s">
        <v>62</v>
      </c>
      <c r="T1254" s="11" t="str">
        <f>HYPERLINK("http://www.env.gov.bc.ca/esd/distdata/ecosystems/TEI_Scanned_Maps/K01/K01-145","http://www.env.gov.bc.ca/esd/distdata/ecosystems/TEI_Scanned_Maps/K01/K01-145")</f>
        <v>http://www.env.gov.bc.ca/esd/distdata/ecosystems/TEI_Scanned_Maps/K01/K01-145</v>
      </c>
      <c r="U1254" t="s">
        <v>269</v>
      </c>
      <c r="V1254" s="11" t="str">
        <f t="shared" si="23"/>
        <v>http://www.library.for.gov.bc.ca/#focus</v>
      </c>
      <c r="W1254" t="s">
        <v>58</v>
      </c>
      <c r="X1254" t="s">
        <v>58</v>
      </c>
      <c r="Y1254" t="s">
        <v>58</v>
      </c>
      <c r="Z1254" t="s">
        <v>58</v>
      </c>
      <c r="AA1254" t="s">
        <v>58</v>
      </c>
      <c r="AC1254" t="s">
        <v>58</v>
      </c>
      <c r="AE1254" t="s">
        <v>58</v>
      </c>
      <c r="AG1254" t="s">
        <v>63</v>
      </c>
      <c r="AH1254" s="11" t="str">
        <f t="shared" si="22"/>
        <v>mailto: soilterrain@victoria1.gov.bc.ca</v>
      </c>
    </row>
    <row r="1255" spans="1:34">
      <c r="A1255" t="s">
        <v>2945</v>
      </c>
      <c r="B1255" t="s">
        <v>56</v>
      </c>
      <c r="C1255" s="10" t="s">
        <v>1279</v>
      </c>
      <c r="D1255" t="s">
        <v>58</v>
      </c>
      <c r="E1255" t="s">
        <v>2934</v>
      </c>
      <c r="F1255" t="s">
        <v>2946</v>
      </c>
      <c r="G1255">
        <v>20000</v>
      </c>
      <c r="H1255">
        <v>1989</v>
      </c>
      <c r="I1255" t="s">
        <v>2936</v>
      </c>
      <c r="J1255" t="s">
        <v>58</v>
      </c>
      <c r="K1255" t="s">
        <v>58</v>
      </c>
      <c r="L1255" t="s">
        <v>61</v>
      </c>
      <c r="M1255" t="s">
        <v>58</v>
      </c>
      <c r="Q1255" t="s">
        <v>58</v>
      </c>
      <c r="R1255" s="11" t="str">
        <f>HYPERLINK("\\imagefiles.bcgov\imagery\scanned_maps\moe_terrain_maps\Scanned_T_maps_all\K01\K01-146","\\imagefiles.bcgov\imagery\scanned_maps\moe_terrain_maps\Scanned_T_maps_all\K01\K01-146")</f>
        <v>\\imagefiles.bcgov\imagery\scanned_maps\moe_terrain_maps\Scanned_T_maps_all\K01\K01-146</v>
      </c>
      <c r="S1255" t="s">
        <v>62</v>
      </c>
      <c r="T1255" s="11" t="str">
        <f>HYPERLINK("http://www.env.gov.bc.ca/esd/distdata/ecosystems/TEI_Scanned_Maps/K01/K01-146","http://www.env.gov.bc.ca/esd/distdata/ecosystems/TEI_Scanned_Maps/K01/K01-146")</f>
        <v>http://www.env.gov.bc.ca/esd/distdata/ecosystems/TEI_Scanned_Maps/K01/K01-146</v>
      </c>
      <c r="U1255" t="s">
        <v>269</v>
      </c>
      <c r="V1255" s="11" t="str">
        <f t="shared" si="23"/>
        <v>http://www.library.for.gov.bc.ca/#focus</v>
      </c>
      <c r="W1255" t="s">
        <v>58</v>
      </c>
      <c r="X1255" t="s">
        <v>58</v>
      </c>
      <c r="Y1255" t="s">
        <v>58</v>
      </c>
      <c r="Z1255" t="s">
        <v>58</v>
      </c>
      <c r="AA1255" t="s">
        <v>58</v>
      </c>
      <c r="AC1255" t="s">
        <v>58</v>
      </c>
      <c r="AE1255" t="s">
        <v>58</v>
      </c>
      <c r="AG1255" t="s">
        <v>63</v>
      </c>
      <c r="AH1255" s="11" t="str">
        <f t="shared" si="22"/>
        <v>mailto: soilterrain@victoria1.gov.bc.ca</v>
      </c>
    </row>
    <row r="1256" spans="1:34">
      <c r="A1256" t="s">
        <v>2947</v>
      </c>
      <c r="B1256" t="s">
        <v>56</v>
      </c>
      <c r="C1256" s="10" t="s">
        <v>1283</v>
      </c>
      <c r="D1256" t="s">
        <v>61</v>
      </c>
      <c r="E1256" t="s">
        <v>2934</v>
      </c>
      <c r="F1256" t="s">
        <v>2948</v>
      </c>
      <c r="G1256">
        <v>20000</v>
      </c>
      <c r="H1256">
        <v>1988</v>
      </c>
      <c r="I1256" t="s">
        <v>2936</v>
      </c>
      <c r="J1256" t="s">
        <v>58</v>
      </c>
      <c r="K1256" t="s">
        <v>58</v>
      </c>
      <c r="L1256" t="s">
        <v>61</v>
      </c>
      <c r="M1256" t="s">
        <v>58</v>
      </c>
      <c r="Q1256" t="s">
        <v>58</v>
      </c>
      <c r="R1256" s="11" t="str">
        <f>HYPERLINK("\\imagefiles.bcgov\imagery\scanned_maps\moe_terrain_maps\Scanned_T_maps_all\K01\K01-147","\\imagefiles.bcgov\imagery\scanned_maps\moe_terrain_maps\Scanned_T_maps_all\K01\K01-147")</f>
        <v>\\imagefiles.bcgov\imagery\scanned_maps\moe_terrain_maps\Scanned_T_maps_all\K01\K01-147</v>
      </c>
      <c r="S1256" t="s">
        <v>62</v>
      </c>
      <c r="T1256" s="11" t="str">
        <f>HYPERLINK("http://www.env.gov.bc.ca/esd/distdata/ecosystems/TEI_Scanned_Maps/K01/K01-147","http://www.env.gov.bc.ca/esd/distdata/ecosystems/TEI_Scanned_Maps/K01/K01-147")</f>
        <v>http://www.env.gov.bc.ca/esd/distdata/ecosystems/TEI_Scanned_Maps/K01/K01-147</v>
      </c>
      <c r="U1256" t="s">
        <v>269</v>
      </c>
      <c r="V1256" s="11" t="str">
        <f t="shared" si="23"/>
        <v>http://www.library.for.gov.bc.ca/#focus</v>
      </c>
      <c r="W1256" t="s">
        <v>58</v>
      </c>
      <c r="X1256" t="s">
        <v>58</v>
      </c>
      <c r="Y1256" t="s">
        <v>58</v>
      </c>
      <c r="Z1256" t="s">
        <v>58</v>
      </c>
      <c r="AA1256" t="s">
        <v>58</v>
      </c>
      <c r="AC1256" t="s">
        <v>58</v>
      </c>
      <c r="AE1256" t="s">
        <v>58</v>
      </c>
      <c r="AG1256" t="s">
        <v>63</v>
      </c>
      <c r="AH1256" s="11" t="str">
        <f t="shared" si="22"/>
        <v>mailto: soilterrain@victoria1.gov.bc.ca</v>
      </c>
    </row>
    <row r="1257" spans="1:34">
      <c r="A1257" t="s">
        <v>2949</v>
      </c>
      <c r="B1257" t="s">
        <v>56</v>
      </c>
      <c r="C1257" s="10" t="s">
        <v>1283</v>
      </c>
      <c r="D1257" t="s">
        <v>61</v>
      </c>
      <c r="E1257" t="s">
        <v>2934</v>
      </c>
      <c r="F1257" t="s">
        <v>2950</v>
      </c>
      <c r="G1257">
        <v>20000</v>
      </c>
      <c r="H1257">
        <v>1987</v>
      </c>
      <c r="I1257" t="s">
        <v>2936</v>
      </c>
      <c r="J1257" t="s">
        <v>58</v>
      </c>
      <c r="K1257" t="s">
        <v>58</v>
      </c>
      <c r="L1257" t="s">
        <v>61</v>
      </c>
      <c r="M1257" t="s">
        <v>58</v>
      </c>
      <c r="Q1257" t="s">
        <v>58</v>
      </c>
      <c r="R1257" s="11" t="str">
        <f>HYPERLINK("\\imagefiles.bcgov\imagery\scanned_maps\moe_terrain_maps\Scanned_T_maps_all\K01\K01-148","\\imagefiles.bcgov\imagery\scanned_maps\moe_terrain_maps\Scanned_T_maps_all\K01\K01-148")</f>
        <v>\\imagefiles.bcgov\imagery\scanned_maps\moe_terrain_maps\Scanned_T_maps_all\K01\K01-148</v>
      </c>
      <c r="S1257" t="s">
        <v>62</v>
      </c>
      <c r="T1257" s="11" t="str">
        <f>HYPERLINK("http://www.env.gov.bc.ca/esd/distdata/ecosystems/TEI_Scanned_Maps/K01/K01-148","http://www.env.gov.bc.ca/esd/distdata/ecosystems/TEI_Scanned_Maps/K01/K01-148")</f>
        <v>http://www.env.gov.bc.ca/esd/distdata/ecosystems/TEI_Scanned_Maps/K01/K01-148</v>
      </c>
      <c r="U1257" t="s">
        <v>269</v>
      </c>
      <c r="V1257" s="11" t="str">
        <f t="shared" si="23"/>
        <v>http://www.library.for.gov.bc.ca/#focus</v>
      </c>
      <c r="W1257" t="s">
        <v>58</v>
      </c>
      <c r="X1257" t="s">
        <v>58</v>
      </c>
      <c r="Y1257" t="s">
        <v>58</v>
      </c>
      <c r="Z1257" t="s">
        <v>58</v>
      </c>
      <c r="AA1257" t="s">
        <v>58</v>
      </c>
      <c r="AC1257" t="s">
        <v>58</v>
      </c>
      <c r="AE1257" t="s">
        <v>58</v>
      </c>
      <c r="AG1257" t="s">
        <v>63</v>
      </c>
      <c r="AH1257" s="11" t="str">
        <f t="shared" si="22"/>
        <v>mailto: soilterrain@victoria1.gov.bc.ca</v>
      </c>
    </row>
    <row r="1258" spans="1:34">
      <c r="A1258" t="s">
        <v>2951</v>
      </c>
      <c r="B1258" t="s">
        <v>56</v>
      </c>
      <c r="C1258" s="10" t="s">
        <v>57</v>
      </c>
      <c r="D1258" t="s">
        <v>58</v>
      </c>
      <c r="E1258" t="s">
        <v>2952</v>
      </c>
      <c r="F1258" t="s">
        <v>2953</v>
      </c>
      <c r="G1258">
        <v>2000000</v>
      </c>
      <c r="H1258">
        <v>1988</v>
      </c>
      <c r="I1258" t="s">
        <v>58</v>
      </c>
      <c r="J1258" t="s">
        <v>58</v>
      </c>
      <c r="K1258" t="s">
        <v>58</v>
      </c>
      <c r="L1258" t="s">
        <v>58</v>
      </c>
      <c r="M1258" t="s">
        <v>58</v>
      </c>
      <c r="P1258" t="s">
        <v>61</v>
      </c>
      <c r="Q1258" t="s">
        <v>58</v>
      </c>
      <c r="R1258" s="11" t="str">
        <f>HYPERLINK("\\imagefiles.bcgov\imagery\scanned_maps\moe_terrain_maps\Scanned_T_maps_all\K01\K01-149","\\imagefiles.bcgov\imagery\scanned_maps\moe_terrain_maps\Scanned_T_maps_all\K01\K01-149")</f>
        <v>\\imagefiles.bcgov\imagery\scanned_maps\moe_terrain_maps\Scanned_T_maps_all\K01\K01-149</v>
      </c>
      <c r="S1258" t="s">
        <v>62</v>
      </c>
      <c r="T1258" s="11" t="str">
        <f>HYPERLINK("http://www.env.gov.bc.ca/esd/distdata/ecosystems/TEI_Scanned_Maps/K01/K01-149","http://www.env.gov.bc.ca/esd/distdata/ecosystems/TEI_Scanned_Maps/K01/K01-149")</f>
        <v>http://www.env.gov.bc.ca/esd/distdata/ecosystems/TEI_Scanned_Maps/K01/K01-149</v>
      </c>
      <c r="U1258" t="s">
        <v>58</v>
      </c>
      <c r="V1258" t="s">
        <v>58</v>
      </c>
      <c r="W1258" t="s">
        <v>58</v>
      </c>
      <c r="X1258" t="s">
        <v>58</v>
      </c>
      <c r="Y1258" t="s">
        <v>58</v>
      </c>
      <c r="Z1258" t="s">
        <v>58</v>
      </c>
      <c r="AA1258" t="s">
        <v>58</v>
      </c>
      <c r="AC1258" t="s">
        <v>58</v>
      </c>
      <c r="AE1258" t="s">
        <v>58</v>
      </c>
      <c r="AG1258" t="s">
        <v>63</v>
      </c>
      <c r="AH1258" s="11" t="str">
        <f t="shared" si="22"/>
        <v>mailto: soilterrain@victoria1.gov.bc.ca</v>
      </c>
    </row>
    <row r="1259" spans="1:34">
      <c r="A1259" t="s">
        <v>2954</v>
      </c>
      <c r="B1259" t="s">
        <v>56</v>
      </c>
      <c r="C1259" s="10" t="s">
        <v>1283</v>
      </c>
      <c r="D1259" t="s">
        <v>61</v>
      </c>
      <c r="E1259" t="s">
        <v>2934</v>
      </c>
      <c r="F1259" t="s">
        <v>2955</v>
      </c>
      <c r="G1259">
        <v>20000</v>
      </c>
      <c r="H1259">
        <v>1988</v>
      </c>
      <c r="I1259" t="s">
        <v>2936</v>
      </c>
      <c r="J1259" t="s">
        <v>58</v>
      </c>
      <c r="K1259" t="s">
        <v>58</v>
      </c>
      <c r="L1259" t="s">
        <v>61</v>
      </c>
      <c r="M1259" t="s">
        <v>58</v>
      </c>
      <c r="Q1259" t="s">
        <v>58</v>
      </c>
      <c r="R1259" s="11" t="str">
        <f>HYPERLINK("\\imagefiles.bcgov\imagery\scanned_maps\moe_terrain_maps\Scanned_T_maps_all\K01\K01-150","\\imagefiles.bcgov\imagery\scanned_maps\moe_terrain_maps\Scanned_T_maps_all\K01\K01-150")</f>
        <v>\\imagefiles.bcgov\imagery\scanned_maps\moe_terrain_maps\Scanned_T_maps_all\K01\K01-150</v>
      </c>
      <c r="S1259" t="s">
        <v>62</v>
      </c>
      <c r="T1259" s="11" t="str">
        <f>HYPERLINK("http://www.env.gov.bc.ca/esd/distdata/ecosystems/TEI_Scanned_Maps/K01/K01-150","http://www.env.gov.bc.ca/esd/distdata/ecosystems/TEI_Scanned_Maps/K01/K01-150")</f>
        <v>http://www.env.gov.bc.ca/esd/distdata/ecosystems/TEI_Scanned_Maps/K01/K01-150</v>
      </c>
      <c r="U1259" t="s">
        <v>269</v>
      </c>
      <c r="V1259" s="11" t="str">
        <f>HYPERLINK("http://www.library.for.gov.bc.ca/#focus","http://www.library.for.gov.bc.ca/#focus")</f>
        <v>http://www.library.for.gov.bc.ca/#focus</v>
      </c>
      <c r="W1259" t="s">
        <v>58</v>
      </c>
      <c r="X1259" t="s">
        <v>58</v>
      </c>
      <c r="Y1259" t="s">
        <v>58</v>
      </c>
      <c r="Z1259" t="s">
        <v>58</v>
      </c>
      <c r="AA1259" t="s">
        <v>58</v>
      </c>
      <c r="AC1259" t="s">
        <v>58</v>
      </c>
      <c r="AE1259" t="s">
        <v>58</v>
      </c>
      <c r="AG1259" t="s">
        <v>63</v>
      </c>
      <c r="AH1259" s="11" t="str">
        <f t="shared" si="22"/>
        <v>mailto: soilterrain@victoria1.gov.bc.ca</v>
      </c>
    </row>
    <row r="1260" spans="1:34">
      <c r="A1260" t="s">
        <v>2956</v>
      </c>
      <c r="B1260" t="s">
        <v>56</v>
      </c>
      <c r="C1260" s="10" t="s">
        <v>2957</v>
      </c>
      <c r="D1260" t="s">
        <v>58</v>
      </c>
      <c r="E1260" t="s">
        <v>2934</v>
      </c>
      <c r="F1260" t="s">
        <v>2958</v>
      </c>
      <c r="G1260">
        <v>250000</v>
      </c>
      <c r="H1260">
        <v>1981</v>
      </c>
      <c r="I1260" t="s">
        <v>2936</v>
      </c>
      <c r="J1260" t="s">
        <v>58</v>
      </c>
      <c r="K1260" t="s">
        <v>58</v>
      </c>
      <c r="L1260" t="s">
        <v>61</v>
      </c>
      <c r="M1260" t="s">
        <v>58</v>
      </c>
      <c r="Q1260" t="s">
        <v>58</v>
      </c>
      <c r="R1260" s="11" t="str">
        <f>HYPERLINK("\\imagefiles.bcgov\imagery\scanned_maps\moe_terrain_maps\Scanned_T_maps_all\K01\K01-151","\\imagefiles.bcgov\imagery\scanned_maps\moe_terrain_maps\Scanned_T_maps_all\K01\K01-151")</f>
        <v>\\imagefiles.bcgov\imagery\scanned_maps\moe_terrain_maps\Scanned_T_maps_all\K01\K01-151</v>
      </c>
      <c r="S1260" t="s">
        <v>62</v>
      </c>
      <c r="T1260" s="11" t="str">
        <f>HYPERLINK("http://www.env.gov.bc.ca/esd/distdata/ecosystems/TEI_Scanned_Maps/K01/K01-151","http://www.env.gov.bc.ca/esd/distdata/ecosystems/TEI_Scanned_Maps/K01/K01-151")</f>
        <v>http://www.env.gov.bc.ca/esd/distdata/ecosystems/TEI_Scanned_Maps/K01/K01-151</v>
      </c>
      <c r="U1260" t="s">
        <v>269</v>
      </c>
      <c r="V1260" s="11" t="str">
        <f>HYPERLINK("http://www.library.for.gov.bc.ca/#focus","http://www.library.for.gov.bc.ca/#focus")</f>
        <v>http://www.library.for.gov.bc.ca/#focus</v>
      </c>
      <c r="W1260" t="s">
        <v>58</v>
      </c>
      <c r="X1260" t="s">
        <v>58</v>
      </c>
      <c r="Y1260" t="s">
        <v>58</v>
      </c>
      <c r="Z1260" t="s">
        <v>58</v>
      </c>
      <c r="AA1260" t="s">
        <v>58</v>
      </c>
      <c r="AC1260" t="s">
        <v>58</v>
      </c>
      <c r="AE1260" t="s">
        <v>58</v>
      </c>
      <c r="AG1260" t="s">
        <v>63</v>
      </c>
      <c r="AH1260" s="11" t="str">
        <f t="shared" si="22"/>
        <v>mailto: soilterrain@victoria1.gov.bc.ca</v>
      </c>
    </row>
    <row r="1261" spans="1:34">
      <c r="A1261" t="s">
        <v>2959</v>
      </c>
      <c r="B1261" t="s">
        <v>56</v>
      </c>
      <c r="C1261" s="10" t="s">
        <v>2960</v>
      </c>
      <c r="D1261" t="s">
        <v>58</v>
      </c>
      <c r="E1261" t="s">
        <v>2961</v>
      </c>
      <c r="F1261" t="s">
        <v>2962</v>
      </c>
      <c r="G1261">
        <v>20000</v>
      </c>
      <c r="H1261">
        <v>1980</v>
      </c>
      <c r="I1261" t="s">
        <v>2963</v>
      </c>
      <c r="J1261" t="s">
        <v>58</v>
      </c>
      <c r="K1261" t="s">
        <v>58</v>
      </c>
      <c r="L1261" t="s">
        <v>61</v>
      </c>
      <c r="M1261" t="s">
        <v>58</v>
      </c>
      <c r="Q1261" t="s">
        <v>58</v>
      </c>
      <c r="R1261" s="11" t="str">
        <f>HYPERLINK("\\imagefiles.bcgov\imagery\scanned_maps\moe_terrain_maps\Scanned_T_maps_all\K01\K01-1815","\\imagefiles.bcgov\imagery\scanned_maps\moe_terrain_maps\Scanned_T_maps_all\K01\K01-1815")</f>
        <v>\\imagefiles.bcgov\imagery\scanned_maps\moe_terrain_maps\Scanned_T_maps_all\K01\K01-1815</v>
      </c>
      <c r="S1261" t="s">
        <v>62</v>
      </c>
      <c r="T1261" s="11" t="str">
        <f>HYPERLINK("http://www.env.gov.bc.ca/esd/distdata/ecosystems/TEI_Scanned_Maps/K01/K01-1815","http://www.env.gov.bc.ca/esd/distdata/ecosystems/TEI_Scanned_Maps/K01/K01-1815")</f>
        <v>http://www.env.gov.bc.ca/esd/distdata/ecosystems/TEI_Scanned_Maps/K01/K01-1815</v>
      </c>
      <c r="U1261" t="s">
        <v>979</v>
      </c>
      <c r="V1261" s="11" t="str">
        <f>HYPERLINK("http://www.prsss.ca/","http://www.prsss.ca/")</f>
        <v>http://www.prsss.ca/</v>
      </c>
      <c r="W1261" t="s">
        <v>269</v>
      </c>
      <c r="X1261" s="11" t="str">
        <f>HYPERLINK("http://www.library.for.gov.bc.ca/#focus","http://www.library.for.gov.bc.ca/#focus")</f>
        <v>http://www.library.for.gov.bc.ca/#focus</v>
      </c>
      <c r="Y1261" t="s">
        <v>58</v>
      </c>
      <c r="Z1261" t="s">
        <v>58</v>
      </c>
      <c r="AA1261" t="s">
        <v>58</v>
      </c>
      <c r="AC1261" t="s">
        <v>58</v>
      </c>
      <c r="AE1261" t="s">
        <v>58</v>
      </c>
      <c r="AG1261" t="s">
        <v>63</v>
      </c>
      <c r="AH1261" s="11" t="str">
        <f t="shared" si="22"/>
        <v>mailto: soilterrain@victoria1.gov.bc.ca</v>
      </c>
    </row>
    <row r="1262" spans="1:34">
      <c r="A1262" t="s">
        <v>2964</v>
      </c>
      <c r="B1262" t="s">
        <v>56</v>
      </c>
      <c r="C1262" s="10" t="s">
        <v>2960</v>
      </c>
      <c r="D1262" t="s">
        <v>58</v>
      </c>
      <c r="E1262" t="s">
        <v>2961</v>
      </c>
      <c r="F1262" t="s">
        <v>2965</v>
      </c>
      <c r="G1262">
        <v>20000</v>
      </c>
      <c r="H1262">
        <v>1980</v>
      </c>
      <c r="I1262" t="s">
        <v>2963</v>
      </c>
      <c r="J1262" t="s">
        <v>58</v>
      </c>
      <c r="K1262" t="s">
        <v>58</v>
      </c>
      <c r="L1262" t="s">
        <v>61</v>
      </c>
      <c r="M1262" t="s">
        <v>58</v>
      </c>
      <c r="Q1262" t="s">
        <v>2966</v>
      </c>
      <c r="R1262" s="11" t="str">
        <f>HYPERLINK("\\imagefiles.bcgov\imagery\scanned_maps\moe_terrain_maps\Scanned_T_maps_all\K01\K01-1816","\\imagefiles.bcgov\imagery\scanned_maps\moe_terrain_maps\Scanned_T_maps_all\K01\K01-1816")</f>
        <v>\\imagefiles.bcgov\imagery\scanned_maps\moe_terrain_maps\Scanned_T_maps_all\K01\K01-1816</v>
      </c>
      <c r="S1262" t="s">
        <v>62</v>
      </c>
      <c r="T1262" s="11" t="str">
        <f>HYPERLINK("http://www.env.gov.bc.ca/esd/distdata/ecosystems/TEI_Scanned_Maps/K01/K01-1816","http://www.env.gov.bc.ca/esd/distdata/ecosystems/TEI_Scanned_Maps/K01/K01-1816")</f>
        <v>http://www.env.gov.bc.ca/esd/distdata/ecosystems/TEI_Scanned_Maps/K01/K01-1816</v>
      </c>
      <c r="U1262" t="s">
        <v>2967</v>
      </c>
      <c r="V1262" s="11" t="str">
        <f t="shared" ref="V1262:V1268" si="24">HYPERLINK("http://res.agr.ca/cansis/publications/surveys/bc/bc62/index.html","http://res.agr.ca/cansis/publications/surveys/bc/bc62/index.html")</f>
        <v>http://res.agr.ca/cansis/publications/surveys/bc/bc62/index.html</v>
      </c>
      <c r="W1262" t="s">
        <v>58</v>
      </c>
      <c r="X1262" t="s">
        <v>58</v>
      </c>
      <c r="Y1262" t="s">
        <v>58</v>
      </c>
      <c r="Z1262" t="s">
        <v>58</v>
      </c>
      <c r="AA1262" t="s">
        <v>58</v>
      </c>
      <c r="AC1262" t="s">
        <v>58</v>
      </c>
      <c r="AE1262" t="s">
        <v>58</v>
      </c>
      <c r="AG1262" t="s">
        <v>63</v>
      </c>
      <c r="AH1262" s="11" t="str">
        <f t="shared" si="22"/>
        <v>mailto: soilterrain@victoria1.gov.bc.ca</v>
      </c>
    </row>
    <row r="1263" spans="1:34">
      <c r="A1263" t="s">
        <v>2968</v>
      </c>
      <c r="B1263" t="s">
        <v>56</v>
      </c>
      <c r="C1263" s="10" t="s">
        <v>2960</v>
      </c>
      <c r="D1263" t="s">
        <v>58</v>
      </c>
      <c r="E1263" t="s">
        <v>2961</v>
      </c>
      <c r="F1263" t="s">
        <v>2969</v>
      </c>
      <c r="G1263">
        <v>20000</v>
      </c>
      <c r="H1263">
        <v>1980</v>
      </c>
      <c r="I1263" t="s">
        <v>2963</v>
      </c>
      <c r="J1263" t="s">
        <v>58</v>
      </c>
      <c r="K1263" t="s">
        <v>58</v>
      </c>
      <c r="L1263" t="s">
        <v>61</v>
      </c>
      <c r="M1263" t="s">
        <v>58</v>
      </c>
      <c r="Q1263" t="s">
        <v>2966</v>
      </c>
      <c r="R1263" s="11" t="str">
        <f>HYPERLINK("\\imagefiles.bcgov\imagery\scanned_maps\moe_terrain_maps\Scanned_T_maps_all\K01\K01-1817","\\imagefiles.bcgov\imagery\scanned_maps\moe_terrain_maps\Scanned_T_maps_all\K01\K01-1817")</f>
        <v>\\imagefiles.bcgov\imagery\scanned_maps\moe_terrain_maps\Scanned_T_maps_all\K01\K01-1817</v>
      </c>
      <c r="S1263" t="s">
        <v>62</v>
      </c>
      <c r="T1263" s="11" t="str">
        <f>HYPERLINK("http://www.env.gov.bc.ca/esd/distdata/ecosystems/TEI_Scanned_Maps/K01/K01-1817","http://www.env.gov.bc.ca/esd/distdata/ecosystems/TEI_Scanned_Maps/K01/K01-1817")</f>
        <v>http://www.env.gov.bc.ca/esd/distdata/ecosystems/TEI_Scanned_Maps/K01/K01-1817</v>
      </c>
      <c r="U1263" t="s">
        <v>2967</v>
      </c>
      <c r="V1263" s="11" t="str">
        <f t="shared" si="24"/>
        <v>http://res.agr.ca/cansis/publications/surveys/bc/bc62/index.html</v>
      </c>
      <c r="W1263" t="s">
        <v>58</v>
      </c>
      <c r="X1263" t="s">
        <v>58</v>
      </c>
      <c r="Y1263" t="s">
        <v>58</v>
      </c>
      <c r="Z1263" t="s">
        <v>58</v>
      </c>
      <c r="AA1263" t="s">
        <v>58</v>
      </c>
      <c r="AC1263" t="s">
        <v>58</v>
      </c>
      <c r="AE1263" t="s">
        <v>58</v>
      </c>
      <c r="AG1263" t="s">
        <v>63</v>
      </c>
      <c r="AH1263" s="11" t="str">
        <f t="shared" si="22"/>
        <v>mailto: soilterrain@victoria1.gov.bc.ca</v>
      </c>
    </row>
    <row r="1264" spans="1:34">
      <c r="A1264" t="s">
        <v>2970</v>
      </c>
      <c r="B1264" t="s">
        <v>56</v>
      </c>
      <c r="C1264" s="10" t="s">
        <v>2960</v>
      </c>
      <c r="D1264" t="s">
        <v>58</v>
      </c>
      <c r="E1264" t="s">
        <v>2961</v>
      </c>
      <c r="F1264" t="s">
        <v>2971</v>
      </c>
      <c r="G1264">
        <v>20000</v>
      </c>
      <c r="H1264">
        <v>1980</v>
      </c>
      <c r="I1264" t="s">
        <v>2963</v>
      </c>
      <c r="J1264" t="s">
        <v>58</v>
      </c>
      <c r="K1264" t="s">
        <v>58</v>
      </c>
      <c r="L1264" t="s">
        <v>61</v>
      </c>
      <c r="M1264" t="s">
        <v>58</v>
      </c>
      <c r="Q1264" t="s">
        <v>2966</v>
      </c>
      <c r="R1264" s="11" t="str">
        <f>HYPERLINK("\\imagefiles.bcgov\imagery\scanned_maps\moe_terrain_maps\Scanned_T_maps_all\K01\K01-1818","\\imagefiles.bcgov\imagery\scanned_maps\moe_terrain_maps\Scanned_T_maps_all\K01\K01-1818")</f>
        <v>\\imagefiles.bcgov\imagery\scanned_maps\moe_terrain_maps\Scanned_T_maps_all\K01\K01-1818</v>
      </c>
      <c r="S1264" t="s">
        <v>62</v>
      </c>
      <c r="T1264" s="11" t="str">
        <f>HYPERLINK("http://www.env.gov.bc.ca/esd/distdata/ecosystems/TEI_Scanned_Maps/K01/K01-1818","http://www.env.gov.bc.ca/esd/distdata/ecosystems/TEI_Scanned_Maps/K01/K01-1818")</f>
        <v>http://www.env.gov.bc.ca/esd/distdata/ecosystems/TEI_Scanned_Maps/K01/K01-1818</v>
      </c>
      <c r="U1264" t="s">
        <v>2967</v>
      </c>
      <c r="V1264" s="11" t="str">
        <f t="shared" si="24"/>
        <v>http://res.agr.ca/cansis/publications/surveys/bc/bc62/index.html</v>
      </c>
      <c r="W1264" t="s">
        <v>58</v>
      </c>
      <c r="X1264" t="s">
        <v>58</v>
      </c>
      <c r="Y1264" t="s">
        <v>58</v>
      </c>
      <c r="Z1264" t="s">
        <v>58</v>
      </c>
      <c r="AA1264" t="s">
        <v>58</v>
      </c>
      <c r="AC1264" t="s">
        <v>58</v>
      </c>
      <c r="AE1264" t="s">
        <v>58</v>
      </c>
      <c r="AG1264" t="s">
        <v>63</v>
      </c>
      <c r="AH1264" s="11" t="str">
        <f t="shared" si="22"/>
        <v>mailto: soilterrain@victoria1.gov.bc.ca</v>
      </c>
    </row>
    <row r="1265" spans="1:34">
      <c r="A1265" t="s">
        <v>2972</v>
      </c>
      <c r="B1265" t="s">
        <v>56</v>
      </c>
      <c r="C1265" s="10" t="s">
        <v>2960</v>
      </c>
      <c r="D1265" t="s">
        <v>58</v>
      </c>
      <c r="E1265" t="s">
        <v>2961</v>
      </c>
      <c r="F1265" t="s">
        <v>2973</v>
      </c>
      <c r="G1265">
        <v>20000</v>
      </c>
      <c r="H1265">
        <v>1980</v>
      </c>
      <c r="I1265" t="s">
        <v>2963</v>
      </c>
      <c r="J1265" t="s">
        <v>58</v>
      </c>
      <c r="K1265" t="s">
        <v>58</v>
      </c>
      <c r="L1265" t="s">
        <v>61</v>
      </c>
      <c r="M1265" t="s">
        <v>58</v>
      </c>
      <c r="Q1265" t="s">
        <v>2966</v>
      </c>
      <c r="R1265" s="11" t="str">
        <f>HYPERLINK("\\imagefiles.bcgov\imagery\scanned_maps\moe_terrain_maps\Scanned_T_maps_all\K01\K01-1819","\\imagefiles.bcgov\imagery\scanned_maps\moe_terrain_maps\Scanned_T_maps_all\K01\K01-1819")</f>
        <v>\\imagefiles.bcgov\imagery\scanned_maps\moe_terrain_maps\Scanned_T_maps_all\K01\K01-1819</v>
      </c>
      <c r="S1265" t="s">
        <v>62</v>
      </c>
      <c r="T1265" s="11" t="str">
        <f>HYPERLINK("http://www.env.gov.bc.ca/esd/distdata/ecosystems/TEI_Scanned_Maps/K01/K01-1819","http://www.env.gov.bc.ca/esd/distdata/ecosystems/TEI_Scanned_Maps/K01/K01-1819")</f>
        <v>http://www.env.gov.bc.ca/esd/distdata/ecosystems/TEI_Scanned_Maps/K01/K01-1819</v>
      </c>
      <c r="U1265" t="s">
        <v>2967</v>
      </c>
      <c r="V1265" s="11" t="str">
        <f t="shared" si="24"/>
        <v>http://res.agr.ca/cansis/publications/surveys/bc/bc62/index.html</v>
      </c>
      <c r="W1265" t="s">
        <v>58</v>
      </c>
      <c r="X1265" t="s">
        <v>58</v>
      </c>
      <c r="Y1265" t="s">
        <v>58</v>
      </c>
      <c r="Z1265" t="s">
        <v>58</v>
      </c>
      <c r="AA1265" t="s">
        <v>58</v>
      </c>
      <c r="AC1265" t="s">
        <v>58</v>
      </c>
      <c r="AE1265" t="s">
        <v>58</v>
      </c>
      <c r="AG1265" t="s">
        <v>63</v>
      </c>
      <c r="AH1265" s="11" t="str">
        <f t="shared" si="22"/>
        <v>mailto: soilterrain@victoria1.gov.bc.ca</v>
      </c>
    </row>
    <row r="1266" spans="1:34">
      <c r="A1266" t="s">
        <v>2974</v>
      </c>
      <c r="B1266" t="s">
        <v>56</v>
      </c>
      <c r="C1266" s="10" t="s">
        <v>2960</v>
      </c>
      <c r="D1266" t="s">
        <v>58</v>
      </c>
      <c r="E1266" t="s">
        <v>2961</v>
      </c>
      <c r="F1266" t="s">
        <v>2975</v>
      </c>
      <c r="G1266">
        <v>20000</v>
      </c>
      <c r="H1266">
        <v>1980</v>
      </c>
      <c r="I1266" t="s">
        <v>2963</v>
      </c>
      <c r="J1266" t="s">
        <v>58</v>
      </c>
      <c r="K1266" t="s">
        <v>58</v>
      </c>
      <c r="L1266" t="s">
        <v>61</v>
      </c>
      <c r="M1266" t="s">
        <v>58</v>
      </c>
      <c r="Q1266" t="s">
        <v>2966</v>
      </c>
      <c r="R1266" s="11" t="str">
        <f>HYPERLINK("\\imagefiles.bcgov\imagery\scanned_maps\moe_terrain_maps\Scanned_T_maps_all\K01\K01-1820","\\imagefiles.bcgov\imagery\scanned_maps\moe_terrain_maps\Scanned_T_maps_all\K01\K01-1820")</f>
        <v>\\imagefiles.bcgov\imagery\scanned_maps\moe_terrain_maps\Scanned_T_maps_all\K01\K01-1820</v>
      </c>
      <c r="S1266" t="s">
        <v>62</v>
      </c>
      <c r="T1266" s="11" t="str">
        <f>HYPERLINK("http://www.env.gov.bc.ca/esd/distdata/ecosystems/TEI_Scanned_Maps/K01/K01-1820","http://www.env.gov.bc.ca/esd/distdata/ecosystems/TEI_Scanned_Maps/K01/K01-1820")</f>
        <v>http://www.env.gov.bc.ca/esd/distdata/ecosystems/TEI_Scanned_Maps/K01/K01-1820</v>
      </c>
      <c r="U1266" t="s">
        <v>2967</v>
      </c>
      <c r="V1266" s="11" t="str">
        <f t="shared" si="24"/>
        <v>http://res.agr.ca/cansis/publications/surveys/bc/bc62/index.html</v>
      </c>
      <c r="W1266" t="s">
        <v>58</v>
      </c>
      <c r="X1266" t="s">
        <v>58</v>
      </c>
      <c r="Y1266" t="s">
        <v>58</v>
      </c>
      <c r="Z1266" t="s">
        <v>58</v>
      </c>
      <c r="AA1266" t="s">
        <v>58</v>
      </c>
      <c r="AC1266" t="s">
        <v>58</v>
      </c>
      <c r="AE1266" t="s">
        <v>58</v>
      </c>
      <c r="AG1266" t="s">
        <v>63</v>
      </c>
      <c r="AH1266" s="11" t="str">
        <f t="shared" si="22"/>
        <v>mailto: soilterrain@victoria1.gov.bc.ca</v>
      </c>
    </row>
    <row r="1267" spans="1:34">
      <c r="A1267" t="s">
        <v>2976</v>
      </c>
      <c r="B1267" t="s">
        <v>56</v>
      </c>
      <c r="C1267" s="10" t="s">
        <v>2960</v>
      </c>
      <c r="D1267" t="s">
        <v>58</v>
      </c>
      <c r="E1267" t="s">
        <v>2961</v>
      </c>
      <c r="F1267" t="s">
        <v>2977</v>
      </c>
      <c r="G1267">
        <v>20000</v>
      </c>
      <c r="H1267">
        <v>1980</v>
      </c>
      <c r="I1267" t="s">
        <v>2963</v>
      </c>
      <c r="J1267" t="s">
        <v>58</v>
      </c>
      <c r="K1267" t="s">
        <v>58</v>
      </c>
      <c r="L1267" t="s">
        <v>61</v>
      </c>
      <c r="M1267" t="s">
        <v>58</v>
      </c>
      <c r="Q1267" t="s">
        <v>2966</v>
      </c>
      <c r="R1267" s="11" t="str">
        <f>HYPERLINK("\\imagefiles.bcgov\imagery\scanned_maps\moe_terrain_maps\Scanned_T_maps_all\K01\K01-1821","\\imagefiles.bcgov\imagery\scanned_maps\moe_terrain_maps\Scanned_T_maps_all\K01\K01-1821")</f>
        <v>\\imagefiles.bcgov\imagery\scanned_maps\moe_terrain_maps\Scanned_T_maps_all\K01\K01-1821</v>
      </c>
      <c r="S1267" t="s">
        <v>62</v>
      </c>
      <c r="T1267" s="11" t="str">
        <f>HYPERLINK("http://www.env.gov.bc.ca/esd/distdata/ecosystems/TEI_Scanned_Maps/K01/K01-1821","http://www.env.gov.bc.ca/esd/distdata/ecosystems/TEI_Scanned_Maps/K01/K01-1821")</f>
        <v>http://www.env.gov.bc.ca/esd/distdata/ecosystems/TEI_Scanned_Maps/K01/K01-1821</v>
      </c>
      <c r="U1267" t="s">
        <v>2967</v>
      </c>
      <c r="V1267" s="11" t="str">
        <f t="shared" si="24"/>
        <v>http://res.agr.ca/cansis/publications/surveys/bc/bc62/index.html</v>
      </c>
      <c r="W1267" t="s">
        <v>58</v>
      </c>
      <c r="X1267" t="s">
        <v>58</v>
      </c>
      <c r="Y1267" t="s">
        <v>58</v>
      </c>
      <c r="Z1267" t="s">
        <v>58</v>
      </c>
      <c r="AA1267" t="s">
        <v>58</v>
      </c>
      <c r="AC1267" t="s">
        <v>58</v>
      </c>
      <c r="AE1267" t="s">
        <v>58</v>
      </c>
      <c r="AG1267" t="s">
        <v>63</v>
      </c>
      <c r="AH1267" s="11" t="str">
        <f t="shared" si="22"/>
        <v>mailto: soilterrain@victoria1.gov.bc.ca</v>
      </c>
    </row>
    <row r="1268" spans="1:34">
      <c r="A1268" t="s">
        <v>2978</v>
      </c>
      <c r="B1268" t="s">
        <v>56</v>
      </c>
      <c r="C1268" s="10" t="s">
        <v>2960</v>
      </c>
      <c r="D1268" t="s">
        <v>58</v>
      </c>
      <c r="E1268" t="s">
        <v>2961</v>
      </c>
      <c r="F1268" t="s">
        <v>2979</v>
      </c>
      <c r="G1268">
        <v>20000</v>
      </c>
      <c r="H1268">
        <v>1980</v>
      </c>
      <c r="I1268" t="s">
        <v>2963</v>
      </c>
      <c r="J1268" t="s">
        <v>58</v>
      </c>
      <c r="K1268" t="s">
        <v>58</v>
      </c>
      <c r="L1268" t="s">
        <v>61</v>
      </c>
      <c r="M1268" t="s">
        <v>58</v>
      </c>
      <c r="Q1268" t="s">
        <v>2966</v>
      </c>
      <c r="R1268" s="11" t="str">
        <f>HYPERLINK("\\imagefiles.bcgov\imagery\scanned_maps\moe_terrain_maps\Scanned_T_maps_all\K01\K01-1822","\\imagefiles.bcgov\imagery\scanned_maps\moe_terrain_maps\Scanned_T_maps_all\K01\K01-1822")</f>
        <v>\\imagefiles.bcgov\imagery\scanned_maps\moe_terrain_maps\Scanned_T_maps_all\K01\K01-1822</v>
      </c>
      <c r="S1268" t="s">
        <v>62</v>
      </c>
      <c r="T1268" s="11" t="str">
        <f>HYPERLINK("http://www.env.gov.bc.ca/esd/distdata/ecosystems/TEI_Scanned_Maps/K01/K01-1822","http://www.env.gov.bc.ca/esd/distdata/ecosystems/TEI_Scanned_Maps/K01/K01-1822")</f>
        <v>http://www.env.gov.bc.ca/esd/distdata/ecosystems/TEI_Scanned_Maps/K01/K01-1822</v>
      </c>
      <c r="U1268" t="s">
        <v>2967</v>
      </c>
      <c r="V1268" s="11" t="str">
        <f t="shared" si="24"/>
        <v>http://res.agr.ca/cansis/publications/surveys/bc/bc62/index.html</v>
      </c>
      <c r="W1268" t="s">
        <v>58</v>
      </c>
      <c r="X1268" t="s">
        <v>58</v>
      </c>
      <c r="Y1268" t="s">
        <v>58</v>
      </c>
      <c r="Z1268" t="s">
        <v>58</v>
      </c>
      <c r="AA1268" t="s">
        <v>58</v>
      </c>
      <c r="AC1268" t="s">
        <v>58</v>
      </c>
      <c r="AE1268" t="s">
        <v>58</v>
      </c>
      <c r="AG1268" t="s">
        <v>63</v>
      </c>
      <c r="AH1268" s="11" t="str">
        <f t="shared" si="22"/>
        <v>mailto: soilterrain@victoria1.gov.bc.ca</v>
      </c>
    </row>
    <row r="1269" spans="1:34">
      <c r="A1269" t="s">
        <v>2980</v>
      </c>
      <c r="B1269" t="s">
        <v>56</v>
      </c>
      <c r="C1269" s="10" t="s">
        <v>553</v>
      </c>
      <c r="D1269" t="s">
        <v>58</v>
      </c>
      <c r="E1269" t="s">
        <v>2981</v>
      </c>
      <c r="F1269" t="s">
        <v>2982</v>
      </c>
      <c r="G1269">
        <v>20000</v>
      </c>
      <c r="H1269">
        <v>1989</v>
      </c>
      <c r="I1269" t="s">
        <v>58</v>
      </c>
      <c r="J1269" t="s">
        <v>58</v>
      </c>
      <c r="K1269" t="s">
        <v>58</v>
      </c>
      <c r="L1269" t="s">
        <v>61</v>
      </c>
      <c r="M1269" t="s">
        <v>58</v>
      </c>
      <c r="Q1269" t="s">
        <v>58</v>
      </c>
      <c r="R1269" s="11" t="str">
        <f>HYPERLINK("\\imagefiles.bcgov\imagery\scanned_maps\moe_terrain_maps\Scanned_T_maps_all\K01\K01-940","\\imagefiles.bcgov\imagery\scanned_maps\moe_terrain_maps\Scanned_T_maps_all\K01\K01-940")</f>
        <v>\\imagefiles.bcgov\imagery\scanned_maps\moe_terrain_maps\Scanned_T_maps_all\K01\K01-940</v>
      </c>
      <c r="S1269" t="s">
        <v>62</v>
      </c>
      <c r="T1269" s="11" t="str">
        <f>HYPERLINK("http://www.env.gov.bc.ca/esd/distdata/ecosystems/TEI_Scanned_Maps/K01/K01-940","http://www.env.gov.bc.ca/esd/distdata/ecosystems/TEI_Scanned_Maps/K01/K01-940")</f>
        <v>http://www.env.gov.bc.ca/esd/distdata/ecosystems/TEI_Scanned_Maps/K01/K01-940</v>
      </c>
      <c r="U1269" t="s">
        <v>58</v>
      </c>
      <c r="V1269" t="s">
        <v>58</v>
      </c>
      <c r="W1269" t="s">
        <v>58</v>
      </c>
      <c r="X1269" t="s">
        <v>58</v>
      </c>
      <c r="Y1269" t="s">
        <v>58</v>
      </c>
      <c r="Z1269" t="s">
        <v>58</v>
      </c>
      <c r="AA1269" t="s">
        <v>58</v>
      </c>
      <c r="AC1269" t="s">
        <v>58</v>
      </c>
      <c r="AE1269" t="s">
        <v>58</v>
      </c>
      <c r="AG1269" t="s">
        <v>63</v>
      </c>
      <c r="AH1269" s="11" t="str">
        <f t="shared" si="22"/>
        <v>mailto: soilterrain@victoria1.gov.bc.ca</v>
      </c>
    </row>
    <row r="1270" spans="1:34">
      <c r="A1270" t="s">
        <v>2983</v>
      </c>
      <c r="B1270" t="s">
        <v>56</v>
      </c>
      <c r="C1270" s="10" t="s">
        <v>2984</v>
      </c>
      <c r="D1270" t="s">
        <v>58</v>
      </c>
      <c r="E1270" t="s">
        <v>59</v>
      </c>
      <c r="F1270" t="s">
        <v>2985</v>
      </c>
      <c r="G1270">
        <v>15840</v>
      </c>
      <c r="H1270" t="s">
        <v>555</v>
      </c>
      <c r="I1270" t="s">
        <v>58</v>
      </c>
      <c r="J1270" t="s">
        <v>58</v>
      </c>
      <c r="K1270" t="s">
        <v>61</v>
      </c>
      <c r="L1270" t="s">
        <v>58</v>
      </c>
      <c r="M1270" t="s">
        <v>58</v>
      </c>
      <c r="Q1270" t="s">
        <v>58</v>
      </c>
      <c r="R1270" s="11" t="str">
        <f>HYPERLINK("\\imagefiles.bcgov\imagery\scanned_maps\moe_terrain_maps\Scanned_T_maps_all\K01\K01-941","\\imagefiles.bcgov\imagery\scanned_maps\moe_terrain_maps\Scanned_T_maps_all\K01\K01-941")</f>
        <v>\\imagefiles.bcgov\imagery\scanned_maps\moe_terrain_maps\Scanned_T_maps_all\K01\K01-941</v>
      </c>
      <c r="S1270" t="s">
        <v>62</v>
      </c>
      <c r="T1270" s="11" t="str">
        <f>HYPERLINK("http://www.env.gov.bc.ca/esd/distdata/ecosystems/TEI_Scanned_Maps/K01/K01-941","http://www.env.gov.bc.ca/esd/distdata/ecosystems/TEI_Scanned_Maps/K01/K01-941")</f>
        <v>http://www.env.gov.bc.ca/esd/distdata/ecosystems/TEI_Scanned_Maps/K01/K01-941</v>
      </c>
      <c r="U1270" t="s">
        <v>58</v>
      </c>
      <c r="V1270" t="s">
        <v>58</v>
      </c>
      <c r="W1270" t="s">
        <v>58</v>
      </c>
      <c r="X1270" t="s">
        <v>58</v>
      </c>
      <c r="Y1270" t="s">
        <v>58</v>
      </c>
      <c r="Z1270" t="s">
        <v>58</v>
      </c>
      <c r="AA1270" t="s">
        <v>58</v>
      </c>
      <c r="AC1270" t="s">
        <v>58</v>
      </c>
      <c r="AE1270" t="s">
        <v>58</v>
      </c>
      <c r="AG1270" t="s">
        <v>63</v>
      </c>
      <c r="AH1270" s="11" t="str">
        <f t="shared" si="22"/>
        <v>mailto: soilterrain@victoria1.gov.bc.ca</v>
      </c>
    </row>
    <row r="1271" spans="1:34">
      <c r="A1271" t="s">
        <v>2986</v>
      </c>
      <c r="B1271" t="s">
        <v>56</v>
      </c>
      <c r="C1271" s="10" t="s">
        <v>2987</v>
      </c>
      <c r="D1271" t="s">
        <v>58</v>
      </c>
      <c r="E1271" t="s">
        <v>2988</v>
      </c>
      <c r="F1271" t="s">
        <v>2989</v>
      </c>
      <c r="G1271">
        <v>20000</v>
      </c>
      <c r="H1271" t="s">
        <v>187</v>
      </c>
      <c r="I1271" t="s">
        <v>2990</v>
      </c>
      <c r="J1271" t="s">
        <v>58</v>
      </c>
      <c r="K1271" t="s">
        <v>58</v>
      </c>
      <c r="L1271" t="s">
        <v>61</v>
      </c>
      <c r="M1271" t="s">
        <v>58</v>
      </c>
      <c r="Q1271" t="s">
        <v>58</v>
      </c>
      <c r="R1271" s="11" t="str">
        <f>HYPERLINK("\\imagefiles.bcgov\imagery\scanned_maps\moe_terrain_maps\Scanned_T_maps_all\K01\K01-942","\\imagefiles.bcgov\imagery\scanned_maps\moe_terrain_maps\Scanned_T_maps_all\K01\K01-942")</f>
        <v>\\imagefiles.bcgov\imagery\scanned_maps\moe_terrain_maps\Scanned_T_maps_all\K01\K01-942</v>
      </c>
      <c r="S1271" t="s">
        <v>62</v>
      </c>
      <c r="T1271" s="11" t="str">
        <f>HYPERLINK("http://www.env.gov.bc.ca/esd/distdata/ecosystems/TEI_Scanned_Maps/K01/K01-942","http://www.env.gov.bc.ca/esd/distdata/ecosystems/TEI_Scanned_Maps/K01/K01-942")</f>
        <v>http://www.env.gov.bc.ca/esd/distdata/ecosystems/TEI_Scanned_Maps/K01/K01-942</v>
      </c>
      <c r="U1271" t="s">
        <v>2490</v>
      </c>
      <c r="V1271" s="11" t="str">
        <f>HYPERLINK("http://res.agr.ca/cansis/publications/surveys/bc/","http://res.agr.ca/cansis/publications/surveys/bc/")</f>
        <v>http://res.agr.ca/cansis/publications/surveys/bc/</v>
      </c>
      <c r="W1271" t="s">
        <v>58</v>
      </c>
      <c r="X1271" t="s">
        <v>58</v>
      </c>
      <c r="Y1271" t="s">
        <v>58</v>
      </c>
      <c r="Z1271" t="s">
        <v>58</v>
      </c>
      <c r="AA1271" t="s">
        <v>58</v>
      </c>
      <c r="AC1271" t="s">
        <v>58</v>
      </c>
      <c r="AE1271" t="s">
        <v>58</v>
      </c>
      <c r="AG1271" t="s">
        <v>63</v>
      </c>
      <c r="AH1271" s="11" t="str">
        <f t="shared" si="22"/>
        <v>mailto: soilterrain@victoria1.gov.bc.ca</v>
      </c>
    </row>
    <row r="1272" spans="1:34">
      <c r="A1272" t="s">
        <v>2991</v>
      </c>
      <c r="B1272" t="s">
        <v>56</v>
      </c>
      <c r="C1272" s="10" t="s">
        <v>1011</v>
      </c>
      <c r="D1272" t="s">
        <v>58</v>
      </c>
      <c r="E1272" t="s">
        <v>2502</v>
      </c>
      <c r="F1272" t="s">
        <v>2992</v>
      </c>
      <c r="G1272">
        <v>50000</v>
      </c>
      <c r="H1272">
        <v>1988</v>
      </c>
      <c r="I1272" t="s">
        <v>58</v>
      </c>
      <c r="J1272" t="s">
        <v>58</v>
      </c>
      <c r="K1272" t="s">
        <v>58</v>
      </c>
      <c r="L1272" t="s">
        <v>61</v>
      </c>
      <c r="M1272" t="s">
        <v>58</v>
      </c>
      <c r="Q1272" t="s">
        <v>58</v>
      </c>
      <c r="R1272" s="11" t="str">
        <f>HYPERLINK("\\imagefiles.bcgov\imagery\scanned_maps\moe_terrain_maps\Scanned_T_maps_all\K02\K02-317","\\imagefiles.bcgov\imagery\scanned_maps\moe_terrain_maps\Scanned_T_maps_all\K02\K02-317")</f>
        <v>\\imagefiles.bcgov\imagery\scanned_maps\moe_terrain_maps\Scanned_T_maps_all\K02\K02-317</v>
      </c>
      <c r="S1272" t="s">
        <v>62</v>
      </c>
      <c r="T1272" s="11" t="str">
        <f>HYPERLINK("http://www.env.gov.bc.ca/esd/distdata/ecosystems/TEI_Scanned_Maps/K02/K02-317","http://www.env.gov.bc.ca/esd/distdata/ecosystems/TEI_Scanned_Maps/K02/K02-317")</f>
        <v>http://www.env.gov.bc.ca/esd/distdata/ecosystems/TEI_Scanned_Maps/K02/K02-317</v>
      </c>
      <c r="U1272" t="s">
        <v>58</v>
      </c>
      <c r="V1272" t="s">
        <v>58</v>
      </c>
      <c r="W1272" t="s">
        <v>58</v>
      </c>
      <c r="X1272" t="s">
        <v>58</v>
      </c>
      <c r="Y1272" t="s">
        <v>58</v>
      </c>
      <c r="Z1272" t="s">
        <v>58</v>
      </c>
      <c r="AA1272" t="s">
        <v>58</v>
      </c>
      <c r="AC1272" t="s">
        <v>58</v>
      </c>
      <c r="AE1272" t="s">
        <v>58</v>
      </c>
      <c r="AG1272" t="s">
        <v>63</v>
      </c>
      <c r="AH1272" s="11" t="str">
        <f t="shared" si="22"/>
        <v>mailto: soilterrain@victoria1.gov.bc.ca</v>
      </c>
    </row>
    <row r="1273" spans="1:34">
      <c r="A1273" t="s">
        <v>2993</v>
      </c>
      <c r="B1273" t="s">
        <v>56</v>
      </c>
      <c r="C1273" s="10" t="s">
        <v>1013</v>
      </c>
      <c r="D1273" t="s">
        <v>58</v>
      </c>
      <c r="E1273" t="s">
        <v>2502</v>
      </c>
      <c r="F1273" t="s">
        <v>2994</v>
      </c>
      <c r="G1273">
        <v>50000</v>
      </c>
      <c r="H1273" t="s">
        <v>2995</v>
      </c>
      <c r="I1273" t="s">
        <v>58</v>
      </c>
      <c r="J1273" t="s">
        <v>58</v>
      </c>
      <c r="K1273" t="s">
        <v>58</v>
      </c>
      <c r="L1273" t="s">
        <v>61</v>
      </c>
      <c r="M1273" t="s">
        <v>58</v>
      </c>
      <c r="Q1273" t="s">
        <v>58</v>
      </c>
      <c r="R1273" s="11" t="str">
        <f>HYPERLINK("\\imagefiles.bcgov\imagery\scanned_maps\moe_terrain_maps\Scanned_T_maps_all\K02\K02-320","\\imagefiles.bcgov\imagery\scanned_maps\moe_terrain_maps\Scanned_T_maps_all\K02\K02-320")</f>
        <v>\\imagefiles.bcgov\imagery\scanned_maps\moe_terrain_maps\Scanned_T_maps_all\K02\K02-320</v>
      </c>
      <c r="S1273" t="s">
        <v>62</v>
      </c>
      <c r="T1273" s="11" t="str">
        <f>HYPERLINK("http://www.env.gov.bc.ca/esd/distdata/ecosystems/TEI_Scanned_Maps/K02/K02-320","http://www.env.gov.bc.ca/esd/distdata/ecosystems/TEI_Scanned_Maps/K02/K02-320")</f>
        <v>http://www.env.gov.bc.ca/esd/distdata/ecosystems/TEI_Scanned_Maps/K02/K02-320</v>
      </c>
      <c r="U1273" t="s">
        <v>58</v>
      </c>
      <c r="V1273" t="s">
        <v>58</v>
      </c>
      <c r="W1273" t="s">
        <v>58</v>
      </c>
      <c r="X1273" t="s">
        <v>58</v>
      </c>
      <c r="Y1273" t="s">
        <v>58</v>
      </c>
      <c r="Z1273" t="s">
        <v>58</v>
      </c>
      <c r="AA1273" t="s">
        <v>58</v>
      </c>
      <c r="AC1273" t="s">
        <v>58</v>
      </c>
      <c r="AE1273" t="s">
        <v>58</v>
      </c>
      <c r="AG1273" t="s">
        <v>63</v>
      </c>
      <c r="AH1273" s="11" t="str">
        <f t="shared" si="22"/>
        <v>mailto: soilterrain@victoria1.gov.bc.ca</v>
      </c>
    </row>
    <row r="1274" spans="1:34">
      <c r="A1274" t="s">
        <v>2996</v>
      </c>
      <c r="B1274" t="s">
        <v>56</v>
      </c>
      <c r="C1274" s="10" t="s">
        <v>1015</v>
      </c>
      <c r="D1274" t="s">
        <v>58</v>
      </c>
      <c r="E1274" t="s">
        <v>2502</v>
      </c>
      <c r="F1274" t="s">
        <v>2997</v>
      </c>
      <c r="G1274">
        <v>50000</v>
      </c>
      <c r="H1274">
        <v>1988</v>
      </c>
      <c r="I1274" t="s">
        <v>58</v>
      </c>
      <c r="J1274" t="s">
        <v>58</v>
      </c>
      <c r="K1274" t="s">
        <v>58</v>
      </c>
      <c r="L1274" t="s">
        <v>61</v>
      </c>
      <c r="M1274" t="s">
        <v>58</v>
      </c>
      <c r="Q1274" t="s">
        <v>58</v>
      </c>
      <c r="R1274" s="11" t="str">
        <f>HYPERLINK("\\imagefiles.bcgov\imagery\scanned_maps\moe_terrain_maps\Scanned_T_maps_all\K02\K02-322","\\imagefiles.bcgov\imagery\scanned_maps\moe_terrain_maps\Scanned_T_maps_all\K02\K02-322")</f>
        <v>\\imagefiles.bcgov\imagery\scanned_maps\moe_terrain_maps\Scanned_T_maps_all\K02\K02-322</v>
      </c>
      <c r="S1274" t="s">
        <v>62</v>
      </c>
      <c r="T1274" s="11" t="str">
        <f>HYPERLINK("http://www.env.gov.bc.ca/esd/distdata/ecosystems/TEI_Scanned_Maps/K02/K02-322","http://www.env.gov.bc.ca/esd/distdata/ecosystems/TEI_Scanned_Maps/K02/K02-322")</f>
        <v>http://www.env.gov.bc.ca/esd/distdata/ecosystems/TEI_Scanned_Maps/K02/K02-322</v>
      </c>
      <c r="U1274" t="s">
        <v>58</v>
      </c>
      <c r="V1274" t="s">
        <v>58</v>
      </c>
      <c r="W1274" t="s">
        <v>58</v>
      </c>
      <c r="X1274" t="s">
        <v>58</v>
      </c>
      <c r="Y1274" t="s">
        <v>58</v>
      </c>
      <c r="Z1274" t="s">
        <v>58</v>
      </c>
      <c r="AA1274" t="s">
        <v>58</v>
      </c>
      <c r="AC1274" t="s">
        <v>58</v>
      </c>
      <c r="AE1274" t="s">
        <v>58</v>
      </c>
      <c r="AG1274" t="s">
        <v>63</v>
      </c>
      <c r="AH1274" s="11" t="str">
        <f t="shared" si="22"/>
        <v>mailto: soilterrain@victoria1.gov.bc.ca</v>
      </c>
    </row>
    <row r="1275" spans="1:34">
      <c r="A1275" t="s">
        <v>2998</v>
      </c>
      <c r="B1275" t="s">
        <v>56</v>
      </c>
      <c r="C1275" s="10" t="s">
        <v>1017</v>
      </c>
      <c r="D1275" t="s">
        <v>58</v>
      </c>
      <c r="E1275" t="s">
        <v>2502</v>
      </c>
      <c r="F1275" t="s">
        <v>2999</v>
      </c>
      <c r="G1275">
        <v>50000</v>
      </c>
      <c r="H1275">
        <v>1988</v>
      </c>
      <c r="I1275" t="s">
        <v>58</v>
      </c>
      <c r="J1275" t="s">
        <v>58</v>
      </c>
      <c r="K1275" t="s">
        <v>58</v>
      </c>
      <c r="L1275" t="s">
        <v>61</v>
      </c>
      <c r="M1275" t="s">
        <v>58</v>
      </c>
      <c r="Q1275" t="s">
        <v>58</v>
      </c>
      <c r="R1275" s="11" t="str">
        <f>HYPERLINK("\\imagefiles.bcgov\imagery\scanned_maps\moe_terrain_maps\Scanned_T_maps_all\K02\K02-325","\\imagefiles.bcgov\imagery\scanned_maps\moe_terrain_maps\Scanned_T_maps_all\K02\K02-325")</f>
        <v>\\imagefiles.bcgov\imagery\scanned_maps\moe_terrain_maps\Scanned_T_maps_all\K02\K02-325</v>
      </c>
      <c r="S1275" t="s">
        <v>62</v>
      </c>
      <c r="T1275" s="11" t="str">
        <f>HYPERLINK("http://www.env.gov.bc.ca/esd/distdata/ecosystems/TEI_Scanned_Maps/K02/K02-325","http://www.env.gov.bc.ca/esd/distdata/ecosystems/TEI_Scanned_Maps/K02/K02-325")</f>
        <v>http://www.env.gov.bc.ca/esd/distdata/ecosystems/TEI_Scanned_Maps/K02/K02-325</v>
      </c>
      <c r="U1275" t="s">
        <v>58</v>
      </c>
      <c r="V1275" t="s">
        <v>58</v>
      </c>
      <c r="W1275" t="s">
        <v>58</v>
      </c>
      <c r="X1275" t="s">
        <v>58</v>
      </c>
      <c r="Y1275" t="s">
        <v>58</v>
      </c>
      <c r="Z1275" t="s">
        <v>58</v>
      </c>
      <c r="AA1275" t="s">
        <v>58</v>
      </c>
      <c r="AC1275" t="s">
        <v>58</v>
      </c>
      <c r="AE1275" t="s">
        <v>58</v>
      </c>
      <c r="AG1275" t="s">
        <v>63</v>
      </c>
      <c r="AH1275" s="11" t="str">
        <f t="shared" si="22"/>
        <v>mailto: soilterrain@victoria1.gov.bc.ca</v>
      </c>
    </row>
    <row r="1276" spans="1:34">
      <c r="A1276" t="s">
        <v>3000</v>
      </c>
      <c r="B1276" t="s">
        <v>56</v>
      </c>
      <c r="C1276" s="10" t="s">
        <v>1019</v>
      </c>
      <c r="D1276" t="s">
        <v>58</v>
      </c>
      <c r="E1276" t="s">
        <v>2502</v>
      </c>
      <c r="F1276" t="s">
        <v>3001</v>
      </c>
      <c r="G1276">
        <v>50000</v>
      </c>
      <c r="H1276" t="s">
        <v>187</v>
      </c>
      <c r="I1276" t="s">
        <v>58</v>
      </c>
      <c r="J1276" t="s">
        <v>58</v>
      </c>
      <c r="K1276" t="s">
        <v>58</v>
      </c>
      <c r="L1276" t="s">
        <v>61</v>
      </c>
      <c r="M1276" t="s">
        <v>58</v>
      </c>
      <c r="Q1276" t="s">
        <v>58</v>
      </c>
      <c r="R1276" s="11" t="str">
        <f>HYPERLINK("\\imagefiles.bcgov\imagery\scanned_maps\moe_terrain_maps\Scanned_T_maps_all\K02\K02-328","\\imagefiles.bcgov\imagery\scanned_maps\moe_terrain_maps\Scanned_T_maps_all\K02\K02-328")</f>
        <v>\\imagefiles.bcgov\imagery\scanned_maps\moe_terrain_maps\Scanned_T_maps_all\K02\K02-328</v>
      </c>
      <c r="S1276" t="s">
        <v>62</v>
      </c>
      <c r="T1276" s="11" t="str">
        <f>HYPERLINK("http://www.env.gov.bc.ca/esd/distdata/ecosystems/TEI_Scanned_Maps/K02/K02-328","http://www.env.gov.bc.ca/esd/distdata/ecosystems/TEI_Scanned_Maps/K02/K02-328")</f>
        <v>http://www.env.gov.bc.ca/esd/distdata/ecosystems/TEI_Scanned_Maps/K02/K02-328</v>
      </c>
      <c r="U1276" t="s">
        <v>58</v>
      </c>
      <c r="V1276" t="s">
        <v>58</v>
      </c>
      <c r="W1276" t="s">
        <v>58</v>
      </c>
      <c r="X1276" t="s">
        <v>58</v>
      </c>
      <c r="Y1276" t="s">
        <v>58</v>
      </c>
      <c r="Z1276" t="s">
        <v>58</v>
      </c>
      <c r="AA1276" t="s">
        <v>58</v>
      </c>
      <c r="AC1276" t="s">
        <v>58</v>
      </c>
      <c r="AE1276" t="s">
        <v>58</v>
      </c>
      <c r="AG1276" t="s">
        <v>63</v>
      </c>
      <c r="AH1276" s="11" t="str">
        <f t="shared" si="22"/>
        <v>mailto: soilterrain@victoria1.gov.bc.ca</v>
      </c>
    </row>
    <row r="1277" spans="1:34">
      <c r="A1277" t="s">
        <v>3002</v>
      </c>
      <c r="B1277" t="s">
        <v>56</v>
      </c>
      <c r="C1277" s="10" t="s">
        <v>1021</v>
      </c>
      <c r="D1277" t="s">
        <v>58</v>
      </c>
      <c r="E1277" t="s">
        <v>2502</v>
      </c>
      <c r="F1277" t="s">
        <v>3003</v>
      </c>
      <c r="G1277">
        <v>50000</v>
      </c>
      <c r="H1277">
        <v>1988</v>
      </c>
      <c r="I1277" t="s">
        <v>58</v>
      </c>
      <c r="J1277" t="s">
        <v>58</v>
      </c>
      <c r="K1277" t="s">
        <v>58</v>
      </c>
      <c r="L1277" t="s">
        <v>61</v>
      </c>
      <c r="M1277" t="s">
        <v>58</v>
      </c>
      <c r="Q1277" t="s">
        <v>58</v>
      </c>
      <c r="R1277" s="11" t="str">
        <f>HYPERLINK("\\imagefiles.bcgov\imagery\scanned_maps\moe_terrain_maps\Scanned_T_maps_all\K02\K02-332","\\imagefiles.bcgov\imagery\scanned_maps\moe_terrain_maps\Scanned_T_maps_all\K02\K02-332")</f>
        <v>\\imagefiles.bcgov\imagery\scanned_maps\moe_terrain_maps\Scanned_T_maps_all\K02\K02-332</v>
      </c>
      <c r="S1277" t="s">
        <v>62</v>
      </c>
      <c r="T1277" s="11" t="str">
        <f>HYPERLINK("http://www.env.gov.bc.ca/esd/distdata/ecosystems/TEI_Scanned_Maps/K02/K02-332","http://www.env.gov.bc.ca/esd/distdata/ecosystems/TEI_Scanned_Maps/K02/K02-332")</f>
        <v>http://www.env.gov.bc.ca/esd/distdata/ecosystems/TEI_Scanned_Maps/K02/K02-332</v>
      </c>
      <c r="U1277" t="s">
        <v>58</v>
      </c>
      <c r="V1277" t="s">
        <v>58</v>
      </c>
      <c r="W1277" t="s">
        <v>58</v>
      </c>
      <c r="X1277" t="s">
        <v>58</v>
      </c>
      <c r="Y1277" t="s">
        <v>58</v>
      </c>
      <c r="Z1277" t="s">
        <v>58</v>
      </c>
      <c r="AA1277" t="s">
        <v>58</v>
      </c>
      <c r="AC1277" t="s">
        <v>58</v>
      </c>
      <c r="AE1277" t="s">
        <v>58</v>
      </c>
      <c r="AG1277" t="s">
        <v>63</v>
      </c>
      <c r="AH1277" s="11" t="str">
        <f t="shared" si="22"/>
        <v>mailto: soilterrain@victoria1.gov.bc.ca</v>
      </c>
    </row>
    <row r="1278" spans="1:34">
      <c r="A1278" t="s">
        <v>3004</v>
      </c>
      <c r="B1278" t="s">
        <v>56</v>
      </c>
      <c r="C1278" s="10" t="s">
        <v>1023</v>
      </c>
      <c r="D1278" t="s">
        <v>58</v>
      </c>
      <c r="E1278" t="s">
        <v>2502</v>
      </c>
      <c r="F1278" t="s">
        <v>3005</v>
      </c>
      <c r="G1278">
        <v>50000</v>
      </c>
      <c r="H1278">
        <v>1989</v>
      </c>
      <c r="I1278" t="s">
        <v>58</v>
      </c>
      <c r="J1278" t="s">
        <v>58</v>
      </c>
      <c r="K1278" t="s">
        <v>58</v>
      </c>
      <c r="L1278" t="s">
        <v>61</v>
      </c>
      <c r="M1278" t="s">
        <v>58</v>
      </c>
      <c r="Q1278" t="s">
        <v>58</v>
      </c>
      <c r="R1278" s="11" t="str">
        <f>HYPERLINK("\\imagefiles.bcgov\imagery\scanned_maps\moe_terrain_maps\Scanned_T_maps_all\K02\K02-335","\\imagefiles.bcgov\imagery\scanned_maps\moe_terrain_maps\Scanned_T_maps_all\K02\K02-335")</f>
        <v>\\imagefiles.bcgov\imagery\scanned_maps\moe_terrain_maps\Scanned_T_maps_all\K02\K02-335</v>
      </c>
      <c r="S1278" t="s">
        <v>62</v>
      </c>
      <c r="T1278" s="11" t="str">
        <f>HYPERLINK("http://www.env.gov.bc.ca/esd/distdata/ecosystems/TEI_Scanned_Maps/K02/K02-335","http://www.env.gov.bc.ca/esd/distdata/ecosystems/TEI_Scanned_Maps/K02/K02-335")</f>
        <v>http://www.env.gov.bc.ca/esd/distdata/ecosystems/TEI_Scanned_Maps/K02/K02-335</v>
      </c>
      <c r="U1278" t="s">
        <v>58</v>
      </c>
      <c r="V1278" t="s">
        <v>58</v>
      </c>
      <c r="W1278" t="s">
        <v>58</v>
      </c>
      <c r="X1278" t="s">
        <v>58</v>
      </c>
      <c r="Y1278" t="s">
        <v>58</v>
      </c>
      <c r="Z1278" t="s">
        <v>58</v>
      </c>
      <c r="AA1278" t="s">
        <v>58</v>
      </c>
      <c r="AC1278" t="s">
        <v>58</v>
      </c>
      <c r="AE1278" t="s">
        <v>58</v>
      </c>
      <c r="AG1278" t="s">
        <v>63</v>
      </c>
      <c r="AH1278" s="11" t="str">
        <f t="shared" si="22"/>
        <v>mailto: soilterrain@victoria1.gov.bc.ca</v>
      </c>
    </row>
    <row r="1279" spans="1:34">
      <c r="A1279" t="s">
        <v>3006</v>
      </c>
      <c r="B1279" t="s">
        <v>56</v>
      </c>
      <c r="C1279" s="10" t="s">
        <v>1025</v>
      </c>
      <c r="D1279" t="s">
        <v>58</v>
      </c>
      <c r="E1279" t="s">
        <v>2502</v>
      </c>
      <c r="F1279" t="s">
        <v>3007</v>
      </c>
      <c r="G1279">
        <v>50000</v>
      </c>
      <c r="H1279">
        <v>1988</v>
      </c>
      <c r="I1279" t="s">
        <v>58</v>
      </c>
      <c r="J1279" t="s">
        <v>58</v>
      </c>
      <c r="K1279" t="s">
        <v>58</v>
      </c>
      <c r="L1279" t="s">
        <v>61</v>
      </c>
      <c r="M1279" t="s">
        <v>58</v>
      </c>
      <c r="Q1279" t="s">
        <v>58</v>
      </c>
      <c r="R1279" s="11" t="str">
        <f>HYPERLINK("\\imagefiles.bcgov\imagery\scanned_maps\moe_terrain_maps\Scanned_T_maps_all\K02\K02-338","\\imagefiles.bcgov\imagery\scanned_maps\moe_terrain_maps\Scanned_T_maps_all\K02\K02-338")</f>
        <v>\\imagefiles.bcgov\imagery\scanned_maps\moe_terrain_maps\Scanned_T_maps_all\K02\K02-338</v>
      </c>
      <c r="S1279" t="s">
        <v>62</v>
      </c>
      <c r="T1279" s="11" t="str">
        <f>HYPERLINK("http://www.env.gov.bc.ca/esd/distdata/ecosystems/TEI_Scanned_Maps/K02/K02-338","http://www.env.gov.bc.ca/esd/distdata/ecosystems/TEI_Scanned_Maps/K02/K02-338")</f>
        <v>http://www.env.gov.bc.ca/esd/distdata/ecosystems/TEI_Scanned_Maps/K02/K02-338</v>
      </c>
      <c r="U1279" t="s">
        <v>58</v>
      </c>
      <c r="V1279" t="s">
        <v>58</v>
      </c>
      <c r="W1279" t="s">
        <v>58</v>
      </c>
      <c r="X1279" t="s">
        <v>58</v>
      </c>
      <c r="Y1279" t="s">
        <v>58</v>
      </c>
      <c r="Z1279" t="s">
        <v>58</v>
      </c>
      <c r="AA1279" t="s">
        <v>58</v>
      </c>
      <c r="AC1279" t="s">
        <v>58</v>
      </c>
      <c r="AE1279" t="s">
        <v>58</v>
      </c>
      <c r="AG1279" t="s">
        <v>63</v>
      </c>
      <c r="AH1279" s="11" t="str">
        <f t="shared" si="22"/>
        <v>mailto: soilterrain@victoria1.gov.bc.ca</v>
      </c>
    </row>
    <row r="1280" spans="1:34">
      <c r="A1280" t="s">
        <v>3008</v>
      </c>
      <c r="B1280" t="s">
        <v>56</v>
      </c>
      <c r="C1280" s="10" t="s">
        <v>1031</v>
      </c>
      <c r="D1280" t="s">
        <v>58</v>
      </c>
      <c r="E1280" t="s">
        <v>2502</v>
      </c>
      <c r="F1280" t="s">
        <v>3009</v>
      </c>
      <c r="G1280">
        <v>50000</v>
      </c>
      <c r="H1280">
        <v>1987</v>
      </c>
      <c r="I1280" t="s">
        <v>58</v>
      </c>
      <c r="J1280" t="s">
        <v>58</v>
      </c>
      <c r="K1280" t="s">
        <v>58</v>
      </c>
      <c r="L1280" t="s">
        <v>61</v>
      </c>
      <c r="M1280" t="s">
        <v>58</v>
      </c>
      <c r="Q1280" t="s">
        <v>58</v>
      </c>
      <c r="R1280" s="11" t="str">
        <f>HYPERLINK("\\imagefiles.bcgov\imagery\scanned_maps\moe_terrain_maps\Scanned_T_maps_all\K02\K02-345","\\imagefiles.bcgov\imagery\scanned_maps\moe_terrain_maps\Scanned_T_maps_all\K02\K02-345")</f>
        <v>\\imagefiles.bcgov\imagery\scanned_maps\moe_terrain_maps\Scanned_T_maps_all\K02\K02-345</v>
      </c>
      <c r="S1280" t="s">
        <v>62</v>
      </c>
      <c r="T1280" s="11" t="str">
        <f>HYPERLINK("http://www.env.gov.bc.ca/esd/distdata/ecosystems/TEI_Scanned_Maps/K02/K02-345","http://www.env.gov.bc.ca/esd/distdata/ecosystems/TEI_Scanned_Maps/K02/K02-345")</f>
        <v>http://www.env.gov.bc.ca/esd/distdata/ecosystems/TEI_Scanned_Maps/K02/K02-345</v>
      </c>
      <c r="U1280" t="s">
        <v>58</v>
      </c>
      <c r="V1280" t="s">
        <v>58</v>
      </c>
      <c r="W1280" t="s">
        <v>58</v>
      </c>
      <c r="X1280" t="s">
        <v>58</v>
      </c>
      <c r="Y1280" t="s">
        <v>58</v>
      </c>
      <c r="Z1280" t="s">
        <v>58</v>
      </c>
      <c r="AA1280" t="s">
        <v>58</v>
      </c>
      <c r="AC1280" t="s">
        <v>58</v>
      </c>
      <c r="AE1280" t="s">
        <v>58</v>
      </c>
      <c r="AG1280" t="s">
        <v>63</v>
      </c>
      <c r="AH1280" s="11" t="str">
        <f t="shared" si="22"/>
        <v>mailto: soilterrain@victoria1.gov.bc.ca</v>
      </c>
    </row>
    <row r="1281" spans="1:34">
      <c r="A1281" t="s">
        <v>3010</v>
      </c>
      <c r="B1281" t="s">
        <v>56</v>
      </c>
      <c r="C1281" s="10" t="s">
        <v>1033</v>
      </c>
      <c r="D1281" t="s">
        <v>58</v>
      </c>
      <c r="E1281" t="s">
        <v>2502</v>
      </c>
      <c r="F1281" t="s">
        <v>3007</v>
      </c>
      <c r="G1281">
        <v>50000</v>
      </c>
      <c r="H1281">
        <v>1988</v>
      </c>
      <c r="I1281" t="s">
        <v>58</v>
      </c>
      <c r="J1281" t="s">
        <v>58</v>
      </c>
      <c r="K1281" t="s">
        <v>58</v>
      </c>
      <c r="L1281" t="s">
        <v>61</v>
      </c>
      <c r="M1281" t="s">
        <v>58</v>
      </c>
      <c r="Q1281" t="s">
        <v>58</v>
      </c>
      <c r="R1281" s="11" t="str">
        <f>HYPERLINK("\\imagefiles.bcgov\imagery\scanned_maps\moe_terrain_maps\Scanned_T_maps_all\K02\K02-347","\\imagefiles.bcgov\imagery\scanned_maps\moe_terrain_maps\Scanned_T_maps_all\K02\K02-347")</f>
        <v>\\imagefiles.bcgov\imagery\scanned_maps\moe_terrain_maps\Scanned_T_maps_all\K02\K02-347</v>
      </c>
      <c r="S1281" t="s">
        <v>62</v>
      </c>
      <c r="T1281" s="11" t="str">
        <f>HYPERLINK("http://www.env.gov.bc.ca/esd/distdata/ecosystems/TEI_Scanned_Maps/K02/K02-347","http://www.env.gov.bc.ca/esd/distdata/ecosystems/TEI_Scanned_Maps/K02/K02-347")</f>
        <v>http://www.env.gov.bc.ca/esd/distdata/ecosystems/TEI_Scanned_Maps/K02/K02-347</v>
      </c>
      <c r="U1281" t="s">
        <v>58</v>
      </c>
      <c r="V1281" t="s">
        <v>58</v>
      </c>
      <c r="W1281" t="s">
        <v>58</v>
      </c>
      <c r="X1281" t="s">
        <v>58</v>
      </c>
      <c r="Y1281" t="s">
        <v>58</v>
      </c>
      <c r="Z1281" t="s">
        <v>58</v>
      </c>
      <c r="AA1281" t="s">
        <v>58</v>
      </c>
      <c r="AC1281" t="s">
        <v>58</v>
      </c>
      <c r="AE1281" t="s">
        <v>58</v>
      </c>
      <c r="AG1281" t="s">
        <v>63</v>
      </c>
      <c r="AH1281" s="11" t="str">
        <f t="shared" si="22"/>
        <v>mailto: soilterrain@victoria1.gov.bc.ca</v>
      </c>
    </row>
    <row r="1282" spans="1:34">
      <c r="A1282" t="s">
        <v>3011</v>
      </c>
      <c r="B1282" t="s">
        <v>56</v>
      </c>
      <c r="C1282" s="10" t="s">
        <v>1035</v>
      </c>
      <c r="D1282" t="s">
        <v>58</v>
      </c>
      <c r="E1282" t="s">
        <v>2502</v>
      </c>
      <c r="F1282" t="s">
        <v>3012</v>
      </c>
      <c r="G1282">
        <v>50000</v>
      </c>
      <c r="H1282">
        <v>1988</v>
      </c>
      <c r="I1282" t="s">
        <v>58</v>
      </c>
      <c r="J1282" t="s">
        <v>58</v>
      </c>
      <c r="K1282" t="s">
        <v>58</v>
      </c>
      <c r="L1282" t="s">
        <v>61</v>
      </c>
      <c r="M1282" t="s">
        <v>58</v>
      </c>
      <c r="Q1282" t="s">
        <v>58</v>
      </c>
      <c r="R1282" s="11" t="str">
        <f>HYPERLINK("\\imagefiles.bcgov\imagery\scanned_maps\moe_terrain_maps\Scanned_T_maps_all\K02\K02-350","\\imagefiles.bcgov\imagery\scanned_maps\moe_terrain_maps\Scanned_T_maps_all\K02\K02-350")</f>
        <v>\\imagefiles.bcgov\imagery\scanned_maps\moe_terrain_maps\Scanned_T_maps_all\K02\K02-350</v>
      </c>
      <c r="S1282" t="s">
        <v>62</v>
      </c>
      <c r="T1282" s="11" t="str">
        <f>HYPERLINK("http://www.env.gov.bc.ca/esd/distdata/ecosystems/TEI_Scanned_Maps/K02/K02-350","http://www.env.gov.bc.ca/esd/distdata/ecosystems/TEI_Scanned_Maps/K02/K02-350")</f>
        <v>http://www.env.gov.bc.ca/esd/distdata/ecosystems/TEI_Scanned_Maps/K02/K02-350</v>
      </c>
      <c r="U1282" t="s">
        <v>58</v>
      </c>
      <c r="V1282" t="s">
        <v>58</v>
      </c>
      <c r="W1282" t="s">
        <v>58</v>
      </c>
      <c r="X1282" t="s">
        <v>58</v>
      </c>
      <c r="Y1282" t="s">
        <v>58</v>
      </c>
      <c r="Z1282" t="s">
        <v>58</v>
      </c>
      <c r="AA1282" t="s">
        <v>58</v>
      </c>
      <c r="AC1282" t="s">
        <v>58</v>
      </c>
      <c r="AE1282" t="s">
        <v>58</v>
      </c>
      <c r="AG1282" t="s">
        <v>63</v>
      </c>
      <c r="AH1282" s="11" t="str">
        <f t="shared" ref="AH1282:AH1345" si="25">HYPERLINK("mailto: soilterrain@victoria1.gov.bc.ca","mailto: soilterrain@victoria1.gov.bc.ca")</f>
        <v>mailto: soilterrain@victoria1.gov.bc.ca</v>
      </c>
    </row>
    <row r="1283" spans="1:34">
      <c r="A1283" t="s">
        <v>3013</v>
      </c>
      <c r="B1283" t="s">
        <v>56</v>
      </c>
      <c r="C1283" s="10" t="s">
        <v>1037</v>
      </c>
      <c r="D1283" t="s">
        <v>58</v>
      </c>
      <c r="E1283" t="s">
        <v>2502</v>
      </c>
      <c r="F1283" t="s">
        <v>3014</v>
      </c>
      <c r="G1283">
        <v>50000</v>
      </c>
      <c r="H1283" t="s">
        <v>187</v>
      </c>
      <c r="I1283" t="s">
        <v>58</v>
      </c>
      <c r="J1283" t="s">
        <v>58</v>
      </c>
      <c r="K1283" t="s">
        <v>58</v>
      </c>
      <c r="L1283" t="s">
        <v>61</v>
      </c>
      <c r="M1283" t="s">
        <v>58</v>
      </c>
      <c r="Q1283" t="s">
        <v>58</v>
      </c>
      <c r="R1283" s="11" t="str">
        <f>HYPERLINK("\\imagefiles.bcgov\imagery\scanned_maps\moe_terrain_maps\Scanned_T_maps_all\K02\K02-353","\\imagefiles.bcgov\imagery\scanned_maps\moe_terrain_maps\Scanned_T_maps_all\K02\K02-353")</f>
        <v>\\imagefiles.bcgov\imagery\scanned_maps\moe_terrain_maps\Scanned_T_maps_all\K02\K02-353</v>
      </c>
      <c r="S1283" t="s">
        <v>62</v>
      </c>
      <c r="T1283" s="11" t="str">
        <f>HYPERLINK("http://www.env.gov.bc.ca/esd/distdata/ecosystems/TEI_Scanned_Maps/K02/K02-353","http://www.env.gov.bc.ca/esd/distdata/ecosystems/TEI_Scanned_Maps/K02/K02-353")</f>
        <v>http://www.env.gov.bc.ca/esd/distdata/ecosystems/TEI_Scanned_Maps/K02/K02-353</v>
      </c>
      <c r="U1283" t="s">
        <v>58</v>
      </c>
      <c r="V1283" t="s">
        <v>58</v>
      </c>
      <c r="W1283" t="s">
        <v>58</v>
      </c>
      <c r="X1283" t="s">
        <v>58</v>
      </c>
      <c r="Y1283" t="s">
        <v>58</v>
      </c>
      <c r="Z1283" t="s">
        <v>58</v>
      </c>
      <c r="AA1283" t="s">
        <v>58</v>
      </c>
      <c r="AC1283" t="s">
        <v>58</v>
      </c>
      <c r="AE1283" t="s">
        <v>58</v>
      </c>
      <c r="AG1283" t="s">
        <v>63</v>
      </c>
      <c r="AH1283" s="11" t="str">
        <f t="shared" si="25"/>
        <v>mailto: soilterrain@victoria1.gov.bc.ca</v>
      </c>
    </row>
    <row r="1284" spans="1:34">
      <c r="A1284" t="s">
        <v>3015</v>
      </c>
      <c r="B1284" t="s">
        <v>56</v>
      </c>
      <c r="C1284" s="10" t="s">
        <v>2057</v>
      </c>
      <c r="D1284" t="s">
        <v>58</v>
      </c>
      <c r="E1284" t="s">
        <v>2484</v>
      </c>
      <c r="F1284" t="s">
        <v>3016</v>
      </c>
      <c r="G1284">
        <v>100000</v>
      </c>
      <c r="H1284">
        <v>1988</v>
      </c>
      <c r="I1284" t="s">
        <v>2486</v>
      </c>
      <c r="J1284" t="s">
        <v>58</v>
      </c>
      <c r="K1284" t="s">
        <v>61</v>
      </c>
      <c r="L1284" t="s">
        <v>61</v>
      </c>
      <c r="M1284" t="s">
        <v>58</v>
      </c>
      <c r="Q1284" t="s">
        <v>58</v>
      </c>
      <c r="R1284" s="11" t="str">
        <f>HYPERLINK("\\imagefiles.bcgov\imagery\scanned_maps\moe_terrain_maps\Scanned_T_maps_all\K03\K03-448","\\imagefiles.bcgov\imagery\scanned_maps\moe_terrain_maps\Scanned_T_maps_all\K03\K03-448")</f>
        <v>\\imagefiles.bcgov\imagery\scanned_maps\moe_terrain_maps\Scanned_T_maps_all\K03\K03-448</v>
      </c>
      <c r="S1284" t="s">
        <v>62</v>
      </c>
      <c r="T1284" s="11" t="str">
        <f>HYPERLINK("http://www.env.gov.bc.ca/esd/distdata/ecosystems/TEI_Scanned_Maps/K03/K03-448","http://www.env.gov.bc.ca/esd/distdata/ecosystems/TEI_Scanned_Maps/K03/K03-448")</f>
        <v>http://www.env.gov.bc.ca/esd/distdata/ecosystems/TEI_Scanned_Maps/K03/K03-448</v>
      </c>
      <c r="U1284" t="s">
        <v>2487</v>
      </c>
      <c r="V1284" s="11" t="str">
        <f t="shared" ref="V1284:V1296" si="26">HYPERLINK("http://res.agr.ca/cansis/publications/surveys/bc/","http://res.agr.ca/cansis/publications/surveys/bc/")</f>
        <v>http://res.agr.ca/cansis/publications/surveys/bc/</v>
      </c>
      <c r="W1284" t="s">
        <v>2488</v>
      </c>
      <c r="X1284" s="11" t="str">
        <f>HYPERLINK("http://res.agr.ca/cansis/publications/surveys/bc/","http://res.agr.ca/cansis/publications/surveys/bc/")</f>
        <v>http://res.agr.ca/cansis/publications/surveys/bc/</v>
      </c>
      <c r="Y1284" t="s">
        <v>2489</v>
      </c>
      <c r="Z1284" s="11" t="str">
        <f t="shared" ref="Z1284:Z1296" si="27">HYPERLINK("http://www.em.gov.bc.ca/mining/geolsurv/terrain&amp;soils/frbcguid.htm","http://www.em.gov.bc.ca/mining/geolsurv/terrain&amp;soils/frbcguid.htm")</f>
        <v>http://www.em.gov.bc.ca/mining/geolsurv/terrain&amp;soils/frbcguid.htm</v>
      </c>
      <c r="AA1284" t="s">
        <v>2490</v>
      </c>
      <c r="AB1284" s="11" t="str">
        <f t="shared" ref="AB1284:AB1292" si="28">HYPERLINK("http://res.agr.ca/cansis/publications/surveys/bc/","http://res.agr.ca/cansis/publications/surveys/bc/")</f>
        <v>http://res.agr.ca/cansis/publications/surveys/bc/</v>
      </c>
      <c r="AC1284" t="s">
        <v>269</v>
      </c>
      <c r="AD1284" s="11" t="str">
        <f t="shared" ref="AD1284:AD1292" si="29">HYPERLINK("http://www.library.for.gov.bc.ca/#focus","http://www.library.for.gov.bc.ca/#focus")</f>
        <v>http://www.library.for.gov.bc.ca/#focus</v>
      </c>
      <c r="AE1284" t="s">
        <v>58</v>
      </c>
      <c r="AG1284" t="s">
        <v>63</v>
      </c>
      <c r="AH1284" s="11" t="str">
        <f t="shared" si="25"/>
        <v>mailto: soilterrain@victoria1.gov.bc.ca</v>
      </c>
    </row>
    <row r="1285" spans="1:34">
      <c r="A1285" t="s">
        <v>3017</v>
      </c>
      <c r="B1285" t="s">
        <v>56</v>
      </c>
      <c r="C1285" s="10" t="s">
        <v>3018</v>
      </c>
      <c r="D1285" t="s">
        <v>58</v>
      </c>
      <c r="E1285" t="s">
        <v>2484</v>
      </c>
      <c r="F1285" t="s">
        <v>3019</v>
      </c>
      <c r="G1285">
        <v>100000</v>
      </c>
      <c r="H1285">
        <v>1988</v>
      </c>
      <c r="I1285" t="s">
        <v>2486</v>
      </c>
      <c r="J1285" t="s">
        <v>58</v>
      </c>
      <c r="K1285" t="s">
        <v>61</v>
      </c>
      <c r="L1285" t="s">
        <v>61</v>
      </c>
      <c r="M1285" t="s">
        <v>58</v>
      </c>
      <c r="Q1285" t="s">
        <v>58</v>
      </c>
      <c r="R1285" s="11" t="str">
        <f>HYPERLINK("\\imagefiles.bcgov\imagery\scanned_maps\moe_terrain_maps\Scanned_T_maps_all\K03\K03-456","\\imagefiles.bcgov\imagery\scanned_maps\moe_terrain_maps\Scanned_T_maps_all\K03\K03-456")</f>
        <v>\\imagefiles.bcgov\imagery\scanned_maps\moe_terrain_maps\Scanned_T_maps_all\K03\K03-456</v>
      </c>
      <c r="S1285" t="s">
        <v>62</v>
      </c>
      <c r="T1285" s="11" t="str">
        <f>HYPERLINK("http://www.env.gov.bc.ca/esd/distdata/ecosystems/TEI_Scanned_Maps/K03/K03-456","http://www.env.gov.bc.ca/esd/distdata/ecosystems/TEI_Scanned_Maps/K03/K03-456")</f>
        <v>http://www.env.gov.bc.ca/esd/distdata/ecosystems/TEI_Scanned_Maps/K03/K03-456</v>
      </c>
      <c r="U1285" t="s">
        <v>2487</v>
      </c>
      <c r="V1285" s="11" t="str">
        <f t="shared" si="26"/>
        <v>http://res.agr.ca/cansis/publications/surveys/bc/</v>
      </c>
      <c r="W1285" t="s">
        <v>2488</v>
      </c>
      <c r="X1285" s="11" t="str">
        <f>HYPERLINK("http://res.agr.ca/cansis/publications/surveys/bc/","http://res.agr.ca/cansis/publications/surveys/bc/")</f>
        <v>http://res.agr.ca/cansis/publications/surveys/bc/</v>
      </c>
      <c r="Y1285" t="s">
        <v>2489</v>
      </c>
      <c r="Z1285" s="11" t="str">
        <f t="shared" si="27"/>
        <v>http://www.em.gov.bc.ca/mining/geolsurv/terrain&amp;soils/frbcguid.htm</v>
      </c>
      <c r="AA1285" t="s">
        <v>2490</v>
      </c>
      <c r="AB1285" s="11" t="str">
        <f t="shared" si="28"/>
        <v>http://res.agr.ca/cansis/publications/surveys/bc/</v>
      </c>
      <c r="AC1285" t="s">
        <v>269</v>
      </c>
      <c r="AD1285" s="11" t="str">
        <f t="shared" si="29"/>
        <v>http://www.library.for.gov.bc.ca/#focus</v>
      </c>
      <c r="AE1285" t="s">
        <v>58</v>
      </c>
      <c r="AG1285" t="s">
        <v>63</v>
      </c>
      <c r="AH1285" s="11" t="str">
        <f t="shared" si="25"/>
        <v>mailto: soilterrain@victoria1.gov.bc.ca</v>
      </c>
    </row>
    <row r="1286" spans="1:34">
      <c r="A1286" t="s">
        <v>3020</v>
      </c>
      <c r="B1286" t="s">
        <v>56</v>
      </c>
      <c r="C1286" s="10" t="s">
        <v>3021</v>
      </c>
      <c r="D1286" t="s">
        <v>58</v>
      </c>
      <c r="E1286" t="s">
        <v>2484</v>
      </c>
      <c r="F1286" t="s">
        <v>3022</v>
      </c>
      <c r="G1286">
        <v>100000</v>
      </c>
      <c r="H1286">
        <v>1987</v>
      </c>
      <c r="I1286" t="s">
        <v>2486</v>
      </c>
      <c r="J1286" t="s">
        <v>58</v>
      </c>
      <c r="K1286" t="s">
        <v>61</v>
      </c>
      <c r="L1286" t="s">
        <v>61</v>
      </c>
      <c r="M1286" t="s">
        <v>58</v>
      </c>
      <c r="Q1286" t="s">
        <v>58</v>
      </c>
      <c r="R1286" s="11" t="str">
        <f>HYPERLINK("\\imagefiles.bcgov\imagery\scanned_maps\moe_terrain_maps\Scanned_T_maps_all\K03\K03-460","\\imagefiles.bcgov\imagery\scanned_maps\moe_terrain_maps\Scanned_T_maps_all\K03\K03-460")</f>
        <v>\\imagefiles.bcgov\imagery\scanned_maps\moe_terrain_maps\Scanned_T_maps_all\K03\K03-460</v>
      </c>
      <c r="S1286" t="s">
        <v>62</v>
      </c>
      <c r="T1286" s="11" t="str">
        <f>HYPERLINK("http://www.env.gov.bc.ca/esd/distdata/ecosystems/TEI_Scanned_Maps/K03/K03-460","http://www.env.gov.bc.ca/esd/distdata/ecosystems/TEI_Scanned_Maps/K03/K03-460")</f>
        <v>http://www.env.gov.bc.ca/esd/distdata/ecosystems/TEI_Scanned_Maps/K03/K03-460</v>
      </c>
      <c r="U1286" t="s">
        <v>2487</v>
      </c>
      <c r="V1286" s="11" t="str">
        <f t="shared" si="26"/>
        <v>http://res.agr.ca/cansis/publications/surveys/bc/</v>
      </c>
      <c r="W1286" t="s">
        <v>2488</v>
      </c>
      <c r="X1286" s="11" t="str">
        <f>HYPERLINK("http://res.agr.ca/cansis/publications/surveys/bc/","http://res.agr.ca/cansis/publications/surveys/bc/")</f>
        <v>http://res.agr.ca/cansis/publications/surveys/bc/</v>
      </c>
      <c r="Y1286" t="s">
        <v>2489</v>
      </c>
      <c r="Z1286" s="11" t="str">
        <f t="shared" si="27"/>
        <v>http://www.em.gov.bc.ca/mining/geolsurv/terrain&amp;soils/frbcguid.htm</v>
      </c>
      <c r="AA1286" t="s">
        <v>2490</v>
      </c>
      <c r="AB1286" s="11" t="str">
        <f t="shared" si="28"/>
        <v>http://res.agr.ca/cansis/publications/surveys/bc/</v>
      </c>
      <c r="AC1286" t="s">
        <v>269</v>
      </c>
      <c r="AD1286" s="11" t="str">
        <f t="shared" si="29"/>
        <v>http://www.library.for.gov.bc.ca/#focus</v>
      </c>
      <c r="AE1286" t="s">
        <v>58</v>
      </c>
      <c r="AG1286" t="s">
        <v>63</v>
      </c>
      <c r="AH1286" s="11" t="str">
        <f t="shared" si="25"/>
        <v>mailto: soilterrain@victoria1.gov.bc.ca</v>
      </c>
    </row>
    <row r="1287" spans="1:34">
      <c r="A1287" t="s">
        <v>3023</v>
      </c>
      <c r="B1287" t="s">
        <v>56</v>
      </c>
      <c r="C1287" s="10" t="s">
        <v>2082</v>
      </c>
      <c r="D1287" t="s">
        <v>58</v>
      </c>
      <c r="E1287" t="s">
        <v>3024</v>
      </c>
      <c r="F1287" t="s">
        <v>3025</v>
      </c>
      <c r="G1287">
        <v>100000</v>
      </c>
      <c r="H1287">
        <v>1988</v>
      </c>
      <c r="I1287" t="s">
        <v>3026</v>
      </c>
      <c r="J1287" t="s">
        <v>58</v>
      </c>
      <c r="K1287" t="s">
        <v>58</v>
      </c>
      <c r="L1287" t="s">
        <v>61</v>
      </c>
      <c r="M1287" t="s">
        <v>58</v>
      </c>
      <c r="Q1287" t="s">
        <v>58</v>
      </c>
      <c r="R1287" s="11" t="str">
        <f>HYPERLINK("\\imagefiles.bcgov\imagery\scanned_maps\moe_terrain_maps\Scanned_T_maps_all\K03\K03-507","\\imagefiles.bcgov\imagery\scanned_maps\moe_terrain_maps\Scanned_T_maps_all\K03\K03-507")</f>
        <v>\\imagefiles.bcgov\imagery\scanned_maps\moe_terrain_maps\Scanned_T_maps_all\K03\K03-507</v>
      </c>
      <c r="S1287" t="s">
        <v>62</v>
      </c>
      <c r="T1287" s="11" t="str">
        <f>HYPERLINK("http://www.env.gov.bc.ca/esd/distdata/ecosystems/TEI_Scanned_Maps/K03/K03-507","http://www.env.gov.bc.ca/esd/distdata/ecosystems/TEI_Scanned_Maps/K03/K03-507")</f>
        <v>http://www.env.gov.bc.ca/esd/distdata/ecosystems/TEI_Scanned_Maps/K03/K03-507</v>
      </c>
      <c r="U1287" t="s">
        <v>2967</v>
      </c>
      <c r="V1287" s="11" t="str">
        <f t="shared" si="26"/>
        <v>http://res.agr.ca/cansis/publications/surveys/bc/</v>
      </c>
      <c r="W1287" t="s">
        <v>2495</v>
      </c>
      <c r="X1287" s="11" t="str">
        <f t="shared" ref="X1287:X1292" si="30">HYPERLINK("http://www.em.gov.bc.ca/mining/geolsurv/terrain&amp;soils/frbcguid.htm","http://www.em.gov.bc.ca/mining/geolsurv/terrain&amp;soils/frbcguid.htm")</f>
        <v>http://www.em.gov.bc.ca/mining/geolsurv/terrain&amp;soils/frbcguid.htm</v>
      </c>
      <c r="Y1287" t="s">
        <v>2489</v>
      </c>
      <c r="Z1287" s="11" t="str">
        <f t="shared" si="27"/>
        <v>http://www.em.gov.bc.ca/mining/geolsurv/terrain&amp;soils/frbcguid.htm</v>
      </c>
      <c r="AA1287" t="s">
        <v>2490</v>
      </c>
      <c r="AB1287" s="11" t="str">
        <f t="shared" si="28"/>
        <v>http://res.agr.ca/cansis/publications/surveys/bc/</v>
      </c>
      <c r="AC1287" t="s">
        <v>269</v>
      </c>
      <c r="AD1287" s="11" t="str">
        <f t="shared" si="29"/>
        <v>http://www.library.for.gov.bc.ca/#focus</v>
      </c>
      <c r="AE1287" t="s">
        <v>58</v>
      </c>
      <c r="AG1287" t="s">
        <v>63</v>
      </c>
      <c r="AH1287" s="11" t="str">
        <f t="shared" si="25"/>
        <v>mailto: soilterrain@victoria1.gov.bc.ca</v>
      </c>
    </row>
    <row r="1288" spans="1:34">
      <c r="A1288" t="s">
        <v>3027</v>
      </c>
      <c r="B1288" t="s">
        <v>56</v>
      </c>
      <c r="C1288" s="10" t="s">
        <v>2085</v>
      </c>
      <c r="D1288" t="s">
        <v>58</v>
      </c>
      <c r="E1288" t="s">
        <v>3024</v>
      </c>
      <c r="F1288" t="s">
        <v>3028</v>
      </c>
      <c r="G1288">
        <v>100000</v>
      </c>
      <c r="H1288" t="s">
        <v>187</v>
      </c>
      <c r="I1288" t="s">
        <v>3026</v>
      </c>
      <c r="J1288" t="s">
        <v>58</v>
      </c>
      <c r="K1288" t="s">
        <v>58</v>
      </c>
      <c r="L1288" t="s">
        <v>61</v>
      </c>
      <c r="M1288" t="s">
        <v>58</v>
      </c>
      <c r="Q1288" t="s">
        <v>58</v>
      </c>
      <c r="R1288" s="11" t="str">
        <f>HYPERLINK("\\imagefiles.bcgov\imagery\scanned_maps\moe_terrain_maps\Scanned_T_maps_all\K03\K03-511","\\imagefiles.bcgov\imagery\scanned_maps\moe_terrain_maps\Scanned_T_maps_all\K03\K03-511")</f>
        <v>\\imagefiles.bcgov\imagery\scanned_maps\moe_terrain_maps\Scanned_T_maps_all\K03\K03-511</v>
      </c>
      <c r="S1288" t="s">
        <v>62</v>
      </c>
      <c r="T1288" s="11" t="str">
        <f>HYPERLINK("http://www.env.gov.bc.ca/esd/distdata/ecosystems/TEI_Scanned_Maps/K03/K03-511","http://www.env.gov.bc.ca/esd/distdata/ecosystems/TEI_Scanned_Maps/K03/K03-511")</f>
        <v>http://www.env.gov.bc.ca/esd/distdata/ecosystems/TEI_Scanned_Maps/K03/K03-511</v>
      </c>
      <c r="U1288" t="s">
        <v>2967</v>
      </c>
      <c r="V1288" s="11" t="str">
        <f t="shared" si="26"/>
        <v>http://res.agr.ca/cansis/publications/surveys/bc/</v>
      </c>
      <c r="W1288" t="s">
        <v>2495</v>
      </c>
      <c r="X1288" s="11" t="str">
        <f t="shared" si="30"/>
        <v>http://www.em.gov.bc.ca/mining/geolsurv/terrain&amp;soils/frbcguid.htm</v>
      </c>
      <c r="Y1288" t="s">
        <v>2489</v>
      </c>
      <c r="Z1288" s="11" t="str">
        <f t="shared" si="27"/>
        <v>http://www.em.gov.bc.ca/mining/geolsurv/terrain&amp;soils/frbcguid.htm</v>
      </c>
      <c r="AA1288" t="s">
        <v>2490</v>
      </c>
      <c r="AB1288" s="11" t="str">
        <f t="shared" si="28"/>
        <v>http://res.agr.ca/cansis/publications/surveys/bc/</v>
      </c>
      <c r="AC1288" t="s">
        <v>269</v>
      </c>
      <c r="AD1288" s="11" t="str">
        <f t="shared" si="29"/>
        <v>http://www.library.for.gov.bc.ca/#focus</v>
      </c>
      <c r="AE1288" t="s">
        <v>58</v>
      </c>
      <c r="AG1288" t="s">
        <v>63</v>
      </c>
      <c r="AH1288" s="11" t="str">
        <f t="shared" si="25"/>
        <v>mailto: soilterrain@victoria1.gov.bc.ca</v>
      </c>
    </row>
    <row r="1289" spans="1:34">
      <c r="A1289" t="s">
        <v>3029</v>
      </c>
      <c r="B1289" t="s">
        <v>56</v>
      </c>
      <c r="C1289" s="10" t="s">
        <v>2088</v>
      </c>
      <c r="D1289" t="s">
        <v>58</v>
      </c>
      <c r="E1289" t="s">
        <v>3024</v>
      </c>
      <c r="F1289" t="s">
        <v>3030</v>
      </c>
      <c r="G1289">
        <v>100000</v>
      </c>
      <c r="H1289">
        <v>1988</v>
      </c>
      <c r="I1289" t="s">
        <v>3026</v>
      </c>
      <c r="J1289" t="s">
        <v>58</v>
      </c>
      <c r="K1289" t="s">
        <v>58</v>
      </c>
      <c r="L1289" t="s">
        <v>61</v>
      </c>
      <c r="M1289" t="s">
        <v>58</v>
      </c>
      <c r="Q1289" t="s">
        <v>58</v>
      </c>
      <c r="R1289" s="11" t="str">
        <f>HYPERLINK("\\imagefiles.bcgov\imagery\scanned_maps\moe_terrain_maps\Scanned_T_maps_all\K03\K03-514","\\imagefiles.bcgov\imagery\scanned_maps\moe_terrain_maps\Scanned_T_maps_all\K03\K03-514")</f>
        <v>\\imagefiles.bcgov\imagery\scanned_maps\moe_terrain_maps\Scanned_T_maps_all\K03\K03-514</v>
      </c>
      <c r="S1289" t="s">
        <v>62</v>
      </c>
      <c r="T1289" s="11" t="str">
        <f>HYPERLINK("http://www.env.gov.bc.ca/esd/distdata/ecosystems/TEI_Scanned_Maps/K03/K03-514","http://www.env.gov.bc.ca/esd/distdata/ecosystems/TEI_Scanned_Maps/K03/K03-514")</f>
        <v>http://www.env.gov.bc.ca/esd/distdata/ecosystems/TEI_Scanned_Maps/K03/K03-514</v>
      </c>
      <c r="U1289" t="s">
        <v>2967</v>
      </c>
      <c r="V1289" s="11" t="str">
        <f t="shared" si="26"/>
        <v>http://res.agr.ca/cansis/publications/surveys/bc/</v>
      </c>
      <c r="W1289" t="s">
        <v>2495</v>
      </c>
      <c r="X1289" s="11" t="str">
        <f t="shared" si="30"/>
        <v>http://www.em.gov.bc.ca/mining/geolsurv/terrain&amp;soils/frbcguid.htm</v>
      </c>
      <c r="Y1289" t="s">
        <v>2489</v>
      </c>
      <c r="Z1289" s="11" t="str">
        <f t="shared" si="27"/>
        <v>http://www.em.gov.bc.ca/mining/geolsurv/terrain&amp;soils/frbcguid.htm</v>
      </c>
      <c r="AA1289" t="s">
        <v>2490</v>
      </c>
      <c r="AB1289" s="11" t="str">
        <f t="shared" si="28"/>
        <v>http://res.agr.ca/cansis/publications/surveys/bc/</v>
      </c>
      <c r="AC1289" t="s">
        <v>269</v>
      </c>
      <c r="AD1289" s="11" t="str">
        <f t="shared" si="29"/>
        <v>http://www.library.for.gov.bc.ca/#focus</v>
      </c>
      <c r="AE1289" t="s">
        <v>58</v>
      </c>
      <c r="AG1289" t="s">
        <v>63</v>
      </c>
      <c r="AH1289" s="11" t="str">
        <f t="shared" si="25"/>
        <v>mailto: soilterrain@victoria1.gov.bc.ca</v>
      </c>
    </row>
    <row r="1290" spans="1:34">
      <c r="A1290" t="s">
        <v>3031</v>
      </c>
      <c r="B1290" t="s">
        <v>56</v>
      </c>
      <c r="C1290" s="10" t="s">
        <v>2091</v>
      </c>
      <c r="D1290" t="s">
        <v>58</v>
      </c>
      <c r="E1290" t="s">
        <v>3024</v>
      </c>
      <c r="F1290" t="s">
        <v>3032</v>
      </c>
      <c r="G1290">
        <v>100000</v>
      </c>
      <c r="H1290">
        <v>1989</v>
      </c>
      <c r="I1290" t="s">
        <v>3026</v>
      </c>
      <c r="J1290" t="s">
        <v>58</v>
      </c>
      <c r="K1290" t="s">
        <v>58</v>
      </c>
      <c r="L1290" t="s">
        <v>61</v>
      </c>
      <c r="M1290" t="s">
        <v>58</v>
      </c>
      <c r="Q1290" t="s">
        <v>58</v>
      </c>
      <c r="R1290" s="11" t="str">
        <f>HYPERLINK("\\imagefiles.bcgov\imagery\scanned_maps\moe_terrain_maps\Scanned_T_maps_all\K03\K03-548","\\imagefiles.bcgov\imagery\scanned_maps\moe_terrain_maps\Scanned_T_maps_all\K03\K03-548")</f>
        <v>\\imagefiles.bcgov\imagery\scanned_maps\moe_terrain_maps\Scanned_T_maps_all\K03\K03-548</v>
      </c>
      <c r="S1290" t="s">
        <v>62</v>
      </c>
      <c r="T1290" s="11" t="str">
        <f>HYPERLINK("http://www.env.gov.bc.ca/esd/distdata/ecosystems/TEI_Scanned_Maps/K03/K03-548","http://www.env.gov.bc.ca/esd/distdata/ecosystems/TEI_Scanned_Maps/K03/K03-548")</f>
        <v>http://www.env.gov.bc.ca/esd/distdata/ecosystems/TEI_Scanned_Maps/K03/K03-548</v>
      </c>
      <c r="U1290" t="s">
        <v>2967</v>
      </c>
      <c r="V1290" s="11" t="str">
        <f t="shared" si="26"/>
        <v>http://res.agr.ca/cansis/publications/surveys/bc/</v>
      </c>
      <c r="W1290" t="s">
        <v>2495</v>
      </c>
      <c r="X1290" s="11" t="str">
        <f t="shared" si="30"/>
        <v>http://www.em.gov.bc.ca/mining/geolsurv/terrain&amp;soils/frbcguid.htm</v>
      </c>
      <c r="Y1290" t="s">
        <v>2489</v>
      </c>
      <c r="Z1290" s="11" t="str">
        <f t="shared" si="27"/>
        <v>http://www.em.gov.bc.ca/mining/geolsurv/terrain&amp;soils/frbcguid.htm</v>
      </c>
      <c r="AA1290" t="s">
        <v>2490</v>
      </c>
      <c r="AB1290" s="11" t="str">
        <f t="shared" si="28"/>
        <v>http://res.agr.ca/cansis/publications/surveys/bc/</v>
      </c>
      <c r="AC1290" t="s">
        <v>269</v>
      </c>
      <c r="AD1290" s="11" t="str">
        <f t="shared" si="29"/>
        <v>http://www.library.for.gov.bc.ca/#focus</v>
      </c>
      <c r="AE1290" t="s">
        <v>58</v>
      </c>
      <c r="AG1290" t="s">
        <v>63</v>
      </c>
      <c r="AH1290" s="11" t="str">
        <f t="shared" si="25"/>
        <v>mailto: soilterrain@victoria1.gov.bc.ca</v>
      </c>
    </row>
    <row r="1291" spans="1:34">
      <c r="A1291" t="s">
        <v>3033</v>
      </c>
      <c r="B1291" t="s">
        <v>56</v>
      </c>
      <c r="C1291" s="10" t="s">
        <v>3034</v>
      </c>
      <c r="D1291" t="s">
        <v>58</v>
      </c>
      <c r="E1291" t="s">
        <v>3024</v>
      </c>
      <c r="F1291" t="s">
        <v>3035</v>
      </c>
      <c r="G1291">
        <v>100000</v>
      </c>
      <c r="H1291">
        <v>1988</v>
      </c>
      <c r="I1291" t="s">
        <v>3026</v>
      </c>
      <c r="J1291" t="s">
        <v>58</v>
      </c>
      <c r="K1291" t="s">
        <v>58</v>
      </c>
      <c r="L1291" t="s">
        <v>61</v>
      </c>
      <c r="M1291" t="s">
        <v>58</v>
      </c>
      <c r="Q1291" t="s">
        <v>58</v>
      </c>
      <c r="R1291" s="11" t="str">
        <f>HYPERLINK("\\imagefiles.bcgov\imagery\scanned_maps\moe_terrain_maps\Scanned_T_maps_all\K03\K03-551","\\imagefiles.bcgov\imagery\scanned_maps\moe_terrain_maps\Scanned_T_maps_all\K03\K03-551")</f>
        <v>\\imagefiles.bcgov\imagery\scanned_maps\moe_terrain_maps\Scanned_T_maps_all\K03\K03-551</v>
      </c>
      <c r="S1291" t="s">
        <v>62</v>
      </c>
      <c r="T1291" s="11" t="str">
        <f>HYPERLINK("http://www.env.gov.bc.ca/esd/distdata/ecosystems/TEI_Scanned_Maps/K03/K03-551","http://www.env.gov.bc.ca/esd/distdata/ecosystems/TEI_Scanned_Maps/K03/K03-551")</f>
        <v>http://www.env.gov.bc.ca/esd/distdata/ecosystems/TEI_Scanned_Maps/K03/K03-551</v>
      </c>
      <c r="U1291" t="s">
        <v>2967</v>
      </c>
      <c r="V1291" s="11" t="str">
        <f t="shared" si="26"/>
        <v>http://res.agr.ca/cansis/publications/surveys/bc/</v>
      </c>
      <c r="W1291" t="s">
        <v>2495</v>
      </c>
      <c r="X1291" s="11" t="str">
        <f t="shared" si="30"/>
        <v>http://www.em.gov.bc.ca/mining/geolsurv/terrain&amp;soils/frbcguid.htm</v>
      </c>
      <c r="Y1291" t="s">
        <v>2489</v>
      </c>
      <c r="Z1291" s="11" t="str">
        <f t="shared" si="27"/>
        <v>http://www.em.gov.bc.ca/mining/geolsurv/terrain&amp;soils/frbcguid.htm</v>
      </c>
      <c r="AA1291" t="s">
        <v>2490</v>
      </c>
      <c r="AB1291" s="11" t="str">
        <f t="shared" si="28"/>
        <v>http://res.agr.ca/cansis/publications/surveys/bc/</v>
      </c>
      <c r="AC1291" t="s">
        <v>269</v>
      </c>
      <c r="AD1291" s="11" t="str">
        <f t="shared" si="29"/>
        <v>http://www.library.for.gov.bc.ca/#focus</v>
      </c>
      <c r="AE1291" t="s">
        <v>58</v>
      </c>
      <c r="AG1291" t="s">
        <v>63</v>
      </c>
      <c r="AH1291" s="11" t="str">
        <f t="shared" si="25"/>
        <v>mailto: soilterrain@victoria1.gov.bc.ca</v>
      </c>
    </row>
    <row r="1292" spans="1:34">
      <c r="A1292" t="s">
        <v>3036</v>
      </c>
      <c r="B1292" t="s">
        <v>56</v>
      </c>
      <c r="C1292" s="10" t="s">
        <v>2097</v>
      </c>
      <c r="D1292" t="s">
        <v>58</v>
      </c>
      <c r="E1292" t="s">
        <v>3024</v>
      </c>
      <c r="F1292" t="s">
        <v>3037</v>
      </c>
      <c r="G1292">
        <v>100000</v>
      </c>
      <c r="H1292">
        <v>1987</v>
      </c>
      <c r="I1292" t="s">
        <v>3026</v>
      </c>
      <c r="J1292" t="s">
        <v>58</v>
      </c>
      <c r="K1292" t="s">
        <v>58</v>
      </c>
      <c r="L1292" t="s">
        <v>61</v>
      </c>
      <c r="M1292" t="s">
        <v>58</v>
      </c>
      <c r="Q1292" t="s">
        <v>58</v>
      </c>
      <c r="R1292" s="11" t="str">
        <f>HYPERLINK("\\imagefiles.bcgov\imagery\scanned_maps\moe_terrain_maps\Scanned_T_maps_all\K03\K03-553","\\imagefiles.bcgov\imagery\scanned_maps\moe_terrain_maps\Scanned_T_maps_all\K03\K03-553")</f>
        <v>\\imagefiles.bcgov\imagery\scanned_maps\moe_terrain_maps\Scanned_T_maps_all\K03\K03-553</v>
      </c>
      <c r="S1292" t="s">
        <v>62</v>
      </c>
      <c r="T1292" s="11" t="str">
        <f>HYPERLINK("http://www.env.gov.bc.ca/esd/distdata/ecosystems/TEI_Scanned_Maps/K03/K03-553","http://www.env.gov.bc.ca/esd/distdata/ecosystems/TEI_Scanned_Maps/K03/K03-553")</f>
        <v>http://www.env.gov.bc.ca/esd/distdata/ecosystems/TEI_Scanned_Maps/K03/K03-553</v>
      </c>
      <c r="U1292" t="s">
        <v>2967</v>
      </c>
      <c r="V1292" s="11" t="str">
        <f t="shared" si="26"/>
        <v>http://res.agr.ca/cansis/publications/surveys/bc/</v>
      </c>
      <c r="W1292" t="s">
        <v>2495</v>
      </c>
      <c r="X1292" s="11" t="str">
        <f t="shared" si="30"/>
        <v>http://www.em.gov.bc.ca/mining/geolsurv/terrain&amp;soils/frbcguid.htm</v>
      </c>
      <c r="Y1292" t="s">
        <v>2489</v>
      </c>
      <c r="Z1292" s="11" t="str">
        <f t="shared" si="27"/>
        <v>http://www.em.gov.bc.ca/mining/geolsurv/terrain&amp;soils/frbcguid.htm</v>
      </c>
      <c r="AA1292" t="s">
        <v>2490</v>
      </c>
      <c r="AB1292" s="11" t="str">
        <f t="shared" si="28"/>
        <v>http://res.agr.ca/cansis/publications/surveys/bc/</v>
      </c>
      <c r="AC1292" t="s">
        <v>269</v>
      </c>
      <c r="AD1292" s="11" t="str">
        <f t="shared" si="29"/>
        <v>http://www.library.for.gov.bc.ca/#focus</v>
      </c>
      <c r="AE1292" t="s">
        <v>58</v>
      </c>
      <c r="AG1292" t="s">
        <v>63</v>
      </c>
      <c r="AH1292" s="11" t="str">
        <f t="shared" si="25"/>
        <v>mailto: soilterrain@victoria1.gov.bc.ca</v>
      </c>
    </row>
    <row r="1293" spans="1:34">
      <c r="A1293" t="s">
        <v>3038</v>
      </c>
      <c r="B1293" t="s">
        <v>56</v>
      </c>
      <c r="C1293" s="10" t="s">
        <v>2109</v>
      </c>
      <c r="D1293" t="s">
        <v>58</v>
      </c>
      <c r="E1293" t="s">
        <v>3039</v>
      </c>
      <c r="F1293" t="s">
        <v>3040</v>
      </c>
      <c r="G1293">
        <v>100000</v>
      </c>
      <c r="H1293">
        <v>1988</v>
      </c>
      <c r="I1293" t="s">
        <v>3041</v>
      </c>
      <c r="J1293" t="s">
        <v>58</v>
      </c>
      <c r="K1293" t="s">
        <v>61</v>
      </c>
      <c r="L1293" t="s">
        <v>61</v>
      </c>
      <c r="M1293" t="s">
        <v>58</v>
      </c>
      <c r="Q1293" t="s">
        <v>58</v>
      </c>
      <c r="R1293" s="11" t="str">
        <f>HYPERLINK("\\imagefiles.bcgov\imagery\scanned_maps\moe_terrain_maps\Scanned_T_maps_all\K03\K03-592","\\imagefiles.bcgov\imagery\scanned_maps\moe_terrain_maps\Scanned_T_maps_all\K03\K03-592")</f>
        <v>\\imagefiles.bcgov\imagery\scanned_maps\moe_terrain_maps\Scanned_T_maps_all\K03\K03-592</v>
      </c>
      <c r="S1293" t="s">
        <v>62</v>
      </c>
      <c r="T1293" s="11" t="str">
        <f>HYPERLINK("http://www.env.gov.bc.ca/esd/distdata/ecosystems/TEI_Scanned_Maps/K03/K03-592","http://www.env.gov.bc.ca/esd/distdata/ecosystems/TEI_Scanned_Maps/K03/K03-592")</f>
        <v>http://www.env.gov.bc.ca/esd/distdata/ecosystems/TEI_Scanned_Maps/K03/K03-592</v>
      </c>
      <c r="U1293" t="s">
        <v>2487</v>
      </c>
      <c r="V1293" s="11" t="str">
        <f t="shared" si="26"/>
        <v>http://res.agr.ca/cansis/publications/surveys/bc/</v>
      </c>
      <c r="W1293" t="s">
        <v>2488</v>
      </c>
      <c r="X1293" s="11" t="str">
        <f>HYPERLINK("http://res.agr.ca/cansis/publications/surveys/bc/","http://res.agr.ca/cansis/publications/surveys/bc/")</f>
        <v>http://res.agr.ca/cansis/publications/surveys/bc/</v>
      </c>
      <c r="Y1293" t="s">
        <v>2495</v>
      </c>
      <c r="Z1293" s="11" t="str">
        <f t="shared" si="27"/>
        <v>http://www.em.gov.bc.ca/mining/geolsurv/terrain&amp;soils/frbcguid.htm</v>
      </c>
      <c r="AA1293" t="s">
        <v>2489</v>
      </c>
      <c r="AB1293" s="11" t="str">
        <f>HYPERLINK("http://www.em.gov.bc.ca/mining/geolsurv/terrain&amp;soils/frbcguid.htm","http://www.em.gov.bc.ca/mining/geolsurv/terrain&amp;soils/frbcguid.htm")</f>
        <v>http://www.em.gov.bc.ca/mining/geolsurv/terrain&amp;soils/frbcguid.htm</v>
      </c>
      <c r="AC1293" t="s">
        <v>3042</v>
      </c>
      <c r="AD1293" s="11" t="str">
        <f>HYPERLINK("http://res.agr.ca/cansis/publications/surveys/bc/","http://res.agr.ca/cansis/publications/surveys/bc/")</f>
        <v>http://res.agr.ca/cansis/publications/surveys/bc/</v>
      </c>
      <c r="AE1293" t="s">
        <v>269</v>
      </c>
      <c r="AF1293" s="11" t="str">
        <f>HYPERLINK("http://www.library.for.gov.bc.ca/#focus","http://www.library.for.gov.bc.ca/#focus")</f>
        <v>http://www.library.for.gov.bc.ca/#focus</v>
      </c>
      <c r="AG1293" t="s">
        <v>63</v>
      </c>
      <c r="AH1293" s="11" t="str">
        <f t="shared" si="25"/>
        <v>mailto: soilterrain@victoria1.gov.bc.ca</v>
      </c>
    </row>
    <row r="1294" spans="1:34">
      <c r="A1294" t="s">
        <v>3043</v>
      </c>
      <c r="B1294" t="s">
        <v>56</v>
      </c>
      <c r="C1294" s="10" t="s">
        <v>2115</v>
      </c>
      <c r="D1294" t="s">
        <v>58</v>
      </c>
      <c r="E1294" t="s">
        <v>3039</v>
      </c>
      <c r="F1294" t="s">
        <v>3044</v>
      </c>
      <c r="G1294">
        <v>100000</v>
      </c>
      <c r="H1294">
        <v>1988</v>
      </c>
      <c r="I1294" t="s">
        <v>3041</v>
      </c>
      <c r="J1294" t="s">
        <v>58</v>
      </c>
      <c r="K1294" t="s">
        <v>61</v>
      </c>
      <c r="L1294" t="s">
        <v>61</v>
      </c>
      <c r="M1294" t="s">
        <v>58</v>
      </c>
      <c r="Q1294" t="s">
        <v>58</v>
      </c>
      <c r="R1294" s="11" t="str">
        <f>HYPERLINK("\\imagefiles.bcgov\imagery\scanned_maps\moe_terrain_maps\Scanned_T_maps_all\K03\K03-596","\\imagefiles.bcgov\imagery\scanned_maps\moe_terrain_maps\Scanned_T_maps_all\K03\K03-596")</f>
        <v>\\imagefiles.bcgov\imagery\scanned_maps\moe_terrain_maps\Scanned_T_maps_all\K03\K03-596</v>
      </c>
      <c r="S1294" t="s">
        <v>62</v>
      </c>
      <c r="T1294" s="11" t="str">
        <f>HYPERLINK("http://www.env.gov.bc.ca/esd/distdata/ecosystems/TEI_Scanned_Maps/K03/K03-596","http://www.env.gov.bc.ca/esd/distdata/ecosystems/TEI_Scanned_Maps/K03/K03-596")</f>
        <v>http://www.env.gov.bc.ca/esd/distdata/ecosystems/TEI_Scanned_Maps/K03/K03-596</v>
      </c>
      <c r="U1294" t="s">
        <v>2487</v>
      </c>
      <c r="V1294" s="11" t="str">
        <f t="shared" si="26"/>
        <v>http://res.agr.ca/cansis/publications/surveys/bc/</v>
      </c>
      <c r="W1294" t="s">
        <v>2488</v>
      </c>
      <c r="X1294" s="11" t="str">
        <f>HYPERLINK("http://res.agr.ca/cansis/publications/surveys/bc/","http://res.agr.ca/cansis/publications/surveys/bc/")</f>
        <v>http://res.agr.ca/cansis/publications/surveys/bc/</v>
      </c>
      <c r="Y1294" t="s">
        <v>2495</v>
      </c>
      <c r="Z1294" s="11" t="str">
        <f t="shared" si="27"/>
        <v>http://www.em.gov.bc.ca/mining/geolsurv/terrain&amp;soils/frbcguid.htm</v>
      </c>
      <c r="AA1294" t="s">
        <v>2489</v>
      </c>
      <c r="AB1294" s="11" t="str">
        <f>HYPERLINK("http://www.em.gov.bc.ca/mining/geolsurv/terrain&amp;soils/frbcguid.htm","http://www.em.gov.bc.ca/mining/geolsurv/terrain&amp;soils/frbcguid.htm")</f>
        <v>http://www.em.gov.bc.ca/mining/geolsurv/terrain&amp;soils/frbcguid.htm</v>
      </c>
      <c r="AC1294" t="s">
        <v>3042</v>
      </c>
      <c r="AD1294" s="11" t="str">
        <f>HYPERLINK("http://res.agr.ca/cansis/publications/surveys/bc/","http://res.agr.ca/cansis/publications/surveys/bc/")</f>
        <v>http://res.agr.ca/cansis/publications/surveys/bc/</v>
      </c>
      <c r="AE1294" t="s">
        <v>269</v>
      </c>
      <c r="AF1294" s="11" t="str">
        <f>HYPERLINK("http://www.library.for.gov.bc.ca/#focus","http://www.library.for.gov.bc.ca/#focus")</f>
        <v>http://www.library.for.gov.bc.ca/#focus</v>
      </c>
      <c r="AG1294" t="s">
        <v>63</v>
      </c>
      <c r="AH1294" s="11" t="str">
        <f t="shared" si="25"/>
        <v>mailto: soilterrain@victoria1.gov.bc.ca</v>
      </c>
    </row>
    <row r="1295" spans="1:34">
      <c r="A1295" t="s">
        <v>3045</v>
      </c>
      <c r="B1295" t="s">
        <v>56</v>
      </c>
      <c r="C1295" s="10" t="s">
        <v>2112</v>
      </c>
      <c r="D1295" t="s">
        <v>58</v>
      </c>
      <c r="E1295" t="s">
        <v>3039</v>
      </c>
      <c r="F1295" t="s">
        <v>3046</v>
      </c>
      <c r="G1295">
        <v>100000</v>
      </c>
      <c r="H1295" t="s">
        <v>187</v>
      </c>
      <c r="I1295" t="s">
        <v>3041</v>
      </c>
      <c r="J1295" t="s">
        <v>58</v>
      </c>
      <c r="K1295" t="s">
        <v>61</v>
      </c>
      <c r="L1295" t="s">
        <v>61</v>
      </c>
      <c r="M1295" t="s">
        <v>58</v>
      </c>
      <c r="Q1295" t="s">
        <v>58</v>
      </c>
      <c r="R1295" s="11" t="str">
        <f>HYPERLINK("\\imagefiles.bcgov\imagery\scanned_maps\moe_terrain_maps\Scanned_T_maps_all\K03\K03-599","\\imagefiles.bcgov\imagery\scanned_maps\moe_terrain_maps\Scanned_T_maps_all\K03\K03-599")</f>
        <v>\\imagefiles.bcgov\imagery\scanned_maps\moe_terrain_maps\Scanned_T_maps_all\K03\K03-599</v>
      </c>
      <c r="S1295" t="s">
        <v>62</v>
      </c>
      <c r="T1295" s="11" t="str">
        <f>HYPERLINK("http://www.env.gov.bc.ca/esd/distdata/ecosystems/TEI_Scanned_Maps/K03/K03-599","http://www.env.gov.bc.ca/esd/distdata/ecosystems/TEI_Scanned_Maps/K03/K03-599")</f>
        <v>http://www.env.gov.bc.ca/esd/distdata/ecosystems/TEI_Scanned_Maps/K03/K03-599</v>
      </c>
      <c r="U1295" t="s">
        <v>2487</v>
      </c>
      <c r="V1295" s="11" t="str">
        <f t="shared" si="26"/>
        <v>http://res.agr.ca/cansis/publications/surveys/bc/</v>
      </c>
      <c r="W1295" t="s">
        <v>2488</v>
      </c>
      <c r="X1295" s="11" t="str">
        <f>HYPERLINK("http://res.agr.ca/cansis/publications/surveys/bc/","http://res.agr.ca/cansis/publications/surveys/bc/")</f>
        <v>http://res.agr.ca/cansis/publications/surveys/bc/</v>
      </c>
      <c r="Y1295" t="s">
        <v>2495</v>
      </c>
      <c r="Z1295" s="11" t="str">
        <f t="shared" si="27"/>
        <v>http://www.em.gov.bc.ca/mining/geolsurv/terrain&amp;soils/frbcguid.htm</v>
      </c>
      <c r="AA1295" t="s">
        <v>2489</v>
      </c>
      <c r="AB1295" s="11" t="str">
        <f>HYPERLINK("http://www.em.gov.bc.ca/mining/geolsurv/terrain&amp;soils/frbcguid.htm","http://www.em.gov.bc.ca/mining/geolsurv/terrain&amp;soils/frbcguid.htm")</f>
        <v>http://www.em.gov.bc.ca/mining/geolsurv/terrain&amp;soils/frbcguid.htm</v>
      </c>
      <c r="AC1295" t="s">
        <v>3042</v>
      </c>
      <c r="AD1295" s="11" t="str">
        <f>HYPERLINK("http://res.agr.ca/cansis/publications/surveys/bc/","http://res.agr.ca/cansis/publications/surveys/bc/")</f>
        <v>http://res.agr.ca/cansis/publications/surveys/bc/</v>
      </c>
      <c r="AE1295" t="s">
        <v>269</v>
      </c>
      <c r="AF1295" s="11" t="str">
        <f>HYPERLINK("http://www.library.for.gov.bc.ca/#focus","http://www.library.for.gov.bc.ca/#focus")</f>
        <v>http://www.library.for.gov.bc.ca/#focus</v>
      </c>
      <c r="AG1295" t="s">
        <v>63</v>
      </c>
      <c r="AH1295" s="11" t="str">
        <f t="shared" si="25"/>
        <v>mailto: soilterrain@victoria1.gov.bc.ca</v>
      </c>
    </row>
    <row r="1296" spans="1:34">
      <c r="A1296" t="s">
        <v>3047</v>
      </c>
      <c r="B1296" t="s">
        <v>56</v>
      </c>
      <c r="C1296" s="10" t="s">
        <v>2118</v>
      </c>
      <c r="D1296" t="s">
        <v>58</v>
      </c>
      <c r="E1296" t="s">
        <v>3039</v>
      </c>
      <c r="F1296" t="s">
        <v>3048</v>
      </c>
      <c r="G1296">
        <v>100000</v>
      </c>
      <c r="H1296">
        <v>1988</v>
      </c>
      <c r="I1296" t="s">
        <v>3041</v>
      </c>
      <c r="J1296" t="s">
        <v>58</v>
      </c>
      <c r="K1296" t="s">
        <v>61</v>
      </c>
      <c r="L1296" t="s">
        <v>61</v>
      </c>
      <c r="M1296" t="s">
        <v>58</v>
      </c>
      <c r="Q1296" t="s">
        <v>58</v>
      </c>
      <c r="R1296" s="11" t="str">
        <f>HYPERLINK("\\imagefiles.bcgov\imagery\scanned_maps\moe_terrain_maps\Scanned_T_maps_all\K03\K03-603","\\imagefiles.bcgov\imagery\scanned_maps\moe_terrain_maps\Scanned_T_maps_all\K03\K03-603")</f>
        <v>\\imagefiles.bcgov\imagery\scanned_maps\moe_terrain_maps\Scanned_T_maps_all\K03\K03-603</v>
      </c>
      <c r="S1296" t="s">
        <v>62</v>
      </c>
      <c r="T1296" s="11" t="str">
        <f>HYPERLINK("http://www.env.gov.bc.ca/esd/distdata/ecosystems/TEI_Scanned_Maps/K03/K03-603","http://www.env.gov.bc.ca/esd/distdata/ecosystems/TEI_Scanned_Maps/K03/K03-603")</f>
        <v>http://www.env.gov.bc.ca/esd/distdata/ecosystems/TEI_Scanned_Maps/K03/K03-603</v>
      </c>
      <c r="U1296" t="s">
        <v>2487</v>
      </c>
      <c r="V1296" s="11" t="str">
        <f t="shared" si="26"/>
        <v>http://res.agr.ca/cansis/publications/surveys/bc/</v>
      </c>
      <c r="W1296" t="s">
        <v>2488</v>
      </c>
      <c r="X1296" s="11" t="str">
        <f>HYPERLINK("http://res.agr.ca/cansis/publications/surveys/bc/","http://res.agr.ca/cansis/publications/surveys/bc/")</f>
        <v>http://res.agr.ca/cansis/publications/surveys/bc/</v>
      </c>
      <c r="Y1296" t="s">
        <v>2495</v>
      </c>
      <c r="Z1296" s="11" t="str">
        <f t="shared" si="27"/>
        <v>http://www.em.gov.bc.ca/mining/geolsurv/terrain&amp;soils/frbcguid.htm</v>
      </c>
      <c r="AA1296" t="s">
        <v>2490</v>
      </c>
      <c r="AB1296" s="11" t="str">
        <f>HYPERLINK("http://res.agr.ca/cansis/publications/surveys/bc/","http://res.agr.ca/cansis/publications/surveys/bc/")</f>
        <v>http://res.agr.ca/cansis/publications/surveys/bc/</v>
      </c>
      <c r="AC1296" t="s">
        <v>269</v>
      </c>
      <c r="AD1296" s="11" t="str">
        <f>HYPERLINK("http://www.library.for.gov.bc.ca/#focus","http://www.library.for.gov.bc.ca/#focus")</f>
        <v>http://www.library.for.gov.bc.ca/#focus</v>
      </c>
      <c r="AE1296" t="s">
        <v>58</v>
      </c>
      <c r="AG1296" t="s">
        <v>63</v>
      </c>
      <c r="AH1296" s="11" t="str">
        <f t="shared" si="25"/>
        <v>mailto: soilterrain@victoria1.gov.bc.ca</v>
      </c>
    </row>
    <row r="1297" spans="1:34">
      <c r="A1297" t="s">
        <v>3049</v>
      </c>
      <c r="B1297" t="s">
        <v>56</v>
      </c>
      <c r="C1297" s="10" t="s">
        <v>2157</v>
      </c>
      <c r="D1297" t="s">
        <v>58</v>
      </c>
      <c r="E1297" t="s">
        <v>3050</v>
      </c>
      <c r="F1297" t="s">
        <v>3051</v>
      </c>
      <c r="G1297">
        <v>100000</v>
      </c>
      <c r="H1297">
        <v>1989</v>
      </c>
      <c r="I1297" t="s">
        <v>3052</v>
      </c>
      <c r="J1297" t="s">
        <v>58</v>
      </c>
      <c r="K1297" t="s">
        <v>61</v>
      </c>
      <c r="L1297" t="s">
        <v>61</v>
      </c>
      <c r="M1297" t="s">
        <v>58</v>
      </c>
      <c r="Q1297" t="s">
        <v>58</v>
      </c>
      <c r="R1297" s="11" t="str">
        <f>HYPERLINK("\\imagefiles.bcgov\imagery\scanned_maps\moe_terrain_maps\Scanned_T_maps_all\K03\K03-842","\\imagefiles.bcgov\imagery\scanned_maps\moe_terrain_maps\Scanned_T_maps_all\K03\K03-842")</f>
        <v>\\imagefiles.bcgov\imagery\scanned_maps\moe_terrain_maps\Scanned_T_maps_all\K03\K03-842</v>
      </c>
      <c r="S1297" t="s">
        <v>62</v>
      </c>
      <c r="T1297" s="11" t="str">
        <f>HYPERLINK("http://www.env.gov.bc.ca/esd/distdata/ecosystems/TEI_Scanned_Maps/K03/K03-842","http://www.env.gov.bc.ca/esd/distdata/ecosystems/TEI_Scanned_Maps/K03/K03-842")</f>
        <v>http://www.env.gov.bc.ca/esd/distdata/ecosystems/TEI_Scanned_Maps/K03/K03-842</v>
      </c>
      <c r="U1297" t="s">
        <v>269</v>
      </c>
      <c r="V1297" s="11" t="str">
        <f>HYPERLINK("http://www.library.for.gov.bc.ca/#focus","http://www.library.for.gov.bc.ca/#focus")</f>
        <v>http://www.library.for.gov.bc.ca/#focus</v>
      </c>
      <c r="W1297" t="s">
        <v>3053</v>
      </c>
      <c r="X1297" s="11" t="str">
        <f>HYPERLINK("http://www.prsss.ca/","http://www.prsss.ca/")</f>
        <v>http://www.prsss.ca/</v>
      </c>
      <c r="Y1297" t="s">
        <v>58</v>
      </c>
      <c r="Z1297" t="s">
        <v>58</v>
      </c>
      <c r="AA1297" t="s">
        <v>58</v>
      </c>
      <c r="AC1297" t="s">
        <v>58</v>
      </c>
      <c r="AE1297" t="s">
        <v>58</v>
      </c>
      <c r="AG1297" t="s">
        <v>63</v>
      </c>
      <c r="AH1297" s="11" t="str">
        <f t="shared" si="25"/>
        <v>mailto: soilterrain@victoria1.gov.bc.ca</v>
      </c>
    </row>
    <row r="1298" spans="1:34">
      <c r="A1298" t="s">
        <v>3054</v>
      </c>
      <c r="B1298" t="s">
        <v>56</v>
      </c>
      <c r="C1298" s="10" t="s">
        <v>2161</v>
      </c>
      <c r="D1298" t="s">
        <v>58</v>
      </c>
      <c r="E1298" t="s">
        <v>3050</v>
      </c>
      <c r="F1298" t="s">
        <v>3051</v>
      </c>
      <c r="G1298">
        <v>100000</v>
      </c>
      <c r="H1298">
        <v>1975</v>
      </c>
      <c r="I1298" t="s">
        <v>3052</v>
      </c>
      <c r="J1298" t="s">
        <v>58</v>
      </c>
      <c r="K1298" t="s">
        <v>61</v>
      </c>
      <c r="L1298" t="s">
        <v>61</v>
      </c>
      <c r="M1298" t="s">
        <v>58</v>
      </c>
      <c r="Q1298" t="s">
        <v>58</v>
      </c>
      <c r="R1298" s="11" t="str">
        <f>HYPERLINK("\\imagefiles.bcgov\imagery\scanned_maps\moe_terrain_maps\Scanned_T_maps_all\K03\K03-852","\\imagefiles.bcgov\imagery\scanned_maps\moe_terrain_maps\Scanned_T_maps_all\K03\K03-852")</f>
        <v>\\imagefiles.bcgov\imagery\scanned_maps\moe_terrain_maps\Scanned_T_maps_all\K03\K03-852</v>
      </c>
      <c r="S1298" t="s">
        <v>62</v>
      </c>
      <c r="T1298" s="11" t="str">
        <f>HYPERLINK("http://www.env.gov.bc.ca/esd/distdata/ecosystems/TEI_Scanned_Maps/K03/K03-852","http://www.env.gov.bc.ca/esd/distdata/ecosystems/TEI_Scanned_Maps/K03/K03-852")</f>
        <v>http://www.env.gov.bc.ca/esd/distdata/ecosystems/TEI_Scanned_Maps/K03/K03-852</v>
      </c>
      <c r="U1298" t="s">
        <v>269</v>
      </c>
      <c r="V1298" s="11" t="str">
        <f>HYPERLINK("http://www.library.for.gov.bc.ca/#focus","http://www.library.for.gov.bc.ca/#focus")</f>
        <v>http://www.library.for.gov.bc.ca/#focus</v>
      </c>
      <c r="W1298" t="s">
        <v>3053</v>
      </c>
      <c r="X1298" s="11" t="str">
        <f>HYPERLINK("http://www.prsss.ca/","http://www.prsss.ca/")</f>
        <v>http://www.prsss.ca/</v>
      </c>
      <c r="Y1298" t="s">
        <v>58</v>
      </c>
      <c r="Z1298" t="s">
        <v>58</v>
      </c>
      <c r="AA1298" t="s">
        <v>58</v>
      </c>
      <c r="AC1298" t="s">
        <v>58</v>
      </c>
      <c r="AE1298" t="s">
        <v>58</v>
      </c>
      <c r="AG1298" t="s">
        <v>63</v>
      </c>
      <c r="AH1298" s="11" t="str">
        <f t="shared" si="25"/>
        <v>mailto: soilterrain@victoria1.gov.bc.ca</v>
      </c>
    </row>
    <row r="1299" spans="1:34">
      <c r="A1299" t="s">
        <v>3055</v>
      </c>
      <c r="B1299" t="s">
        <v>56</v>
      </c>
      <c r="C1299" s="10" t="s">
        <v>2166</v>
      </c>
      <c r="D1299" t="s">
        <v>58</v>
      </c>
      <c r="E1299" t="s">
        <v>3050</v>
      </c>
      <c r="F1299" t="s">
        <v>3051</v>
      </c>
      <c r="G1299">
        <v>100000</v>
      </c>
      <c r="H1299">
        <v>1986</v>
      </c>
      <c r="I1299" t="s">
        <v>3052</v>
      </c>
      <c r="J1299" t="s">
        <v>58</v>
      </c>
      <c r="K1299" t="s">
        <v>61</v>
      </c>
      <c r="L1299" t="s">
        <v>61</v>
      </c>
      <c r="M1299" t="s">
        <v>58</v>
      </c>
      <c r="Q1299" t="s">
        <v>58</v>
      </c>
      <c r="R1299" s="11" t="str">
        <f>HYPERLINK("\\imagefiles.bcgov\imagery\scanned_maps\moe_terrain_maps\Scanned_T_maps_all\K03\K03-857","\\imagefiles.bcgov\imagery\scanned_maps\moe_terrain_maps\Scanned_T_maps_all\K03\K03-857")</f>
        <v>\\imagefiles.bcgov\imagery\scanned_maps\moe_terrain_maps\Scanned_T_maps_all\K03\K03-857</v>
      </c>
      <c r="S1299" t="s">
        <v>62</v>
      </c>
      <c r="T1299" s="11" t="str">
        <f>HYPERLINK("http://www.env.gov.bc.ca/esd/distdata/ecosystems/TEI_Scanned_Maps/K03/K03-857","http://www.env.gov.bc.ca/esd/distdata/ecosystems/TEI_Scanned_Maps/K03/K03-857")</f>
        <v>http://www.env.gov.bc.ca/esd/distdata/ecosystems/TEI_Scanned_Maps/K03/K03-857</v>
      </c>
      <c r="U1299" t="s">
        <v>269</v>
      </c>
      <c r="V1299" s="11" t="str">
        <f>HYPERLINK("http://www.library.for.gov.bc.ca/#focus","http://www.library.for.gov.bc.ca/#focus")</f>
        <v>http://www.library.for.gov.bc.ca/#focus</v>
      </c>
      <c r="W1299" t="s">
        <v>3053</v>
      </c>
      <c r="X1299" s="11" t="str">
        <f>HYPERLINK("http://www.prsss.ca/","http://www.prsss.ca/")</f>
        <v>http://www.prsss.ca/</v>
      </c>
      <c r="Y1299" t="s">
        <v>58</v>
      </c>
      <c r="Z1299" t="s">
        <v>58</v>
      </c>
      <c r="AA1299" t="s">
        <v>58</v>
      </c>
      <c r="AC1299" t="s">
        <v>58</v>
      </c>
      <c r="AE1299" t="s">
        <v>58</v>
      </c>
      <c r="AG1299" t="s">
        <v>63</v>
      </c>
      <c r="AH1299" s="11" t="str">
        <f t="shared" si="25"/>
        <v>mailto: soilterrain@victoria1.gov.bc.ca</v>
      </c>
    </row>
    <row r="1300" spans="1:34">
      <c r="A1300" t="s">
        <v>3056</v>
      </c>
      <c r="B1300" t="s">
        <v>56</v>
      </c>
      <c r="C1300" s="10" t="s">
        <v>2171</v>
      </c>
      <c r="D1300" t="s">
        <v>58</v>
      </c>
      <c r="E1300" t="s">
        <v>3050</v>
      </c>
      <c r="F1300" t="s">
        <v>3051</v>
      </c>
      <c r="G1300">
        <v>100000</v>
      </c>
      <c r="H1300">
        <v>1978</v>
      </c>
      <c r="I1300" t="s">
        <v>3052</v>
      </c>
      <c r="J1300" t="s">
        <v>58</v>
      </c>
      <c r="K1300" t="s">
        <v>61</v>
      </c>
      <c r="L1300" t="s">
        <v>61</v>
      </c>
      <c r="M1300" t="s">
        <v>58</v>
      </c>
      <c r="Q1300" t="s">
        <v>58</v>
      </c>
      <c r="R1300" s="11" t="str">
        <f>HYPERLINK("\\imagefiles.bcgov\imagery\scanned_maps\moe_terrain_maps\Scanned_T_maps_all\K03\K03-867","\\imagefiles.bcgov\imagery\scanned_maps\moe_terrain_maps\Scanned_T_maps_all\K03\K03-867")</f>
        <v>\\imagefiles.bcgov\imagery\scanned_maps\moe_terrain_maps\Scanned_T_maps_all\K03\K03-867</v>
      </c>
      <c r="S1300" t="s">
        <v>62</v>
      </c>
      <c r="T1300" s="11" t="str">
        <f>HYPERLINK("http://www.env.gov.bc.ca/esd/distdata/ecosystems/TEI_Scanned_Maps/K03/K03-867","http://www.env.gov.bc.ca/esd/distdata/ecosystems/TEI_Scanned_Maps/K03/K03-867")</f>
        <v>http://www.env.gov.bc.ca/esd/distdata/ecosystems/TEI_Scanned_Maps/K03/K03-867</v>
      </c>
      <c r="U1300" t="s">
        <v>269</v>
      </c>
      <c r="V1300" s="11" t="str">
        <f>HYPERLINK("http://www.library.for.gov.bc.ca/#focus","http://www.library.for.gov.bc.ca/#focus")</f>
        <v>http://www.library.for.gov.bc.ca/#focus</v>
      </c>
      <c r="W1300" t="s">
        <v>3053</v>
      </c>
      <c r="X1300" s="11" t="str">
        <f>HYPERLINK("http://www.prsss.ca/","http://www.prsss.ca/")</f>
        <v>http://www.prsss.ca/</v>
      </c>
      <c r="Y1300" t="s">
        <v>58</v>
      </c>
      <c r="Z1300" t="s">
        <v>58</v>
      </c>
      <c r="AA1300" t="s">
        <v>58</v>
      </c>
      <c r="AC1300" t="s">
        <v>58</v>
      </c>
      <c r="AE1300" t="s">
        <v>58</v>
      </c>
      <c r="AG1300" t="s">
        <v>63</v>
      </c>
      <c r="AH1300" s="11" t="str">
        <f t="shared" si="25"/>
        <v>mailto: soilterrain@victoria1.gov.bc.ca</v>
      </c>
    </row>
    <row r="1301" spans="1:34">
      <c r="A1301" t="s">
        <v>3057</v>
      </c>
      <c r="B1301" t="s">
        <v>56</v>
      </c>
      <c r="C1301" s="10" t="s">
        <v>2077</v>
      </c>
      <c r="D1301" t="s">
        <v>58</v>
      </c>
      <c r="E1301" t="s">
        <v>3058</v>
      </c>
      <c r="F1301" t="s">
        <v>3059</v>
      </c>
      <c r="G1301">
        <v>100000</v>
      </c>
      <c r="H1301">
        <v>1986</v>
      </c>
      <c r="I1301" t="s">
        <v>3060</v>
      </c>
      <c r="J1301" t="s">
        <v>58</v>
      </c>
      <c r="K1301" t="s">
        <v>58</v>
      </c>
      <c r="L1301" t="s">
        <v>61</v>
      </c>
      <c r="M1301" t="s">
        <v>58</v>
      </c>
      <c r="Q1301" t="s">
        <v>58</v>
      </c>
      <c r="R1301" s="11" t="str">
        <f>HYPERLINK("\\imagefiles.bcgov\imagery\scanned_maps\moe_terrain_maps\Scanned_T_maps_all\K04\K04-1075","\\imagefiles.bcgov\imagery\scanned_maps\moe_terrain_maps\Scanned_T_maps_all\K04\K04-1075")</f>
        <v>\\imagefiles.bcgov\imagery\scanned_maps\moe_terrain_maps\Scanned_T_maps_all\K04\K04-1075</v>
      </c>
      <c r="S1301" t="s">
        <v>62</v>
      </c>
      <c r="T1301" s="11" t="str">
        <f>HYPERLINK("http://www.env.gov.bc.ca/esd/distdata/ecosystems/TEI_Scanned_Maps/K04/K04-1075","http://www.env.gov.bc.ca/esd/distdata/ecosystems/TEI_Scanned_Maps/K04/K04-1075")</f>
        <v>http://www.env.gov.bc.ca/esd/distdata/ecosystems/TEI_Scanned_Maps/K04/K04-1075</v>
      </c>
      <c r="U1301" t="s">
        <v>2487</v>
      </c>
      <c r="V1301" s="11" t="str">
        <f t="shared" ref="V1301:V1308" si="31">HYPERLINK("http://res.agr.ca/cansis/publications/surveys/bc/","http://res.agr.ca/cansis/publications/surveys/bc/")</f>
        <v>http://res.agr.ca/cansis/publications/surveys/bc/</v>
      </c>
      <c r="W1301" t="s">
        <v>2495</v>
      </c>
      <c r="X1301" s="11" t="str">
        <f t="shared" ref="X1301:X1317" si="32">HYPERLINK("http://www.em.gov.bc.ca/mining/geolsurv/terrain&amp;soils/frbcguid.htm","http://www.em.gov.bc.ca/mining/geolsurv/terrain&amp;soils/frbcguid.htm")</f>
        <v>http://www.em.gov.bc.ca/mining/geolsurv/terrain&amp;soils/frbcguid.htm</v>
      </c>
      <c r="Y1301" t="s">
        <v>2489</v>
      </c>
      <c r="Z1301" s="11" t="str">
        <f t="shared" ref="Z1301:Z1308" si="33">HYPERLINK("http://www.em.gov.bc.ca/mining/geolsurv/terrain&amp;soils/frbcguid.htm","http://www.em.gov.bc.ca/mining/geolsurv/terrain&amp;soils/frbcguid.htm")</f>
        <v>http://www.em.gov.bc.ca/mining/geolsurv/terrain&amp;soils/frbcguid.htm</v>
      </c>
      <c r="AA1301" t="s">
        <v>269</v>
      </c>
      <c r="AB1301" s="11" t="str">
        <f t="shared" ref="AB1301:AB1312" si="34">HYPERLINK("http://www.library.for.gov.bc.ca/#focus","http://www.library.for.gov.bc.ca/#focus")</f>
        <v>http://www.library.for.gov.bc.ca/#focus</v>
      </c>
      <c r="AC1301" t="s">
        <v>2500</v>
      </c>
      <c r="AD1301" s="11" t="str">
        <f t="shared" ref="AD1301:AD1312" si="35">HYPERLINK("http://www.crownpub.bc.ca/","http://www.crownpub.bc.ca/")</f>
        <v>http://www.crownpub.bc.ca/</v>
      </c>
      <c r="AE1301" t="s">
        <v>58</v>
      </c>
      <c r="AG1301" t="s">
        <v>63</v>
      </c>
      <c r="AH1301" s="11" t="str">
        <f t="shared" si="25"/>
        <v>mailto: soilterrain@victoria1.gov.bc.ca</v>
      </c>
    </row>
    <row r="1302" spans="1:34">
      <c r="A1302" t="s">
        <v>3061</v>
      </c>
      <c r="B1302" t="s">
        <v>56</v>
      </c>
      <c r="C1302" s="10" t="s">
        <v>3062</v>
      </c>
      <c r="D1302" t="s">
        <v>58</v>
      </c>
      <c r="E1302" t="s">
        <v>3063</v>
      </c>
      <c r="F1302" t="s">
        <v>3064</v>
      </c>
      <c r="G1302">
        <v>100000</v>
      </c>
      <c r="H1302" t="s">
        <v>3065</v>
      </c>
      <c r="I1302" t="s">
        <v>3060</v>
      </c>
      <c r="J1302" t="s">
        <v>58</v>
      </c>
      <c r="K1302" t="s">
        <v>58</v>
      </c>
      <c r="L1302" t="s">
        <v>61</v>
      </c>
      <c r="M1302" t="s">
        <v>58</v>
      </c>
      <c r="Q1302" t="s">
        <v>58</v>
      </c>
      <c r="R1302" s="11" t="str">
        <f>HYPERLINK("\\imagefiles.bcgov\imagery\scanned_maps\moe_terrain_maps\Scanned_T_maps_all\K04\K04-1076","\\imagefiles.bcgov\imagery\scanned_maps\moe_terrain_maps\Scanned_T_maps_all\K04\K04-1076")</f>
        <v>\\imagefiles.bcgov\imagery\scanned_maps\moe_terrain_maps\Scanned_T_maps_all\K04\K04-1076</v>
      </c>
      <c r="S1302" t="s">
        <v>62</v>
      </c>
      <c r="T1302" s="11" t="str">
        <f>HYPERLINK("http://www.env.gov.bc.ca/esd/distdata/ecosystems/TEI_Scanned_Maps/K04/K04-1076","http://www.env.gov.bc.ca/esd/distdata/ecosystems/TEI_Scanned_Maps/K04/K04-1076")</f>
        <v>http://www.env.gov.bc.ca/esd/distdata/ecosystems/TEI_Scanned_Maps/K04/K04-1076</v>
      </c>
      <c r="U1302" t="s">
        <v>2487</v>
      </c>
      <c r="V1302" s="11" t="str">
        <f t="shared" si="31"/>
        <v>http://res.agr.ca/cansis/publications/surveys/bc/</v>
      </c>
      <c r="W1302" t="s">
        <v>2495</v>
      </c>
      <c r="X1302" s="11" t="str">
        <f t="shared" si="32"/>
        <v>http://www.em.gov.bc.ca/mining/geolsurv/terrain&amp;soils/frbcguid.htm</v>
      </c>
      <c r="Y1302" t="s">
        <v>2489</v>
      </c>
      <c r="Z1302" s="11" t="str">
        <f t="shared" si="33"/>
        <v>http://www.em.gov.bc.ca/mining/geolsurv/terrain&amp;soils/frbcguid.htm</v>
      </c>
      <c r="AA1302" t="s">
        <v>269</v>
      </c>
      <c r="AB1302" s="11" t="str">
        <f t="shared" si="34"/>
        <v>http://www.library.for.gov.bc.ca/#focus</v>
      </c>
      <c r="AC1302" t="s">
        <v>2500</v>
      </c>
      <c r="AD1302" s="11" t="str">
        <f t="shared" si="35"/>
        <v>http://www.crownpub.bc.ca/</v>
      </c>
      <c r="AE1302" t="s">
        <v>58</v>
      </c>
      <c r="AG1302" t="s">
        <v>63</v>
      </c>
      <c r="AH1302" s="11" t="str">
        <f t="shared" si="25"/>
        <v>mailto: soilterrain@victoria1.gov.bc.ca</v>
      </c>
    </row>
    <row r="1303" spans="1:34">
      <c r="A1303" t="s">
        <v>3066</v>
      </c>
      <c r="B1303" t="s">
        <v>56</v>
      </c>
      <c r="C1303" s="10" t="s">
        <v>3067</v>
      </c>
      <c r="D1303" t="s">
        <v>58</v>
      </c>
      <c r="E1303" t="s">
        <v>3063</v>
      </c>
      <c r="F1303" t="s">
        <v>3068</v>
      </c>
      <c r="G1303">
        <v>100000</v>
      </c>
      <c r="H1303">
        <v>1986</v>
      </c>
      <c r="I1303" t="s">
        <v>3060</v>
      </c>
      <c r="J1303" t="s">
        <v>58</v>
      </c>
      <c r="K1303" t="s">
        <v>58</v>
      </c>
      <c r="L1303" t="s">
        <v>61</v>
      </c>
      <c r="M1303" t="s">
        <v>58</v>
      </c>
      <c r="Q1303" t="s">
        <v>58</v>
      </c>
      <c r="R1303" s="11" t="str">
        <f>HYPERLINK("\\imagefiles.bcgov\imagery\scanned_maps\moe_terrain_maps\Scanned_T_maps_all\K04\K04-1098","\\imagefiles.bcgov\imagery\scanned_maps\moe_terrain_maps\Scanned_T_maps_all\K04\K04-1098")</f>
        <v>\\imagefiles.bcgov\imagery\scanned_maps\moe_terrain_maps\Scanned_T_maps_all\K04\K04-1098</v>
      </c>
      <c r="S1303" t="s">
        <v>62</v>
      </c>
      <c r="T1303" s="11" t="str">
        <f>HYPERLINK("http://www.env.gov.bc.ca/esd/distdata/ecosystems/TEI_Scanned_Maps/K04/K04-1098","http://www.env.gov.bc.ca/esd/distdata/ecosystems/TEI_Scanned_Maps/K04/K04-1098")</f>
        <v>http://www.env.gov.bc.ca/esd/distdata/ecosystems/TEI_Scanned_Maps/K04/K04-1098</v>
      </c>
      <c r="U1303" t="s">
        <v>2487</v>
      </c>
      <c r="V1303" s="11" t="str">
        <f t="shared" si="31"/>
        <v>http://res.agr.ca/cansis/publications/surveys/bc/</v>
      </c>
      <c r="W1303" t="s">
        <v>2495</v>
      </c>
      <c r="X1303" s="11" t="str">
        <f t="shared" si="32"/>
        <v>http://www.em.gov.bc.ca/mining/geolsurv/terrain&amp;soils/frbcguid.htm</v>
      </c>
      <c r="Y1303" t="s">
        <v>2489</v>
      </c>
      <c r="Z1303" s="11" t="str">
        <f t="shared" si="33"/>
        <v>http://www.em.gov.bc.ca/mining/geolsurv/terrain&amp;soils/frbcguid.htm</v>
      </c>
      <c r="AA1303" t="s">
        <v>269</v>
      </c>
      <c r="AB1303" s="11" t="str">
        <f t="shared" si="34"/>
        <v>http://www.library.for.gov.bc.ca/#focus</v>
      </c>
      <c r="AC1303" t="s">
        <v>2500</v>
      </c>
      <c r="AD1303" s="11" t="str">
        <f t="shared" si="35"/>
        <v>http://www.crownpub.bc.ca/</v>
      </c>
      <c r="AE1303" t="s">
        <v>58</v>
      </c>
      <c r="AG1303" t="s">
        <v>63</v>
      </c>
      <c r="AH1303" s="11" t="str">
        <f t="shared" si="25"/>
        <v>mailto: soilterrain@victoria1.gov.bc.ca</v>
      </c>
    </row>
    <row r="1304" spans="1:34">
      <c r="A1304" t="s">
        <v>3069</v>
      </c>
      <c r="B1304" t="s">
        <v>56</v>
      </c>
      <c r="C1304" s="10" t="s">
        <v>3070</v>
      </c>
      <c r="D1304" t="s">
        <v>58</v>
      </c>
      <c r="E1304" t="s">
        <v>3063</v>
      </c>
      <c r="F1304" t="s">
        <v>3071</v>
      </c>
      <c r="G1304">
        <v>100000</v>
      </c>
      <c r="H1304">
        <v>1974</v>
      </c>
      <c r="I1304" t="s">
        <v>3060</v>
      </c>
      <c r="J1304" t="s">
        <v>58</v>
      </c>
      <c r="K1304" t="s">
        <v>58</v>
      </c>
      <c r="L1304" t="s">
        <v>61</v>
      </c>
      <c r="M1304" t="s">
        <v>58</v>
      </c>
      <c r="Q1304" t="s">
        <v>58</v>
      </c>
      <c r="R1304" s="11" t="str">
        <f>HYPERLINK("\\imagefiles.bcgov\imagery\scanned_maps\moe_terrain_maps\Scanned_T_maps_all\K04\K04-1100","\\imagefiles.bcgov\imagery\scanned_maps\moe_terrain_maps\Scanned_T_maps_all\K04\K04-1100")</f>
        <v>\\imagefiles.bcgov\imagery\scanned_maps\moe_terrain_maps\Scanned_T_maps_all\K04\K04-1100</v>
      </c>
      <c r="S1304" t="s">
        <v>62</v>
      </c>
      <c r="T1304" s="11" t="str">
        <f>HYPERLINK("http://www.env.gov.bc.ca/esd/distdata/ecosystems/TEI_Scanned_Maps/K04/K04-1100","http://www.env.gov.bc.ca/esd/distdata/ecosystems/TEI_Scanned_Maps/K04/K04-1100")</f>
        <v>http://www.env.gov.bc.ca/esd/distdata/ecosystems/TEI_Scanned_Maps/K04/K04-1100</v>
      </c>
      <c r="U1304" t="s">
        <v>2487</v>
      </c>
      <c r="V1304" s="11" t="str">
        <f t="shared" si="31"/>
        <v>http://res.agr.ca/cansis/publications/surveys/bc/</v>
      </c>
      <c r="W1304" t="s">
        <v>2495</v>
      </c>
      <c r="X1304" s="11" t="str">
        <f t="shared" si="32"/>
        <v>http://www.em.gov.bc.ca/mining/geolsurv/terrain&amp;soils/frbcguid.htm</v>
      </c>
      <c r="Y1304" t="s">
        <v>2489</v>
      </c>
      <c r="Z1304" s="11" t="str">
        <f t="shared" si="33"/>
        <v>http://www.em.gov.bc.ca/mining/geolsurv/terrain&amp;soils/frbcguid.htm</v>
      </c>
      <c r="AA1304" t="s">
        <v>269</v>
      </c>
      <c r="AB1304" s="11" t="str">
        <f t="shared" si="34"/>
        <v>http://www.library.for.gov.bc.ca/#focus</v>
      </c>
      <c r="AC1304" t="s">
        <v>2500</v>
      </c>
      <c r="AD1304" s="11" t="str">
        <f t="shared" si="35"/>
        <v>http://www.crownpub.bc.ca/</v>
      </c>
      <c r="AE1304" t="s">
        <v>58</v>
      </c>
      <c r="AG1304" t="s">
        <v>63</v>
      </c>
      <c r="AH1304" s="11" t="str">
        <f t="shared" si="25"/>
        <v>mailto: soilterrain@victoria1.gov.bc.ca</v>
      </c>
    </row>
    <row r="1305" spans="1:34">
      <c r="A1305" t="s">
        <v>3072</v>
      </c>
      <c r="B1305" t="s">
        <v>56</v>
      </c>
      <c r="C1305" s="10" t="s">
        <v>1878</v>
      </c>
      <c r="D1305" t="s">
        <v>58</v>
      </c>
      <c r="E1305" t="s">
        <v>3058</v>
      </c>
      <c r="F1305" t="s">
        <v>3073</v>
      </c>
      <c r="G1305">
        <v>100000</v>
      </c>
      <c r="H1305">
        <v>1974</v>
      </c>
      <c r="I1305" t="s">
        <v>3060</v>
      </c>
      <c r="J1305" t="s">
        <v>58</v>
      </c>
      <c r="K1305" t="s">
        <v>58</v>
      </c>
      <c r="L1305" t="s">
        <v>61</v>
      </c>
      <c r="M1305" t="s">
        <v>58</v>
      </c>
      <c r="Q1305" t="s">
        <v>58</v>
      </c>
      <c r="R1305" s="11" t="str">
        <f>HYPERLINK("\\imagefiles.bcgov\imagery\scanned_maps\moe_terrain_maps\Scanned_T_maps_all\K04\K04-1342","\\imagefiles.bcgov\imagery\scanned_maps\moe_terrain_maps\Scanned_T_maps_all\K04\K04-1342")</f>
        <v>\\imagefiles.bcgov\imagery\scanned_maps\moe_terrain_maps\Scanned_T_maps_all\K04\K04-1342</v>
      </c>
      <c r="S1305" t="s">
        <v>62</v>
      </c>
      <c r="T1305" s="11" t="str">
        <f>HYPERLINK("http://www.env.gov.bc.ca/esd/distdata/ecosystems/TEI_Scanned_Maps/K04/K04-1342","http://www.env.gov.bc.ca/esd/distdata/ecosystems/TEI_Scanned_Maps/K04/K04-1342")</f>
        <v>http://www.env.gov.bc.ca/esd/distdata/ecosystems/TEI_Scanned_Maps/K04/K04-1342</v>
      </c>
      <c r="U1305" t="s">
        <v>2487</v>
      </c>
      <c r="V1305" s="11" t="str">
        <f t="shared" si="31"/>
        <v>http://res.agr.ca/cansis/publications/surveys/bc/</v>
      </c>
      <c r="W1305" t="s">
        <v>2495</v>
      </c>
      <c r="X1305" s="11" t="str">
        <f t="shared" si="32"/>
        <v>http://www.em.gov.bc.ca/mining/geolsurv/terrain&amp;soils/frbcguid.htm</v>
      </c>
      <c r="Y1305" t="s">
        <v>2489</v>
      </c>
      <c r="Z1305" s="11" t="str">
        <f t="shared" si="33"/>
        <v>http://www.em.gov.bc.ca/mining/geolsurv/terrain&amp;soils/frbcguid.htm</v>
      </c>
      <c r="AA1305" t="s">
        <v>269</v>
      </c>
      <c r="AB1305" s="11" t="str">
        <f t="shared" si="34"/>
        <v>http://www.library.for.gov.bc.ca/#focus</v>
      </c>
      <c r="AC1305" t="s">
        <v>2500</v>
      </c>
      <c r="AD1305" s="11" t="str">
        <f t="shared" si="35"/>
        <v>http://www.crownpub.bc.ca/</v>
      </c>
      <c r="AE1305" t="s">
        <v>58</v>
      </c>
      <c r="AG1305" t="s">
        <v>63</v>
      </c>
      <c r="AH1305" s="11" t="str">
        <f t="shared" si="25"/>
        <v>mailto: soilterrain@victoria1.gov.bc.ca</v>
      </c>
    </row>
    <row r="1306" spans="1:34">
      <c r="A1306" t="s">
        <v>3074</v>
      </c>
      <c r="B1306" t="s">
        <v>56</v>
      </c>
      <c r="C1306" s="10" t="s">
        <v>1881</v>
      </c>
      <c r="D1306" t="s">
        <v>58</v>
      </c>
      <c r="E1306" t="s">
        <v>3058</v>
      </c>
      <c r="F1306" t="s">
        <v>3071</v>
      </c>
      <c r="G1306">
        <v>100000</v>
      </c>
      <c r="H1306">
        <v>1986</v>
      </c>
      <c r="I1306" t="s">
        <v>3060</v>
      </c>
      <c r="J1306" t="s">
        <v>58</v>
      </c>
      <c r="K1306" t="s">
        <v>58</v>
      </c>
      <c r="L1306" t="s">
        <v>61</v>
      </c>
      <c r="M1306" t="s">
        <v>58</v>
      </c>
      <c r="Q1306" t="s">
        <v>58</v>
      </c>
      <c r="R1306" s="11" t="str">
        <f>HYPERLINK("\\imagefiles.bcgov\imagery\scanned_maps\moe_terrain_maps\Scanned_T_maps_all\K04\K04-1349","\\imagefiles.bcgov\imagery\scanned_maps\moe_terrain_maps\Scanned_T_maps_all\K04\K04-1349")</f>
        <v>\\imagefiles.bcgov\imagery\scanned_maps\moe_terrain_maps\Scanned_T_maps_all\K04\K04-1349</v>
      </c>
      <c r="S1306" t="s">
        <v>62</v>
      </c>
      <c r="T1306" s="11" t="str">
        <f>HYPERLINK("http://www.env.gov.bc.ca/esd/distdata/ecosystems/TEI_Scanned_Maps/K04/K04-1349","http://www.env.gov.bc.ca/esd/distdata/ecosystems/TEI_Scanned_Maps/K04/K04-1349")</f>
        <v>http://www.env.gov.bc.ca/esd/distdata/ecosystems/TEI_Scanned_Maps/K04/K04-1349</v>
      </c>
      <c r="U1306" t="s">
        <v>2487</v>
      </c>
      <c r="V1306" s="11" t="str">
        <f t="shared" si="31"/>
        <v>http://res.agr.ca/cansis/publications/surveys/bc/</v>
      </c>
      <c r="W1306" t="s">
        <v>2495</v>
      </c>
      <c r="X1306" s="11" t="str">
        <f t="shared" si="32"/>
        <v>http://www.em.gov.bc.ca/mining/geolsurv/terrain&amp;soils/frbcguid.htm</v>
      </c>
      <c r="Y1306" t="s">
        <v>2489</v>
      </c>
      <c r="Z1306" s="11" t="str">
        <f t="shared" si="33"/>
        <v>http://www.em.gov.bc.ca/mining/geolsurv/terrain&amp;soils/frbcguid.htm</v>
      </c>
      <c r="AA1306" t="s">
        <v>269</v>
      </c>
      <c r="AB1306" s="11" t="str">
        <f t="shared" si="34"/>
        <v>http://www.library.for.gov.bc.ca/#focus</v>
      </c>
      <c r="AC1306" t="s">
        <v>2500</v>
      </c>
      <c r="AD1306" s="11" t="str">
        <f t="shared" si="35"/>
        <v>http://www.crownpub.bc.ca/</v>
      </c>
      <c r="AE1306" t="s">
        <v>58</v>
      </c>
      <c r="AG1306" t="s">
        <v>63</v>
      </c>
      <c r="AH1306" s="11" t="str">
        <f t="shared" si="25"/>
        <v>mailto: soilterrain@victoria1.gov.bc.ca</v>
      </c>
    </row>
    <row r="1307" spans="1:34">
      <c r="A1307" t="s">
        <v>3075</v>
      </c>
      <c r="B1307" t="s">
        <v>56</v>
      </c>
      <c r="C1307" s="10" t="s">
        <v>1884</v>
      </c>
      <c r="D1307" t="s">
        <v>58</v>
      </c>
      <c r="E1307" t="s">
        <v>3058</v>
      </c>
      <c r="F1307" t="s">
        <v>3071</v>
      </c>
      <c r="G1307">
        <v>100000</v>
      </c>
      <c r="H1307">
        <v>1968</v>
      </c>
      <c r="I1307" t="s">
        <v>3060</v>
      </c>
      <c r="J1307" t="s">
        <v>58</v>
      </c>
      <c r="K1307" t="s">
        <v>58</v>
      </c>
      <c r="L1307" t="s">
        <v>61</v>
      </c>
      <c r="M1307" t="s">
        <v>58</v>
      </c>
      <c r="Q1307" t="s">
        <v>58</v>
      </c>
      <c r="R1307" s="11" t="str">
        <f>HYPERLINK("\\imagefiles.bcgov\imagery\scanned_maps\moe_terrain_maps\Scanned_T_maps_all\K04\K04-1357","\\imagefiles.bcgov\imagery\scanned_maps\moe_terrain_maps\Scanned_T_maps_all\K04\K04-1357")</f>
        <v>\\imagefiles.bcgov\imagery\scanned_maps\moe_terrain_maps\Scanned_T_maps_all\K04\K04-1357</v>
      </c>
      <c r="S1307" t="s">
        <v>62</v>
      </c>
      <c r="T1307" s="11" t="str">
        <f>HYPERLINK("http://www.env.gov.bc.ca/esd/distdata/ecosystems/TEI_Scanned_Maps/K04/K04-1357","http://www.env.gov.bc.ca/esd/distdata/ecosystems/TEI_Scanned_Maps/K04/K04-1357")</f>
        <v>http://www.env.gov.bc.ca/esd/distdata/ecosystems/TEI_Scanned_Maps/K04/K04-1357</v>
      </c>
      <c r="U1307" t="s">
        <v>2487</v>
      </c>
      <c r="V1307" s="11" t="str">
        <f t="shared" si="31"/>
        <v>http://res.agr.ca/cansis/publications/surveys/bc/</v>
      </c>
      <c r="W1307" t="s">
        <v>2495</v>
      </c>
      <c r="X1307" s="11" t="str">
        <f t="shared" si="32"/>
        <v>http://www.em.gov.bc.ca/mining/geolsurv/terrain&amp;soils/frbcguid.htm</v>
      </c>
      <c r="Y1307" t="s">
        <v>2489</v>
      </c>
      <c r="Z1307" s="11" t="str">
        <f t="shared" si="33"/>
        <v>http://www.em.gov.bc.ca/mining/geolsurv/terrain&amp;soils/frbcguid.htm</v>
      </c>
      <c r="AA1307" t="s">
        <v>269</v>
      </c>
      <c r="AB1307" s="11" t="str">
        <f t="shared" si="34"/>
        <v>http://www.library.for.gov.bc.ca/#focus</v>
      </c>
      <c r="AC1307" t="s">
        <v>2500</v>
      </c>
      <c r="AD1307" s="11" t="str">
        <f t="shared" si="35"/>
        <v>http://www.crownpub.bc.ca/</v>
      </c>
      <c r="AE1307" t="s">
        <v>58</v>
      </c>
      <c r="AG1307" t="s">
        <v>63</v>
      </c>
      <c r="AH1307" s="11" t="str">
        <f t="shared" si="25"/>
        <v>mailto: soilterrain@victoria1.gov.bc.ca</v>
      </c>
    </row>
    <row r="1308" spans="1:34">
      <c r="A1308" t="s">
        <v>3076</v>
      </c>
      <c r="B1308" t="s">
        <v>56</v>
      </c>
      <c r="C1308" s="10" t="s">
        <v>3077</v>
      </c>
      <c r="D1308" t="s">
        <v>58</v>
      </c>
      <c r="E1308" t="s">
        <v>3058</v>
      </c>
      <c r="F1308" t="s">
        <v>3071</v>
      </c>
      <c r="G1308">
        <v>100000</v>
      </c>
      <c r="H1308">
        <v>1986</v>
      </c>
      <c r="I1308" t="s">
        <v>3060</v>
      </c>
      <c r="J1308" t="s">
        <v>58</v>
      </c>
      <c r="K1308" t="s">
        <v>58</v>
      </c>
      <c r="L1308" t="s">
        <v>61</v>
      </c>
      <c r="M1308" t="s">
        <v>58</v>
      </c>
      <c r="Q1308" t="s">
        <v>58</v>
      </c>
      <c r="R1308" s="11" t="str">
        <f>HYPERLINK("\\imagefiles.bcgov\imagery\scanned_maps\moe_terrain_maps\Scanned_T_maps_all\K04\K04-1363","\\imagefiles.bcgov\imagery\scanned_maps\moe_terrain_maps\Scanned_T_maps_all\K04\K04-1363")</f>
        <v>\\imagefiles.bcgov\imagery\scanned_maps\moe_terrain_maps\Scanned_T_maps_all\K04\K04-1363</v>
      </c>
      <c r="S1308" t="s">
        <v>62</v>
      </c>
      <c r="T1308" s="11" t="str">
        <f>HYPERLINK("http://www.env.gov.bc.ca/esd/distdata/ecosystems/TEI_Scanned_Maps/K04/K04-1363","http://www.env.gov.bc.ca/esd/distdata/ecosystems/TEI_Scanned_Maps/K04/K04-1363")</f>
        <v>http://www.env.gov.bc.ca/esd/distdata/ecosystems/TEI_Scanned_Maps/K04/K04-1363</v>
      </c>
      <c r="U1308" t="s">
        <v>2487</v>
      </c>
      <c r="V1308" s="11" t="str">
        <f t="shared" si="31"/>
        <v>http://res.agr.ca/cansis/publications/surveys/bc/</v>
      </c>
      <c r="W1308" t="s">
        <v>2495</v>
      </c>
      <c r="X1308" s="11" t="str">
        <f t="shared" si="32"/>
        <v>http://www.em.gov.bc.ca/mining/geolsurv/terrain&amp;soils/frbcguid.htm</v>
      </c>
      <c r="Y1308" t="s">
        <v>2489</v>
      </c>
      <c r="Z1308" s="11" t="str">
        <f t="shared" si="33"/>
        <v>http://www.em.gov.bc.ca/mining/geolsurv/terrain&amp;soils/frbcguid.htm</v>
      </c>
      <c r="AA1308" t="s">
        <v>269</v>
      </c>
      <c r="AB1308" s="11" t="str">
        <f t="shared" si="34"/>
        <v>http://www.library.for.gov.bc.ca/#focus</v>
      </c>
      <c r="AC1308" t="s">
        <v>2500</v>
      </c>
      <c r="AD1308" s="11" t="str">
        <f t="shared" si="35"/>
        <v>http://www.crownpub.bc.ca/</v>
      </c>
      <c r="AE1308" t="s">
        <v>58</v>
      </c>
      <c r="AG1308" t="s">
        <v>63</v>
      </c>
      <c r="AH1308" s="11" t="str">
        <f t="shared" si="25"/>
        <v>mailto: soilterrain@victoria1.gov.bc.ca</v>
      </c>
    </row>
    <row r="1309" spans="1:34">
      <c r="A1309" t="s">
        <v>3078</v>
      </c>
      <c r="B1309" t="s">
        <v>56</v>
      </c>
      <c r="C1309" s="10" t="s">
        <v>3079</v>
      </c>
      <c r="D1309" t="s">
        <v>58</v>
      </c>
      <c r="E1309" t="s">
        <v>3080</v>
      </c>
      <c r="F1309" t="s">
        <v>3081</v>
      </c>
      <c r="G1309">
        <v>100000</v>
      </c>
      <c r="H1309">
        <v>1986</v>
      </c>
      <c r="I1309" t="s">
        <v>3082</v>
      </c>
      <c r="J1309" t="s">
        <v>58</v>
      </c>
      <c r="K1309" t="s">
        <v>61</v>
      </c>
      <c r="L1309" t="s">
        <v>61</v>
      </c>
      <c r="M1309" t="s">
        <v>58</v>
      </c>
      <c r="Q1309" t="s">
        <v>58</v>
      </c>
      <c r="R1309" s="11" t="str">
        <f>HYPERLINK("\\imagefiles.bcgov\imagery\scanned_maps\moe_terrain_maps\Scanned_T_maps_all\K04\K04-1796","\\imagefiles.bcgov\imagery\scanned_maps\moe_terrain_maps\Scanned_T_maps_all\K04\K04-1796")</f>
        <v>\\imagefiles.bcgov\imagery\scanned_maps\moe_terrain_maps\Scanned_T_maps_all\K04\K04-1796</v>
      </c>
      <c r="S1309" t="s">
        <v>62</v>
      </c>
      <c r="T1309" s="11" t="str">
        <f>HYPERLINK("http://www.env.gov.bc.ca/esd/distdata/ecosystems/TEI_Scanned_Maps/K04/K04-1796","http://www.env.gov.bc.ca/esd/distdata/ecosystems/TEI_Scanned_Maps/K04/K04-1796")</f>
        <v>http://www.env.gov.bc.ca/esd/distdata/ecosystems/TEI_Scanned_Maps/K04/K04-1796</v>
      </c>
      <c r="U1309" t="s">
        <v>2495</v>
      </c>
      <c r="V1309" s="11" t="str">
        <f>HYPERLINK("http://www.em.gov.bc.ca/mining/geolsurv/terrain&amp;soils/frbcguid.htm","http://www.em.gov.bc.ca/mining/geolsurv/terrain&amp;soils/frbcguid.htm")</f>
        <v>http://www.em.gov.bc.ca/mining/geolsurv/terrain&amp;soils/frbcguid.htm</v>
      </c>
      <c r="W1309" t="s">
        <v>2489</v>
      </c>
      <c r="X1309" s="11" t="str">
        <f t="shared" si="32"/>
        <v>http://www.em.gov.bc.ca/mining/geolsurv/terrain&amp;soils/frbcguid.htm</v>
      </c>
      <c r="Y1309" t="s">
        <v>979</v>
      </c>
      <c r="Z1309" s="11" t="str">
        <f>HYPERLINK("http://www.prsss.ca/","http://www.prsss.ca/")</f>
        <v>http://www.prsss.ca/</v>
      </c>
      <c r="AA1309" t="s">
        <v>269</v>
      </c>
      <c r="AB1309" s="11" t="str">
        <f t="shared" si="34"/>
        <v>http://www.library.for.gov.bc.ca/#focus</v>
      </c>
      <c r="AC1309" t="s">
        <v>2500</v>
      </c>
      <c r="AD1309" s="11" t="str">
        <f t="shared" si="35"/>
        <v>http://www.crownpub.bc.ca/</v>
      </c>
      <c r="AE1309" t="s">
        <v>58</v>
      </c>
      <c r="AG1309" t="s">
        <v>63</v>
      </c>
      <c r="AH1309" s="11" t="str">
        <f t="shared" si="25"/>
        <v>mailto: soilterrain@victoria1.gov.bc.ca</v>
      </c>
    </row>
    <row r="1310" spans="1:34">
      <c r="A1310" t="s">
        <v>3083</v>
      </c>
      <c r="B1310" t="s">
        <v>56</v>
      </c>
      <c r="C1310" s="10" t="s">
        <v>3084</v>
      </c>
      <c r="D1310" t="s">
        <v>58</v>
      </c>
      <c r="E1310" t="s">
        <v>3080</v>
      </c>
      <c r="F1310" t="s">
        <v>3085</v>
      </c>
      <c r="G1310">
        <v>100000</v>
      </c>
      <c r="H1310">
        <v>1975</v>
      </c>
      <c r="I1310" t="s">
        <v>3082</v>
      </c>
      <c r="J1310" t="s">
        <v>58</v>
      </c>
      <c r="K1310" t="s">
        <v>61</v>
      </c>
      <c r="L1310" t="s">
        <v>61</v>
      </c>
      <c r="M1310" t="s">
        <v>58</v>
      </c>
      <c r="Q1310" t="s">
        <v>58</v>
      </c>
      <c r="R1310" s="11" t="str">
        <f>HYPERLINK("\\imagefiles.bcgov\imagery\scanned_maps\moe_terrain_maps\Scanned_T_maps_all\K04\K04-1802","\\imagefiles.bcgov\imagery\scanned_maps\moe_terrain_maps\Scanned_T_maps_all\K04\K04-1802")</f>
        <v>\\imagefiles.bcgov\imagery\scanned_maps\moe_terrain_maps\Scanned_T_maps_all\K04\K04-1802</v>
      </c>
      <c r="S1310" t="s">
        <v>62</v>
      </c>
      <c r="T1310" s="11" t="str">
        <f>HYPERLINK("http://www.env.gov.bc.ca/esd/distdata/ecosystems/TEI_Scanned_Maps/K04/K04-1802","http://www.env.gov.bc.ca/esd/distdata/ecosystems/TEI_Scanned_Maps/K04/K04-1802")</f>
        <v>http://www.env.gov.bc.ca/esd/distdata/ecosystems/TEI_Scanned_Maps/K04/K04-1802</v>
      </c>
      <c r="U1310" t="s">
        <v>2495</v>
      </c>
      <c r="V1310" s="11" t="str">
        <f>HYPERLINK("http://www.em.gov.bc.ca/mining/geolsurv/terrain&amp;soils/frbcguid.htm","http://www.em.gov.bc.ca/mining/geolsurv/terrain&amp;soils/frbcguid.htm")</f>
        <v>http://www.em.gov.bc.ca/mining/geolsurv/terrain&amp;soils/frbcguid.htm</v>
      </c>
      <c r="W1310" t="s">
        <v>2489</v>
      </c>
      <c r="X1310" s="11" t="str">
        <f t="shared" si="32"/>
        <v>http://www.em.gov.bc.ca/mining/geolsurv/terrain&amp;soils/frbcguid.htm</v>
      </c>
      <c r="Y1310" t="s">
        <v>979</v>
      </c>
      <c r="Z1310" s="11" t="str">
        <f>HYPERLINK("http://www.prsss.ca/","http://www.prsss.ca/")</f>
        <v>http://www.prsss.ca/</v>
      </c>
      <c r="AA1310" t="s">
        <v>269</v>
      </c>
      <c r="AB1310" s="11" t="str">
        <f t="shared" si="34"/>
        <v>http://www.library.for.gov.bc.ca/#focus</v>
      </c>
      <c r="AC1310" t="s">
        <v>2500</v>
      </c>
      <c r="AD1310" s="11" t="str">
        <f t="shared" si="35"/>
        <v>http://www.crownpub.bc.ca/</v>
      </c>
      <c r="AE1310" t="s">
        <v>58</v>
      </c>
      <c r="AG1310" t="s">
        <v>63</v>
      </c>
      <c r="AH1310" s="11" t="str">
        <f t="shared" si="25"/>
        <v>mailto: soilterrain@victoria1.gov.bc.ca</v>
      </c>
    </row>
    <row r="1311" spans="1:34">
      <c r="A1311" t="s">
        <v>3086</v>
      </c>
      <c r="B1311" t="s">
        <v>56</v>
      </c>
      <c r="C1311" s="10" t="s">
        <v>587</v>
      </c>
      <c r="D1311" t="s">
        <v>58</v>
      </c>
      <c r="E1311" t="s">
        <v>3080</v>
      </c>
      <c r="F1311" t="s">
        <v>3087</v>
      </c>
      <c r="G1311">
        <v>100000</v>
      </c>
      <c r="H1311">
        <v>1986</v>
      </c>
      <c r="I1311" t="s">
        <v>3082</v>
      </c>
      <c r="J1311" t="s">
        <v>58</v>
      </c>
      <c r="K1311" t="s">
        <v>61</v>
      </c>
      <c r="L1311" t="s">
        <v>61</v>
      </c>
      <c r="M1311" t="s">
        <v>58</v>
      </c>
      <c r="Q1311" t="s">
        <v>58</v>
      </c>
      <c r="R1311" s="11" t="str">
        <f>HYPERLINK("\\imagefiles.bcgov\imagery\scanned_maps\moe_terrain_maps\Scanned_T_maps_all\K04\K04-1808","\\imagefiles.bcgov\imagery\scanned_maps\moe_terrain_maps\Scanned_T_maps_all\K04\K04-1808")</f>
        <v>\\imagefiles.bcgov\imagery\scanned_maps\moe_terrain_maps\Scanned_T_maps_all\K04\K04-1808</v>
      </c>
      <c r="S1311" t="s">
        <v>62</v>
      </c>
      <c r="T1311" s="11" t="str">
        <f>HYPERLINK("http://www.env.gov.bc.ca/esd/distdata/ecosystems/TEI_Scanned_Maps/K04/K04-1808","http://www.env.gov.bc.ca/esd/distdata/ecosystems/TEI_Scanned_Maps/K04/K04-1808")</f>
        <v>http://www.env.gov.bc.ca/esd/distdata/ecosystems/TEI_Scanned_Maps/K04/K04-1808</v>
      </c>
      <c r="U1311" t="s">
        <v>2495</v>
      </c>
      <c r="V1311" s="11" t="str">
        <f>HYPERLINK("http://www.em.gov.bc.ca/mining/geolsurv/terrain&amp;soils/frbcguid.htm","http://www.em.gov.bc.ca/mining/geolsurv/terrain&amp;soils/frbcguid.htm")</f>
        <v>http://www.em.gov.bc.ca/mining/geolsurv/terrain&amp;soils/frbcguid.htm</v>
      </c>
      <c r="W1311" t="s">
        <v>2489</v>
      </c>
      <c r="X1311" s="11" t="str">
        <f t="shared" si="32"/>
        <v>http://www.em.gov.bc.ca/mining/geolsurv/terrain&amp;soils/frbcguid.htm</v>
      </c>
      <c r="Y1311" t="s">
        <v>979</v>
      </c>
      <c r="Z1311" s="11" t="str">
        <f>HYPERLINK("http://www.prsss.ca/","http://www.prsss.ca/")</f>
        <v>http://www.prsss.ca/</v>
      </c>
      <c r="AA1311" t="s">
        <v>269</v>
      </c>
      <c r="AB1311" s="11" t="str">
        <f t="shared" si="34"/>
        <v>http://www.library.for.gov.bc.ca/#focus</v>
      </c>
      <c r="AC1311" t="s">
        <v>2500</v>
      </c>
      <c r="AD1311" s="11" t="str">
        <f t="shared" si="35"/>
        <v>http://www.crownpub.bc.ca/</v>
      </c>
      <c r="AE1311" t="s">
        <v>58</v>
      </c>
      <c r="AG1311" t="s">
        <v>63</v>
      </c>
      <c r="AH1311" s="11" t="str">
        <f t="shared" si="25"/>
        <v>mailto: soilterrain@victoria1.gov.bc.ca</v>
      </c>
    </row>
    <row r="1312" spans="1:34">
      <c r="A1312" t="s">
        <v>3088</v>
      </c>
      <c r="B1312" t="s">
        <v>56</v>
      </c>
      <c r="C1312" s="10" t="s">
        <v>3089</v>
      </c>
      <c r="D1312" t="s">
        <v>58</v>
      </c>
      <c r="E1312" t="s">
        <v>3080</v>
      </c>
      <c r="F1312" t="s">
        <v>3090</v>
      </c>
      <c r="G1312">
        <v>100000</v>
      </c>
      <c r="H1312">
        <v>1975</v>
      </c>
      <c r="I1312" t="s">
        <v>3082</v>
      </c>
      <c r="J1312" t="s">
        <v>58</v>
      </c>
      <c r="K1312" t="s">
        <v>61</v>
      </c>
      <c r="L1312" t="s">
        <v>61</v>
      </c>
      <c r="M1312" t="s">
        <v>58</v>
      </c>
      <c r="Q1312" t="s">
        <v>58</v>
      </c>
      <c r="R1312" s="11" t="str">
        <f>HYPERLINK("\\imagefiles.bcgov\imagery\scanned_maps\moe_terrain_maps\Scanned_T_maps_all\K04\K04-1814","\\imagefiles.bcgov\imagery\scanned_maps\moe_terrain_maps\Scanned_T_maps_all\K04\K04-1814")</f>
        <v>\\imagefiles.bcgov\imagery\scanned_maps\moe_terrain_maps\Scanned_T_maps_all\K04\K04-1814</v>
      </c>
      <c r="S1312" t="s">
        <v>62</v>
      </c>
      <c r="T1312" s="11" t="str">
        <f>HYPERLINK("http://www.env.gov.bc.ca/esd/distdata/ecosystems/TEI_Scanned_Maps/K04/K04-1814","http://www.env.gov.bc.ca/esd/distdata/ecosystems/TEI_Scanned_Maps/K04/K04-1814")</f>
        <v>http://www.env.gov.bc.ca/esd/distdata/ecosystems/TEI_Scanned_Maps/K04/K04-1814</v>
      </c>
      <c r="U1312" t="s">
        <v>2495</v>
      </c>
      <c r="V1312" s="11" t="str">
        <f>HYPERLINK("http://www.em.gov.bc.ca/mining/geolsurv/terrain&amp;soils/frbcguid.htm","http://www.em.gov.bc.ca/mining/geolsurv/terrain&amp;soils/frbcguid.htm")</f>
        <v>http://www.em.gov.bc.ca/mining/geolsurv/terrain&amp;soils/frbcguid.htm</v>
      </c>
      <c r="W1312" t="s">
        <v>2489</v>
      </c>
      <c r="X1312" s="11" t="str">
        <f t="shared" si="32"/>
        <v>http://www.em.gov.bc.ca/mining/geolsurv/terrain&amp;soils/frbcguid.htm</v>
      </c>
      <c r="Y1312" t="s">
        <v>979</v>
      </c>
      <c r="Z1312" s="11" t="str">
        <f>HYPERLINK("http://www.prsss.ca/","http://www.prsss.ca/")</f>
        <v>http://www.prsss.ca/</v>
      </c>
      <c r="AA1312" t="s">
        <v>269</v>
      </c>
      <c r="AB1312" s="11" t="str">
        <f t="shared" si="34"/>
        <v>http://www.library.for.gov.bc.ca/#focus</v>
      </c>
      <c r="AC1312" t="s">
        <v>2500</v>
      </c>
      <c r="AD1312" s="11" t="str">
        <f t="shared" si="35"/>
        <v>http://www.crownpub.bc.ca/</v>
      </c>
      <c r="AE1312" t="s">
        <v>58</v>
      </c>
      <c r="AG1312" t="s">
        <v>63</v>
      </c>
      <c r="AH1312" s="11" t="str">
        <f t="shared" si="25"/>
        <v>mailto: soilterrain@victoria1.gov.bc.ca</v>
      </c>
    </row>
    <row r="1313" spans="1:34">
      <c r="A1313" t="s">
        <v>3091</v>
      </c>
      <c r="B1313" t="s">
        <v>56</v>
      </c>
      <c r="C1313" s="10" t="s">
        <v>1907</v>
      </c>
      <c r="D1313" t="s">
        <v>58</v>
      </c>
      <c r="E1313" t="s">
        <v>3058</v>
      </c>
      <c r="F1313" t="s">
        <v>3092</v>
      </c>
      <c r="G1313">
        <v>100000</v>
      </c>
      <c r="H1313">
        <v>1986</v>
      </c>
      <c r="I1313" t="s">
        <v>3060</v>
      </c>
      <c r="J1313" t="s">
        <v>58</v>
      </c>
      <c r="K1313" t="s">
        <v>58</v>
      </c>
      <c r="L1313" t="s">
        <v>61</v>
      </c>
      <c r="M1313" t="s">
        <v>58</v>
      </c>
      <c r="Q1313" t="s">
        <v>58</v>
      </c>
      <c r="R1313" s="11" t="str">
        <f>HYPERLINK("\\imagefiles.bcgov\imagery\scanned_maps\moe_terrain_maps\Scanned_T_maps_all\K04\K04-1872","\\imagefiles.bcgov\imagery\scanned_maps\moe_terrain_maps\Scanned_T_maps_all\K04\K04-1872")</f>
        <v>\\imagefiles.bcgov\imagery\scanned_maps\moe_terrain_maps\Scanned_T_maps_all\K04\K04-1872</v>
      </c>
      <c r="S1313" t="s">
        <v>62</v>
      </c>
      <c r="T1313" s="11" t="str">
        <f>HYPERLINK("http://www.env.gov.bc.ca/esd/distdata/ecosystems/TEI_Scanned_Maps/K04/K04-1872","http://www.env.gov.bc.ca/esd/distdata/ecosystems/TEI_Scanned_Maps/K04/K04-1872")</f>
        <v>http://www.env.gov.bc.ca/esd/distdata/ecosystems/TEI_Scanned_Maps/K04/K04-1872</v>
      </c>
      <c r="U1313" t="s">
        <v>2487</v>
      </c>
      <c r="V1313" s="11" t="str">
        <f>HYPERLINK("http://res.agr.ca/cansis/publications/surveys/bc/","http://res.agr.ca/cansis/publications/surveys/bc/")</f>
        <v>http://res.agr.ca/cansis/publications/surveys/bc/</v>
      </c>
      <c r="W1313" t="s">
        <v>2495</v>
      </c>
      <c r="X1313" s="11" t="str">
        <f t="shared" si="32"/>
        <v>http://www.em.gov.bc.ca/mining/geolsurv/terrain&amp;soils/frbcguid.htm</v>
      </c>
      <c r="Y1313" t="s">
        <v>2489</v>
      </c>
      <c r="Z1313" s="11" t="str">
        <f>HYPERLINK("http://www.em.gov.bc.ca/mining/geolsurv/terrain&amp;soils/frbcguid.htm","http://www.em.gov.bc.ca/mining/geolsurv/terrain&amp;soils/frbcguid.htm")</f>
        <v>http://www.em.gov.bc.ca/mining/geolsurv/terrain&amp;soils/frbcguid.htm</v>
      </c>
      <c r="AA1313" t="s">
        <v>979</v>
      </c>
      <c r="AB1313" s="11" t="str">
        <f>HYPERLINK("http://www.prsss.ca/","http://www.prsss.ca/")</f>
        <v>http://www.prsss.ca/</v>
      </c>
      <c r="AC1313" t="s">
        <v>269</v>
      </c>
      <c r="AD1313" s="11" t="str">
        <f>HYPERLINK("http://www.library.for.gov.bc.ca/#focus","http://www.library.for.gov.bc.ca/#focus")</f>
        <v>http://www.library.for.gov.bc.ca/#focus</v>
      </c>
      <c r="AE1313" t="s">
        <v>2500</v>
      </c>
      <c r="AF1313" s="11" t="str">
        <f>HYPERLINK("http://www.crownpub.bc.ca/","http://www.crownpub.bc.ca/")</f>
        <v>http://www.crownpub.bc.ca/</v>
      </c>
      <c r="AG1313" t="s">
        <v>63</v>
      </c>
      <c r="AH1313" s="11" t="str">
        <f t="shared" si="25"/>
        <v>mailto: soilterrain@victoria1.gov.bc.ca</v>
      </c>
    </row>
    <row r="1314" spans="1:34">
      <c r="A1314" t="s">
        <v>3093</v>
      </c>
      <c r="B1314" t="s">
        <v>56</v>
      </c>
      <c r="C1314" s="10" t="s">
        <v>1910</v>
      </c>
      <c r="D1314" t="s">
        <v>58</v>
      </c>
      <c r="E1314" t="s">
        <v>2492</v>
      </c>
      <c r="F1314" t="s">
        <v>3094</v>
      </c>
      <c r="G1314">
        <v>100000</v>
      </c>
      <c r="H1314">
        <v>1983</v>
      </c>
      <c r="I1314" t="s">
        <v>2494</v>
      </c>
      <c r="J1314" t="s">
        <v>58</v>
      </c>
      <c r="K1314" t="s">
        <v>58</v>
      </c>
      <c r="L1314" t="s">
        <v>61</v>
      </c>
      <c r="M1314" t="s">
        <v>58</v>
      </c>
      <c r="Q1314" t="s">
        <v>58</v>
      </c>
      <c r="R1314" s="11" t="str">
        <f>HYPERLINK("\\imagefiles.bcgov\imagery\scanned_maps\moe_terrain_maps\Scanned_T_maps_all\K04\K04-1962","\\imagefiles.bcgov\imagery\scanned_maps\moe_terrain_maps\Scanned_T_maps_all\K04\K04-1962")</f>
        <v>\\imagefiles.bcgov\imagery\scanned_maps\moe_terrain_maps\Scanned_T_maps_all\K04\K04-1962</v>
      </c>
      <c r="S1314" t="s">
        <v>62</v>
      </c>
      <c r="T1314" s="11" t="str">
        <f>HYPERLINK("http://www.env.gov.bc.ca/esd/distdata/ecosystems/TEI_Scanned_Maps/K04/K04-1962","http://www.env.gov.bc.ca/esd/distdata/ecosystems/TEI_Scanned_Maps/K04/K04-1962")</f>
        <v>http://www.env.gov.bc.ca/esd/distdata/ecosystems/TEI_Scanned_Maps/K04/K04-1962</v>
      </c>
      <c r="U1314" t="s">
        <v>2487</v>
      </c>
      <c r="V1314" s="11" t="str">
        <f>HYPERLINK("http://res.agr.ca/cansis/publications/surveys/bc/","http://res.agr.ca/cansis/publications/surveys/bc/")</f>
        <v>http://res.agr.ca/cansis/publications/surveys/bc/</v>
      </c>
      <c r="W1314" t="s">
        <v>2495</v>
      </c>
      <c r="X1314" s="11" t="str">
        <f t="shared" si="32"/>
        <v>http://www.em.gov.bc.ca/mining/geolsurv/terrain&amp;soils/frbcguid.htm</v>
      </c>
      <c r="Y1314" t="s">
        <v>2489</v>
      </c>
      <c r="Z1314" s="11" t="str">
        <f>HYPERLINK("http://www.em.gov.bc.ca/mining/geolsurv/terrain&amp;soils/frbcguid.htm","http://www.em.gov.bc.ca/mining/geolsurv/terrain&amp;soils/frbcguid.htm")</f>
        <v>http://www.em.gov.bc.ca/mining/geolsurv/terrain&amp;soils/frbcguid.htm</v>
      </c>
      <c r="AA1314" t="s">
        <v>269</v>
      </c>
      <c r="AB1314" s="11" t="str">
        <f>HYPERLINK("http://www.library.for.gov.bc.ca/#focus","http://www.library.for.gov.bc.ca/#focus")</f>
        <v>http://www.library.for.gov.bc.ca/#focus</v>
      </c>
      <c r="AC1314" t="s">
        <v>58</v>
      </c>
      <c r="AD1314" s="11" t="str">
        <f>HYPERLINK("http://www.env.gov.bc.ca/soils/project/report.html","http://www.env.gov.bc.ca/soils/project/report.html")</f>
        <v>http://www.env.gov.bc.ca/soils/project/report.html</v>
      </c>
      <c r="AE1314" t="s">
        <v>58</v>
      </c>
      <c r="AG1314" t="s">
        <v>63</v>
      </c>
      <c r="AH1314" s="11" t="str">
        <f t="shared" si="25"/>
        <v>mailto: soilterrain@victoria1.gov.bc.ca</v>
      </c>
    </row>
    <row r="1315" spans="1:34">
      <c r="A1315" t="s">
        <v>3095</v>
      </c>
      <c r="B1315" t="s">
        <v>56</v>
      </c>
      <c r="C1315" s="10" t="s">
        <v>1916</v>
      </c>
      <c r="D1315" t="s">
        <v>58</v>
      </c>
      <c r="E1315" t="s">
        <v>2492</v>
      </c>
      <c r="F1315" t="s">
        <v>3096</v>
      </c>
      <c r="G1315">
        <v>100000</v>
      </c>
      <c r="H1315">
        <v>1983</v>
      </c>
      <c r="I1315" t="s">
        <v>2494</v>
      </c>
      <c r="J1315" t="s">
        <v>58</v>
      </c>
      <c r="K1315" t="s">
        <v>58</v>
      </c>
      <c r="L1315" t="s">
        <v>61</v>
      </c>
      <c r="M1315" t="s">
        <v>58</v>
      </c>
      <c r="Q1315" t="s">
        <v>58</v>
      </c>
      <c r="R1315" s="11" t="str">
        <f>HYPERLINK("\\imagefiles.bcgov\imagery\scanned_maps\moe_terrain_maps\Scanned_T_maps_all\K04\K04-1970","\\imagefiles.bcgov\imagery\scanned_maps\moe_terrain_maps\Scanned_T_maps_all\K04\K04-1970")</f>
        <v>\\imagefiles.bcgov\imagery\scanned_maps\moe_terrain_maps\Scanned_T_maps_all\K04\K04-1970</v>
      </c>
      <c r="S1315" t="s">
        <v>62</v>
      </c>
      <c r="T1315" s="11" t="str">
        <f>HYPERLINK("http://www.env.gov.bc.ca/esd/distdata/ecosystems/TEI_Scanned_Maps/K04/K04-1970","http://www.env.gov.bc.ca/esd/distdata/ecosystems/TEI_Scanned_Maps/K04/K04-1970")</f>
        <v>http://www.env.gov.bc.ca/esd/distdata/ecosystems/TEI_Scanned_Maps/K04/K04-1970</v>
      </c>
      <c r="U1315" t="s">
        <v>2487</v>
      </c>
      <c r="V1315" s="11" t="str">
        <f>HYPERLINK("http://res.agr.ca/cansis/publications/surveys/bc/","http://res.agr.ca/cansis/publications/surveys/bc/")</f>
        <v>http://res.agr.ca/cansis/publications/surveys/bc/</v>
      </c>
      <c r="W1315" t="s">
        <v>2495</v>
      </c>
      <c r="X1315" s="11" t="str">
        <f t="shared" si="32"/>
        <v>http://www.em.gov.bc.ca/mining/geolsurv/terrain&amp;soils/frbcguid.htm</v>
      </c>
      <c r="Y1315" t="s">
        <v>2489</v>
      </c>
      <c r="Z1315" s="11" t="str">
        <f>HYPERLINK("http://www.em.gov.bc.ca/mining/geolsurv/terrain&amp;soils/frbcguid.htm","http://www.em.gov.bc.ca/mining/geolsurv/terrain&amp;soils/frbcguid.htm")</f>
        <v>http://www.em.gov.bc.ca/mining/geolsurv/terrain&amp;soils/frbcguid.htm</v>
      </c>
      <c r="AA1315" t="s">
        <v>269</v>
      </c>
      <c r="AB1315" s="11" t="str">
        <f>HYPERLINK("http://www.library.for.gov.bc.ca/#focus","http://www.library.for.gov.bc.ca/#focus")</f>
        <v>http://www.library.for.gov.bc.ca/#focus</v>
      </c>
      <c r="AC1315" t="s">
        <v>58</v>
      </c>
      <c r="AD1315" s="11" t="str">
        <f>HYPERLINK("http://www.env.gov.bc.ca/soils/project/report.html","http://www.env.gov.bc.ca/soils/project/report.html")</f>
        <v>http://www.env.gov.bc.ca/soils/project/report.html</v>
      </c>
      <c r="AE1315" t="s">
        <v>58</v>
      </c>
      <c r="AG1315" t="s">
        <v>63</v>
      </c>
      <c r="AH1315" s="11" t="str">
        <f t="shared" si="25"/>
        <v>mailto: soilterrain@victoria1.gov.bc.ca</v>
      </c>
    </row>
    <row r="1316" spans="1:34">
      <c r="A1316" t="s">
        <v>3097</v>
      </c>
      <c r="B1316" t="s">
        <v>56</v>
      </c>
      <c r="C1316" s="10" t="s">
        <v>1919</v>
      </c>
      <c r="D1316" t="s">
        <v>58</v>
      </c>
      <c r="E1316" t="s">
        <v>2492</v>
      </c>
      <c r="F1316" t="s">
        <v>3098</v>
      </c>
      <c r="G1316">
        <v>100000</v>
      </c>
      <c r="H1316" t="s">
        <v>187</v>
      </c>
      <c r="I1316" t="s">
        <v>2494</v>
      </c>
      <c r="J1316" t="s">
        <v>58</v>
      </c>
      <c r="K1316" t="s">
        <v>58</v>
      </c>
      <c r="L1316" t="s">
        <v>61</v>
      </c>
      <c r="M1316" t="s">
        <v>58</v>
      </c>
      <c r="Q1316" t="s">
        <v>58</v>
      </c>
      <c r="R1316" s="11" t="str">
        <f>HYPERLINK("\\imagefiles.bcgov\imagery\scanned_maps\moe_terrain_maps\Scanned_T_maps_all\K04\K04-1973","\\imagefiles.bcgov\imagery\scanned_maps\moe_terrain_maps\Scanned_T_maps_all\K04\K04-1973")</f>
        <v>\\imagefiles.bcgov\imagery\scanned_maps\moe_terrain_maps\Scanned_T_maps_all\K04\K04-1973</v>
      </c>
      <c r="S1316" t="s">
        <v>62</v>
      </c>
      <c r="T1316" s="11" t="str">
        <f>HYPERLINK("http://www.env.gov.bc.ca/esd/distdata/ecosystems/TEI_Scanned_Maps/K04/K04-1973","http://www.env.gov.bc.ca/esd/distdata/ecosystems/TEI_Scanned_Maps/K04/K04-1973")</f>
        <v>http://www.env.gov.bc.ca/esd/distdata/ecosystems/TEI_Scanned_Maps/K04/K04-1973</v>
      </c>
      <c r="U1316" t="s">
        <v>2487</v>
      </c>
      <c r="V1316" s="11" t="str">
        <f>HYPERLINK("http://res.agr.ca/cansis/publications/surveys/bc/","http://res.agr.ca/cansis/publications/surveys/bc/")</f>
        <v>http://res.agr.ca/cansis/publications/surveys/bc/</v>
      </c>
      <c r="W1316" t="s">
        <v>2495</v>
      </c>
      <c r="X1316" s="11" t="str">
        <f t="shared" si="32"/>
        <v>http://www.em.gov.bc.ca/mining/geolsurv/terrain&amp;soils/frbcguid.htm</v>
      </c>
      <c r="Y1316" t="s">
        <v>2489</v>
      </c>
      <c r="Z1316" s="11" t="str">
        <f>HYPERLINK("http://www.em.gov.bc.ca/mining/geolsurv/terrain&amp;soils/frbcguid.htm","http://www.em.gov.bc.ca/mining/geolsurv/terrain&amp;soils/frbcguid.htm")</f>
        <v>http://www.em.gov.bc.ca/mining/geolsurv/terrain&amp;soils/frbcguid.htm</v>
      </c>
      <c r="AA1316" t="s">
        <v>269</v>
      </c>
      <c r="AB1316" s="11" t="str">
        <f>HYPERLINK("http://www.library.for.gov.bc.ca/#focus","http://www.library.for.gov.bc.ca/#focus")</f>
        <v>http://www.library.for.gov.bc.ca/#focus</v>
      </c>
      <c r="AC1316" t="s">
        <v>58</v>
      </c>
      <c r="AD1316" s="11" t="str">
        <f>HYPERLINK("http://www.env.gov.bc.ca/soils/project/report.html","http://www.env.gov.bc.ca/soils/project/report.html")</f>
        <v>http://www.env.gov.bc.ca/soils/project/report.html</v>
      </c>
      <c r="AE1316" t="s">
        <v>58</v>
      </c>
      <c r="AG1316" t="s">
        <v>63</v>
      </c>
      <c r="AH1316" s="11" t="str">
        <f t="shared" si="25"/>
        <v>mailto: soilterrain@victoria1.gov.bc.ca</v>
      </c>
    </row>
    <row r="1317" spans="1:34">
      <c r="A1317" t="s">
        <v>3099</v>
      </c>
      <c r="B1317" t="s">
        <v>56</v>
      </c>
      <c r="C1317" s="10" t="s">
        <v>1922</v>
      </c>
      <c r="D1317" t="s">
        <v>58</v>
      </c>
      <c r="E1317" t="s">
        <v>3100</v>
      </c>
      <c r="F1317" t="s">
        <v>3101</v>
      </c>
      <c r="G1317">
        <v>100000</v>
      </c>
      <c r="H1317">
        <v>1986</v>
      </c>
      <c r="I1317" t="s">
        <v>3102</v>
      </c>
      <c r="J1317" t="s">
        <v>58</v>
      </c>
      <c r="K1317" t="s">
        <v>61</v>
      </c>
      <c r="L1317" t="s">
        <v>61</v>
      </c>
      <c r="M1317" t="s">
        <v>58</v>
      </c>
      <c r="Q1317" t="s">
        <v>58</v>
      </c>
      <c r="R1317" s="11" t="str">
        <f>HYPERLINK("\\imagefiles.bcgov\imagery\scanned_maps\moe_terrain_maps\Scanned_T_maps_all\K04\K04-2046","\\imagefiles.bcgov\imagery\scanned_maps\moe_terrain_maps\Scanned_T_maps_all\K04\K04-2046")</f>
        <v>\\imagefiles.bcgov\imagery\scanned_maps\moe_terrain_maps\Scanned_T_maps_all\K04\K04-2046</v>
      </c>
      <c r="S1317" t="s">
        <v>62</v>
      </c>
      <c r="T1317" s="11" t="str">
        <f>HYPERLINK("http://www.env.gov.bc.ca/esd/distdata/ecosystems/TEI_Scanned_Maps/K04/K04-2046","http://www.env.gov.bc.ca/esd/distdata/ecosystems/TEI_Scanned_Maps/K04/K04-2046")</f>
        <v>http://www.env.gov.bc.ca/esd/distdata/ecosystems/TEI_Scanned_Maps/K04/K04-2046</v>
      </c>
      <c r="U1317" t="s">
        <v>2495</v>
      </c>
      <c r="V1317" s="11" t="str">
        <f>HYPERLINK("http://www.em.gov.bc.ca/mining/geolsurv/terrain&amp;soils/frbcguid.htm","http://www.em.gov.bc.ca/mining/geolsurv/terrain&amp;soils/frbcguid.htm")</f>
        <v>http://www.em.gov.bc.ca/mining/geolsurv/terrain&amp;soils/frbcguid.htm</v>
      </c>
      <c r="W1317" t="s">
        <v>2489</v>
      </c>
      <c r="X1317" s="11" t="str">
        <f t="shared" si="32"/>
        <v>http://www.em.gov.bc.ca/mining/geolsurv/terrain&amp;soils/frbcguid.htm</v>
      </c>
      <c r="Y1317" t="s">
        <v>269</v>
      </c>
      <c r="Z1317" s="11" t="str">
        <f>HYPERLINK("http://www.library.for.gov.bc.ca/#focus","http://www.library.for.gov.bc.ca/#focus")</f>
        <v>http://www.library.for.gov.bc.ca/#focus</v>
      </c>
      <c r="AA1317" t="s">
        <v>58</v>
      </c>
      <c r="AC1317" t="s">
        <v>58</v>
      </c>
      <c r="AE1317" t="s">
        <v>58</v>
      </c>
      <c r="AG1317" t="s">
        <v>63</v>
      </c>
      <c r="AH1317" s="11" t="str">
        <f t="shared" si="25"/>
        <v>mailto: soilterrain@victoria1.gov.bc.ca</v>
      </c>
    </row>
    <row r="1318" spans="1:34">
      <c r="A1318" t="s">
        <v>3103</v>
      </c>
      <c r="B1318" t="s">
        <v>56</v>
      </c>
      <c r="C1318" s="10" t="s">
        <v>1925</v>
      </c>
      <c r="D1318" t="s">
        <v>58</v>
      </c>
      <c r="E1318" t="s">
        <v>3104</v>
      </c>
      <c r="F1318" t="s">
        <v>3105</v>
      </c>
      <c r="G1318">
        <v>125000</v>
      </c>
      <c r="H1318">
        <v>1981</v>
      </c>
      <c r="I1318" t="s">
        <v>3106</v>
      </c>
      <c r="J1318" t="s">
        <v>58</v>
      </c>
      <c r="K1318" t="s">
        <v>58</v>
      </c>
      <c r="L1318" t="s">
        <v>61</v>
      </c>
      <c r="M1318" t="s">
        <v>58</v>
      </c>
      <c r="Q1318" t="s">
        <v>58</v>
      </c>
      <c r="R1318" s="11" t="str">
        <f>HYPERLINK("\\imagefiles.bcgov\imagery\scanned_maps\moe_terrain_maps\Scanned_T_maps_all\K04\K04-2050","\\imagefiles.bcgov\imagery\scanned_maps\moe_terrain_maps\Scanned_T_maps_all\K04\K04-2050")</f>
        <v>\\imagefiles.bcgov\imagery\scanned_maps\moe_terrain_maps\Scanned_T_maps_all\K04\K04-2050</v>
      </c>
      <c r="S1318" t="s">
        <v>62</v>
      </c>
      <c r="T1318" s="11" t="str">
        <f>HYPERLINK("http://www.env.gov.bc.ca/esd/distdata/ecosystems/TEI_Scanned_Maps/K04/K04-2050","http://www.env.gov.bc.ca/esd/distdata/ecosystems/TEI_Scanned_Maps/K04/K04-2050")</f>
        <v>http://www.env.gov.bc.ca/esd/distdata/ecosystems/TEI_Scanned_Maps/K04/K04-2050</v>
      </c>
      <c r="U1318" t="s">
        <v>58</v>
      </c>
      <c r="V1318" t="s">
        <v>58</v>
      </c>
      <c r="W1318" t="s">
        <v>58</v>
      </c>
      <c r="X1318" t="s">
        <v>58</v>
      </c>
      <c r="Y1318" t="s">
        <v>58</v>
      </c>
      <c r="Z1318" t="s">
        <v>58</v>
      </c>
      <c r="AA1318" t="s">
        <v>58</v>
      </c>
      <c r="AC1318" t="s">
        <v>58</v>
      </c>
      <c r="AE1318" t="s">
        <v>58</v>
      </c>
      <c r="AG1318" t="s">
        <v>63</v>
      </c>
      <c r="AH1318" s="11" t="str">
        <f t="shared" si="25"/>
        <v>mailto: soilterrain@victoria1.gov.bc.ca</v>
      </c>
    </row>
    <row r="1319" spans="1:34">
      <c r="A1319" t="s">
        <v>3107</v>
      </c>
      <c r="B1319" t="s">
        <v>56</v>
      </c>
      <c r="C1319" s="10" t="s">
        <v>1925</v>
      </c>
      <c r="D1319" t="s">
        <v>58</v>
      </c>
      <c r="E1319" t="s">
        <v>3100</v>
      </c>
      <c r="F1319" t="s">
        <v>3108</v>
      </c>
      <c r="G1319">
        <v>125000</v>
      </c>
      <c r="H1319" t="s">
        <v>187</v>
      </c>
      <c r="I1319" t="s">
        <v>3106</v>
      </c>
      <c r="J1319" t="s">
        <v>58</v>
      </c>
      <c r="K1319" t="s">
        <v>61</v>
      </c>
      <c r="L1319" t="s">
        <v>61</v>
      </c>
      <c r="M1319" t="s">
        <v>58</v>
      </c>
      <c r="Q1319" t="s">
        <v>58</v>
      </c>
      <c r="R1319" s="11" t="str">
        <f>HYPERLINK("\\imagefiles.bcgov\imagery\scanned_maps\moe_terrain_maps\Scanned_T_maps_all\K04\K04-2051","\\imagefiles.bcgov\imagery\scanned_maps\moe_terrain_maps\Scanned_T_maps_all\K04\K04-2051")</f>
        <v>\\imagefiles.bcgov\imagery\scanned_maps\moe_terrain_maps\Scanned_T_maps_all\K04\K04-2051</v>
      </c>
      <c r="S1319" t="s">
        <v>62</v>
      </c>
      <c r="T1319" s="11" t="str">
        <f>HYPERLINK("http://www.env.gov.bc.ca/esd/distdata/ecosystems/TEI_Scanned_Maps/K04/K04-2051","http://www.env.gov.bc.ca/esd/distdata/ecosystems/TEI_Scanned_Maps/K04/K04-2051")</f>
        <v>http://www.env.gov.bc.ca/esd/distdata/ecosystems/TEI_Scanned_Maps/K04/K04-2051</v>
      </c>
      <c r="U1319" t="s">
        <v>2487</v>
      </c>
      <c r="V1319" s="11" t="str">
        <f>HYPERLINK("http://res.agr.ca/cansis/publications/surveys/bc/","http://res.agr.ca/cansis/publications/surveys/bc/")</f>
        <v>http://res.agr.ca/cansis/publications/surveys/bc/</v>
      </c>
      <c r="W1319" t="s">
        <v>269</v>
      </c>
      <c r="X1319" s="11" t="str">
        <f>HYPERLINK("http://www.library.for.gov.bc.ca/#focus","http://www.library.for.gov.bc.ca/#focus")</f>
        <v>http://www.library.for.gov.bc.ca/#focus</v>
      </c>
      <c r="Y1319" t="s">
        <v>58</v>
      </c>
      <c r="Z1319" t="s">
        <v>58</v>
      </c>
      <c r="AA1319" t="s">
        <v>58</v>
      </c>
      <c r="AC1319" t="s">
        <v>58</v>
      </c>
      <c r="AE1319" t="s">
        <v>58</v>
      </c>
      <c r="AG1319" t="s">
        <v>63</v>
      </c>
      <c r="AH1319" s="11" t="str">
        <f t="shared" si="25"/>
        <v>mailto: soilterrain@victoria1.gov.bc.ca</v>
      </c>
    </row>
    <row r="1320" spans="1:34">
      <c r="A1320" t="s">
        <v>3109</v>
      </c>
      <c r="B1320" t="s">
        <v>56</v>
      </c>
      <c r="C1320" s="10" t="s">
        <v>1928</v>
      </c>
      <c r="D1320" t="s">
        <v>58</v>
      </c>
      <c r="E1320" t="s">
        <v>3110</v>
      </c>
      <c r="F1320" t="s">
        <v>3111</v>
      </c>
      <c r="G1320">
        <v>100000</v>
      </c>
      <c r="H1320">
        <v>1986</v>
      </c>
      <c r="I1320" t="s">
        <v>3102</v>
      </c>
      <c r="J1320" t="s">
        <v>58</v>
      </c>
      <c r="K1320" t="s">
        <v>61</v>
      </c>
      <c r="L1320" t="s">
        <v>61</v>
      </c>
      <c r="M1320" t="s">
        <v>58</v>
      </c>
      <c r="Q1320" t="s">
        <v>58</v>
      </c>
      <c r="R1320" s="11" t="str">
        <f>HYPERLINK("\\imagefiles.bcgov\imagery\scanned_maps\moe_terrain_maps\Scanned_T_maps_all\K04\K04-2060","\\imagefiles.bcgov\imagery\scanned_maps\moe_terrain_maps\Scanned_T_maps_all\K04\K04-2060")</f>
        <v>\\imagefiles.bcgov\imagery\scanned_maps\moe_terrain_maps\Scanned_T_maps_all\K04\K04-2060</v>
      </c>
      <c r="S1320" t="s">
        <v>62</v>
      </c>
      <c r="T1320" s="11" t="str">
        <f>HYPERLINK("http://www.env.gov.bc.ca/esd/distdata/ecosystems/TEI_Scanned_Maps/K04/K04-2060","http://www.env.gov.bc.ca/esd/distdata/ecosystems/TEI_Scanned_Maps/K04/K04-2060")</f>
        <v>http://www.env.gov.bc.ca/esd/distdata/ecosystems/TEI_Scanned_Maps/K04/K04-2060</v>
      </c>
      <c r="U1320" t="s">
        <v>2495</v>
      </c>
      <c r="V1320" s="11" t="str">
        <f>HYPERLINK("http://www.em.gov.bc.ca/mining/geolsurv/terrain&amp;soils/frbcguid.htm","http://www.em.gov.bc.ca/mining/geolsurv/terrain&amp;soils/frbcguid.htm")</f>
        <v>http://www.em.gov.bc.ca/mining/geolsurv/terrain&amp;soils/frbcguid.htm</v>
      </c>
      <c r="W1320" t="s">
        <v>2489</v>
      </c>
      <c r="X1320" s="11" t="str">
        <f>HYPERLINK("http://www.em.gov.bc.ca/mining/geolsurv/terrain&amp;soils/frbcguid.htm","http://www.em.gov.bc.ca/mining/geolsurv/terrain&amp;soils/frbcguid.htm")</f>
        <v>http://www.em.gov.bc.ca/mining/geolsurv/terrain&amp;soils/frbcguid.htm</v>
      </c>
      <c r="Y1320" t="s">
        <v>269</v>
      </c>
      <c r="Z1320" s="11" t="str">
        <f>HYPERLINK("http://www.library.for.gov.bc.ca/#focus","http://www.library.for.gov.bc.ca/#focus")</f>
        <v>http://www.library.for.gov.bc.ca/#focus</v>
      </c>
      <c r="AA1320" t="s">
        <v>58</v>
      </c>
      <c r="AC1320" t="s">
        <v>58</v>
      </c>
      <c r="AE1320" t="s">
        <v>58</v>
      </c>
      <c r="AG1320" t="s">
        <v>63</v>
      </c>
      <c r="AH1320" s="11" t="str">
        <f t="shared" si="25"/>
        <v>mailto: soilterrain@victoria1.gov.bc.ca</v>
      </c>
    </row>
    <row r="1321" spans="1:34">
      <c r="A1321" t="s">
        <v>3112</v>
      </c>
      <c r="B1321" t="s">
        <v>56</v>
      </c>
      <c r="C1321" s="10" t="s">
        <v>1931</v>
      </c>
      <c r="D1321" t="s">
        <v>58</v>
      </c>
      <c r="E1321" t="s">
        <v>3104</v>
      </c>
      <c r="F1321" t="s">
        <v>3113</v>
      </c>
      <c r="G1321">
        <v>125000</v>
      </c>
      <c r="H1321">
        <v>1981</v>
      </c>
      <c r="I1321" t="s">
        <v>3106</v>
      </c>
      <c r="J1321" t="s">
        <v>58</v>
      </c>
      <c r="K1321" t="s">
        <v>58</v>
      </c>
      <c r="L1321" t="s">
        <v>61</v>
      </c>
      <c r="M1321" t="s">
        <v>58</v>
      </c>
      <c r="Q1321" t="s">
        <v>58</v>
      </c>
      <c r="R1321" s="11" t="str">
        <f>HYPERLINK("\\imagefiles.bcgov\imagery\scanned_maps\moe_terrain_maps\Scanned_T_maps_all\K04\K04-2065","\\imagefiles.bcgov\imagery\scanned_maps\moe_terrain_maps\Scanned_T_maps_all\K04\K04-2065")</f>
        <v>\\imagefiles.bcgov\imagery\scanned_maps\moe_terrain_maps\Scanned_T_maps_all\K04\K04-2065</v>
      </c>
      <c r="S1321" t="s">
        <v>62</v>
      </c>
      <c r="T1321" s="11" t="str">
        <f>HYPERLINK("http://www.env.gov.bc.ca/esd/distdata/ecosystems/TEI_Scanned_Maps/K04/K04-2065","http://www.env.gov.bc.ca/esd/distdata/ecosystems/TEI_Scanned_Maps/K04/K04-2065")</f>
        <v>http://www.env.gov.bc.ca/esd/distdata/ecosystems/TEI_Scanned_Maps/K04/K04-2065</v>
      </c>
      <c r="U1321" t="s">
        <v>2487</v>
      </c>
      <c r="V1321" s="11" t="str">
        <f>HYPERLINK("http://res.agr.ca/cansis/publications/surveys/bc/","http://res.agr.ca/cansis/publications/surveys/bc/")</f>
        <v>http://res.agr.ca/cansis/publications/surveys/bc/</v>
      </c>
      <c r="W1321" t="s">
        <v>269</v>
      </c>
      <c r="X1321" s="11" t="str">
        <f>HYPERLINK("http://www.library.for.gov.bc.ca/#focus","http://www.library.for.gov.bc.ca/#focus")</f>
        <v>http://www.library.for.gov.bc.ca/#focus</v>
      </c>
      <c r="Y1321" t="s">
        <v>58</v>
      </c>
      <c r="Z1321" t="s">
        <v>58</v>
      </c>
      <c r="AA1321" t="s">
        <v>58</v>
      </c>
      <c r="AC1321" t="s">
        <v>58</v>
      </c>
      <c r="AE1321" t="s">
        <v>58</v>
      </c>
      <c r="AG1321" t="s">
        <v>63</v>
      </c>
      <c r="AH1321" s="11" t="str">
        <f t="shared" si="25"/>
        <v>mailto: soilterrain@victoria1.gov.bc.ca</v>
      </c>
    </row>
    <row r="1322" spans="1:34">
      <c r="A1322" t="s">
        <v>3114</v>
      </c>
      <c r="B1322" t="s">
        <v>56</v>
      </c>
      <c r="C1322" s="10" t="s">
        <v>3084</v>
      </c>
      <c r="D1322" t="s">
        <v>58</v>
      </c>
      <c r="E1322" t="s">
        <v>3080</v>
      </c>
      <c r="F1322" t="s">
        <v>3090</v>
      </c>
      <c r="G1322">
        <v>100000</v>
      </c>
      <c r="H1322">
        <v>1975</v>
      </c>
      <c r="I1322" t="s">
        <v>3082</v>
      </c>
      <c r="J1322" t="s">
        <v>58</v>
      </c>
      <c r="K1322" t="s">
        <v>61</v>
      </c>
      <c r="L1322" t="s">
        <v>61</v>
      </c>
      <c r="M1322" t="s">
        <v>58</v>
      </c>
      <c r="Q1322" t="s">
        <v>58</v>
      </c>
      <c r="R1322" s="11" t="str">
        <f>HYPERLINK("\\imagefiles.bcgov\imagery\scanned_maps\moe_terrain_maps\Scanned_T_maps_all\K04\K04-5068","\\imagefiles.bcgov\imagery\scanned_maps\moe_terrain_maps\Scanned_T_maps_all\K04\K04-5068")</f>
        <v>\\imagefiles.bcgov\imagery\scanned_maps\moe_terrain_maps\Scanned_T_maps_all\K04\K04-5068</v>
      </c>
      <c r="S1322" t="s">
        <v>62</v>
      </c>
      <c r="T1322" s="11" t="str">
        <f>HYPERLINK("http://www.env.gov.bc.ca/esd/distdata/ecosystems/TEI_Scanned_Maps/K04/K04-5068","http://www.env.gov.bc.ca/esd/distdata/ecosystems/TEI_Scanned_Maps/K04/K04-5068")</f>
        <v>http://www.env.gov.bc.ca/esd/distdata/ecosystems/TEI_Scanned_Maps/K04/K04-5068</v>
      </c>
      <c r="U1322" t="s">
        <v>269</v>
      </c>
      <c r="V1322" s="11" t="str">
        <f>HYPERLINK("http://www.library.for.gov.bc.ca/#focus","http://www.library.for.gov.bc.ca/#focus")</f>
        <v>http://www.library.for.gov.bc.ca/#focus</v>
      </c>
      <c r="W1322" t="s">
        <v>2500</v>
      </c>
      <c r="X1322" s="11" t="str">
        <f>HYPERLINK("http://www.crownpub.bc.ca/","http://www.crownpub.bc.ca/")</f>
        <v>http://www.crownpub.bc.ca/</v>
      </c>
      <c r="Y1322" t="s">
        <v>58</v>
      </c>
      <c r="Z1322" t="s">
        <v>58</v>
      </c>
      <c r="AA1322" t="s">
        <v>58</v>
      </c>
      <c r="AC1322" t="s">
        <v>58</v>
      </c>
      <c r="AE1322" t="s">
        <v>58</v>
      </c>
      <c r="AG1322" t="s">
        <v>63</v>
      </c>
      <c r="AH1322" s="11" t="str">
        <f t="shared" si="25"/>
        <v>mailto: soilterrain@victoria1.gov.bc.ca</v>
      </c>
    </row>
    <row r="1323" spans="1:34">
      <c r="A1323" t="s">
        <v>3115</v>
      </c>
      <c r="B1323" t="s">
        <v>56</v>
      </c>
      <c r="C1323" s="10" t="s">
        <v>3089</v>
      </c>
      <c r="D1323" t="s">
        <v>58</v>
      </c>
      <c r="E1323" t="s">
        <v>3080</v>
      </c>
      <c r="F1323" t="s">
        <v>3116</v>
      </c>
      <c r="G1323">
        <v>125000</v>
      </c>
      <c r="H1323">
        <v>1975</v>
      </c>
      <c r="I1323" t="s">
        <v>3082</v>
      </c>
      <c r="J1323" t="s">
        <v>58</v>
      </c>
      <c r="K1323" t="s">
        <v>61</v>
      </c>
      <c r="L1323" t="s">
        <v>61</v>
      </c>
      <c r="M1323" t="s">
        <v>58</v>
      </c>
      <c r="Q1323" t="s">
        <v>58</v>
      </c>
      <c r="R1323" s="11" t="str">
        <f>HYPERLINK("\\imagefiles.bcgov\imagery\scanned_maps\moe_terrain_maps\Scanned_T_maps_all\K04\K04-5069","\\imagefiles.bcgov\imagery\scanned_maps\moe_terrain_maps\Scanned_T_maps_all\K04\K04-5069")</f>
        <v>\\imagefiles.bcgov\imagery\scanned_maps\moe_terrain_maps\Scanned_T_maps_all\K04\K04-5069</v>
      </c>
      <c r="S1323" t="s">
        <v>62</v>
      </c>
      <c r="T1323" s="11" t="str">
        <f>HYPERLINK("http://www.env.gov.bc.ca/esd/distdata/ecosystems/TEI_Scanned_Maps/K04/K04-5069","http://www.env.gov.bc.ca/esd/distdata/ecosystems/TEI_Scanned_Maps/K04/K04-5069")</f>
        <v>http://www.env.gov.bc.ca/esd/distdata/ecosystems/TEI_Scanned_Maps/K04/K04-5069</v>
      </c>
      <c r="U1323" t="s">
        <v>269</v>
      </c>
      <c r="V1323" s="11" t="str">
        <f>HYPERLINK("http://www.library.for.gov.bc.ca/#focus","http://www.library.for.gov.bc.ca/#focus")</f>
        <v>http://www.library.for.gov.bc.ca/#focus</v>
      </c>
      <c r="W1323" t="s">
        <v>2500</v>
      </c>
      <c r="X1323" s="11" t="str">
        <f>HYPERLINK("http://www.crownpub.bc.ca/","http://www.crownpub.bc.ca/")</f>
        <v>http://www.crownpub.bc.ca/</v>
      </c>
      <c r="Y1323" t="s">
        <v>58</v>
      </c>
      <c r="Z1323" t="s">
        <v>58</v>
      </c>
      <c r="AA1323" t="s">
        <v>58</v>
      </c>
      <c r="AC1323" t="s">
        <v>58</v>
      </c>
      <c r="AE1323" t="s">
        <v>58</v>
      </c>
      <c r="AG1323" t="s">
        <v>63</v>
      </c>
      <c r="AH1323" s="11" t="str">
        <f t="shared" si="25"/>
        <v>mailto: soilterrain@victoria1.gov.bc.ca</v>
      </c>
    </row>
    <row r="1324" spans="1:34">
      <c r="A1324" t="s">
        <v>3117</v>
      </c>
      <c r="B1324" t="s">
        <v>56</v>
      </c>
      <c r="C1324" s="10" t="s">
        <v>3118</v>
      </c>
      <c r="D1324" t="s">
        <v>58</v>
      </c>
      <c r="E1324" t="s">
        <v>3119</v>
      </c>
      <c r="F1324" t="s">
        <v>3120</v>
      </c>
      <c r="G1324">
        <v>100000</v>
      </c>
      <c r="H1324">
        <v>1986</v>
      </c>
      <c r="I1324" t="s">
        <v>3121</v>
      </c>
      <c r="J1324" t="s">
        <v>58</v>
      </c>
      <c r="K1324" t="s">
        <v>61</v>
      </c>
      <c r="L1324" t="s">
        <v>61</v>
      </c>
      <c r="M1324" t="s">
        <v>58</v>
      </c>
      <c r="Q1324" t="s">
        <v>58</v>
      </c>
      <c r="R1324" s="11" t="str">
        <f>HYPERLINK("\\imagefiles.bcgov\imagery\scanned_maps\moe_terrain_maps\Scanned_T_maps_all\K05\K05-2119","\\imagefiles.bcgov\imagery\scanned_maps\moe_terrain_maps\Scanned_T_maps_all\K05\K05-2119")</f>
        <v>\\imagefiles.bcgov\imagery\scanned_maps\moe_terrain_maps\Scanned_T_maps_all\K05\K05-2119</v>
      </c>
      <c r="S1324" t="s">
        <v>62</v>
      </c>
      <c r="T1324" s="11" t="str">
        <f>HYPERLINK("http://www.env.gov.bc.ca/esd/distdata/ecosystems/TEI_Scanned_Maps/K05/K05-2119","http://www.env.gov.bc.ca/esd/distdata/ecosystems/TEI_Scanned_Maps/K05/K05-2119")</f>
        <v>http://www.env.gov.bc.ca/esd/distdata/ecosystems/TEI_Scanned_Maps/K05/K05-2119</v>
      </c>
      <c r="U1324" t="s">
        <v>2487</v>
      </c>
      <c r="V1324" s="11" t="str">
        <f t="shared" ref="V1324:V1329" si="36">HYPERLINK("http://res.agr.ca/cansis/publications/surveys/bc/","http://res.agr.ca/cansis/publications/surveys/bc/")</f>
        <v>http://res.agr.ca/cansis/publications/surveys/bc/</v>
      </c>
      <c r="W1324" t="s">
        <v>2495</v>
      </c>
      <c r="X1324" s="11" t="str">
        <f t="shared" ref="X1324:X1329" si="37">HYPERLINK("http://www.em.gov.bc.ca/mining/geolsurv/terrain&amp;soils/frbcguid.htm","http://www.em.gov.bc.ca/mining/geolsurv/terrain&amp;soils/frbcguid.htm")</f>
        <v>http://www.em.gov.bc.ca/mining/geolsurv/terrain&amp;soils/frbcguid.htm</v>
      </c>
      <c r="Y1324" t="s">
        <v>2489</v>
      </c>
      <c r="Z1324" s="11" t="str">
        <f>HYPERLINK("http://www.em.gov.bc.ca/mining/geolsurv/terrain&amp;soils/frbcguid.htm","http://www.em.gov.bc.ca/mining/geolsurv/terrain&amp;soils/frbcguid.htm")</f>
        <v>http://www.em.gov.bc.ca/mining/geolsurv/terrain&amp;soils/frbcguid.htm</v>
      </c>
      <c r="AA1324" t="s">
        <v>269</v>
      </c>
      <c r="AB1324" s="11" t="str">
        <f>HYPERLINK("http://www.library.for.gov.bc.ca/#focus","http://www.library.for.gov.bc.ca/#focus")</f>
        <v>http://www.library.for.gov.bc.ca/#focus</v>
      </c>
      <c r="AC1324" t="s">
        <v>3053</v>
      </c>
      <c r="AD1324" s="11" t="str">
        <f>HYPERLINK("http://www.prsss.ca/","http://www.prsss.ca/")</f>
        <v>http://www.prsss.ca/</v>
      </c>
      <c r="AE1324" t="s">
        <v>58</v>
      </c>
      <c r="AG1324" t="s">
        <v>63</v>
      </c>
      <c r="AH1324" s="11" t="str">
        <f t="shared" si="25"/>
        <v>mailto: soilterrain@victoria1.gov.bc.ca</v>
      </c>
    </row>
    <row r="1325" spans="1:34">
      <c r="A1325" t="s">
        <v>3122</v>
      </c>
      <c r="B1325" t="s">
        <v>56</v>
      </c>
      <c r="C1325" s="10" t="s">
        <v>1937</v>
      </c>
      <c r="D1325" t="s">
        <v>58</v>
      </c>
      <c r="E1325" t="s">
        <v>3119</v>
      </c>
      <c r="F1325" t="s">
        <v>3123</v>
      </c>
      <c r="G1325">
        <v>100000</v>
      </c>
      <c r="H1325">
        <v>1983</v>
      </c>
      <c r="I1325" t="s">
        <v>3121</v>
      </c>
      <c r="J1325" t="s">
        <v>58</v>
      </c>
      <c r="K1325" t="s">
        <v>61</v>
      </c>
      <c r="L1325" t="s">
        <v>61</v>
      </c>
      <c r="M1325" t="s">
        <v>58</v>
      </c>
      <c r="Q1325" t="s">
        <v>58</v>
      </c>
      <c r="R1325" s="11" t="str">
        <f>HYPERLINK("\\imagefiles.bcgov\imagery\scanned_maps\moe_terrain_maps\Scanned_T_maps_all\K05\K05-2129","\\imagefiles.bcgov\imagery\scanned_maps\moe_terrain_maps\Scanned_T_maps_all\K05\K05-2129")</f>
        <v>\\imagefiles.bcgov\imagery\scanned_maps\moe_terrain_maps\Scanned_T_maps_all\K05\K05-2129</v>
      </c>
      <c r="S1325" t="s">
        <v>62</v>
      </c>
      <c r="T1325" s="11" t="str">
        <f>HYPERLINK("http://www.env.gov.bc.ca/esd/distdata/ecosystems/TEI_Scanned_Maps/K05/K05-2129","http://www.env.gov.bc.ca/esd/distdata/ecosystems/TEI_Scanned_Maps/K05/K05-2129")</f>
        <v>http://www.env.gov.bc.ca/esd/distdata/ecosystems/TEI_Scanned_Maps/K05/K05-2129</v>
      </c>
      <c r="U1325" t="s">
        <v>2487</v>
      </c>
      <c r="V1325" s="11" t="str">
        <f t="shared" si="36"/>
        <v>http://res.agr.ca/cansis/publications/surveys/bc/</v>
      </c>
      <c r="W1325" t="s">
        <v>2495</v>
      </c>
      <c r="X1325" s="11" t="str">
        <f t="shared" si="37"/>
        <v>http://www.em.gov.bc.ca/mining/geolsurv/terrain&amp;soils/frbcguid.htm</v>
      </c>
      <c r="Y1325" t="s">
        <v>2489</v>
      </c>
      <c r="Z1325" s="11" t="str">
        <f>HYPERLINK("http://www.em.gov.bc.ca/mining/geolsurv/terrain&amp;soils/frbcguid.htm","http://www.em.gov.bc.ca/mining/geolsurv/terrain&amp;soils/frbcguid.htm")</f>
        <v>http://www.em.gov.bc.ca/mining/geolsurv/terrain&amp;soils/frbcguid.htm</v>
      </c>
      <c r="AA1325" t="s">
        <v>269</v>
      </c>
      <c r="AB1325" s="11" t="str">
        <f>HYPERLINK("http://www.library.for.gov.bc.ca/#focus","http://www.library.for.gov.bc.ca/#focus")</f>
        <v>http://www.library.for.gov.bc.ca/#focus</v>
      </c>
      <c r="AC1325" t="s">
        <v>3053</v>
      </c>
      <c r="AD1325" s="11" t="str">
        <f>HYPERLINK("http://www.prsss.ca/","http://www.prsss.ca/")</f>
        <v>http://www.prsss.ca/</v>
      </c>
      <c r="AE1325" t="s">
        <v>58</v>
      </c>
      <c r="AG1325" t="s">
        <v>63</v>
      </c>
      <c r="AH1325" s="11" t="str">
        <f t="shared" si="25"/>
        <v>mailto: soilterrain@victoria1.gov.bc.ca</v>
      </c>
    </row>
    <row r="1326" spans="1:34">
      <c r="A1326" t="s">
        <v>3124</v>
      </c>
      <c r="B1326" t="s">
        <v>56</v>
      </c>
      <c r="C1326" s="10" t="s">
        <v>1940</v>
      </c>
      <c r="D1326" t="s">
        <v>58</v>
      </c>
      <c r="E1326" t="s">
        <v>3125</v>
      </c>
      <c r="F1326" t="s">
        <v>3126</v>
      </c>
      <c r="G1326">
        <v>100000</v>
      </c>
      <c r="H1326" t="s">
        <v>187</v>
      </c>
      <c r="I1326" t="s">
        <v>3127</v>
      </c>
      <c r="J1326" t="s">
        <v>58</v>
      </c>
      <c r="K1326" t="s">
        <v>61</v>
      </c>
      <c r="L1326" t="s">
        <v>61</v>
      </c>
      <c r="M1326" t="s">
        <v>58</v>
      </c>
      <c r="Q1326" t="s">
        <v>58</v>
      </c>
      <c r="R1326" s="11" t="str">
        <f>HYPERLINK("\\imagefiles.bcgov\imagery\scanned_maps\moe_terrain_maps\Scanned_T_maps_all\K05\K05-2175","\\imagefiles.bcgov\imagery\scanned_maps\moe_terrain_maps\Scanned_T_maps_all\K05\K05-2175")</f>
        <v>\\imagefiles.bcgov\imagery\scanned_maps\moe_terrain_maps\Scanned_T_maps_all\K05\K05-2175</v>
      </c>
      <c r="S1326" t="s">
        <v>62</v>
      </c>
      <c r="T1326" s="11" t="str">
        <f>HYPERLINK("http://www.env.gov.bc.ca/esd/distdata/ecosystems/TEI_Scanned_Maps/K05/K05-2175","http://www.env.gov.bc.ca/esd/distdata/ecosystems/TEI_Scanned_Maps/K05/K05-2175")</f>
        <v>http://www.env.gov.bc.ca/esd/distdata/ecosystems/TEI_Scanned_Maps/K05/K05-2175</v>
      </c>
      <c r="U1326" t="s">
        <v>2487</v>
      </c>
      <c r="V1326" s="11" t="str">
        <f t="shared" si="36"/>
        <v>http://res.agr.ca/cansis/publications/surveys/bc/</v>
      </c>
      <c r="W1326" t="s">
        <v>2495</v>
      </c>
      <c r="X1326" s="11" t="str">
        <f t="shared" si="37"/>
        <v>http://www.em.gov.bc.ca/mining/geolsurv/terrain&amp;soils/frbcguid.htm</v>
      </c>
      <c r="Y1326" t="s">
        <v>269</v>
      </c>
      <c r="Z1326" s="11" t="str">
        <f>HYPERLINK("http://www.library.for.gov.bc.ca/#focus","http://www.library.for.gov.bc.ca/#focus")</f>
        <v>http://www.library.for.gov.bc.ca/#focus</v>
      </c>
      <c r="AA1326" t="s">
        <v>3053</v>
      </c>
      <c r="AB1326" s="11" t="str">
        <f>HYPERLINK("http://www.prsss.ca/","http://www.prsss.ca/")</f>
        <v>http://www.prsss.ca/</v>
      </c>
      <c r="AC1326" t="s">
        <v>58</v>
      </c>
      <c r="AE1326" t="s">
        <v>58</v>
      </c>
      <c r="AG1326" t="s">
        <v>63</v>
      </c>
      <c r="AH1326" s="11" t="str">
        <f t="shared" si="25"/>
        <v>mailto: soilterrain@victoria1.gov.bc.ca</v>
      </c>
    </row>
    <row r="1327" spans="1:34">
      <c r="A1327" t="s">
        <v>3128</v>
      </c>
      <c r="B1327" t="s">
        <v>56</v>
      </c>
      <c r="C1327" s="10" t="s">
        <v>1943</v>
      </c>
      <c r="D1327" t="s">
        <v>58</v>
      </c>
      <c r="E1327" t="s">
        <v>3125</v>
      </c>
      <c r="F1327" t="s">
        <v>3129</v>
      </c>
      <c r="G1327">
        <v>100000</v>
      </c>
      <c r="H1327">
        <v>1986</v>
      </c>
      <c r="I1327" t="s">
        <v>3130</v>
      </c>
      <c r="J1327" t="s">
        <v>58</v>
      </c>
      <c r="K1327" t="s">
        <v>61</v>
      </c>
      <c r="L1327" t="s">
        <v>61</v>
      </c>
      <c r="M1327" t="s">
        <v>58</v>
      </c>
      <c r="Q1327" t="s">
        <v>58</v>
      </c>
      <c r="R1327" s="11" t="str">
        <f>HYPERLINK("\\imagefiles.bcgov\imagery\scanned_maps\moe_terrain_maps\Scanned_T_maps_all\K05\K05-2179","\\imagefiles.bcgov\imagery\scanned_maps\moe_terrain_maps\Scanned_T_maps_all\K05\K05-2179")</f>
        <v>\\imagefiles.bcgov\imagery\scanned_maps\moe_terrain_maps\Scanned_T_maps_all\K05\K05-2179</v>
      </c>
      <c r="S1327" t="s">
        <v>62</v>
      </c>
      <c r="T1327" s="11" t="str">
        <f>HYPERLINK("http://www.env.gov.bc.ca/esd/distdata/ecosystems/TEI_Scanned_Maps/K05/K05-2179","http://www.env.gov.bc.ca/esd/distdata/ecosystems/TEI_Scanned_Maps/K05/K05-2179")</f>
        <v>http://www.env.gov.bc.ca/esd/distdata/ecosystems/TEI_Scanned_Maps/K05/K05-2179</v>
      </c>
      <c r="U1327" t="s">
        <v>2487</v>
      </c>
      <c r="V1327" s="11" t="str">
        <f t="shared" si="36"/>
        <v>http://res.agr.ca/cansis/publications/surveys/bc/</v>
      </c>
      <c r="W1327" t="s">
        <v>2495</v>
      </c>
      <c r="X1327" s="11" t="str">
        <f t="shared" si="37"/>
        <v>http://www.em.gov.bc.ca/mining/geolsurv/terrain&amp;soils/frbcguid.htm</v>
      </c>
      <c r="Y1327" t="s">
        <v>2489</v>
      </c>
      <c r="Z1327" s="11" t="str">
        <f>HYPERLINK("http://www.em.gov.bc.ca/mining/geolsurv/terrain&amp;soils/frbcguid.htm","http://www.em.gov.bc.ca/mining/geolsurv/terrain&amp;soils/frbcguid.htm")</f>
        <v>http://www.em.gov.bc.ca/mining/geolsurv/terrain&amp;soils/frbcguid.htm</v>
      </c>
      <c r="AA1327" t="s">
        <v>269</v>
      </c>
      <c r="AB1327" s="11" t="str">
        <f>HYPERLINK("http://www.library.for.gov.bc.ca/#focus","http://www.library.for.gov.bc.ca/#focus")</f>
        <v>http://www.library.for.gov.bc.ca/#focus</v>
      </c>
      <c r="AC1327" t="s">
        <v>58</v>
      </c>
      <c r="AD1327" s="11" t="str">
        <f>HYPERLINK("http://www.env.gov.bc.ca/soils/project/report.html","http://www.env.gov.bc.ca/soils/project/report.html")</f>
        <v>http://www.env.gov.bc.ca/soils/project/report.html</v>
      </c>
      <c r="AE1327" t="s">
        <v>58</v>
      </c>
      <c r="AG1327" t="s">
        <v>63</v>
      </c>
      <c r="AH1327" s="11" t="str">
        <f t="shared" si="25"/>
        <v>mailto: soilterrain@victoria1.gov.bc.ca</v>
      </c>
    </row>
    <row r="1328" spans="1:34">
      <c r="A1328" t="s">
        <v>3131</v>
      </c>
      <c r="B1328" t="s">
        <v>56</v>
      </c>
      <c r="C1328" s="10" t="s">
        <v>1946</v>
      </c>
      <c r="D1328" t="s">
        <v>58</v>
      </c>
      <c r="E1328" t="s">
        <v>3132</v>
      </c>
      <c r="F1328" t="s">
        <v>3081</v>
      </c>
      <c r="G1328">
        <v>100000</v>
      </c>
      <c r="H1328">
        <v>1975</v>
      </c>
      <c r="I1328" t="s">
        <v>3133</v>
      </c>
      <c r="J1328" t="s">
        <v>58</v>
      </c>
      <c r="K1328" t="s">
        <v>61</v>
      </c>
      <c r="L1328" t="s">
        <v>61</v>
      </c>
      <c r="M1328" t="s">
        <v>58</v>
      </c>
      <c r="Q1328" t="s">
        <v>58</v>
      </c>
      <c r="R1328" s="11" t="str">
        <f>HYPERLINK("\\imagefiles.bcgov\imagery\scanned_maps\moe_terrain_maps\Scanned_T_maps_all\K05\K05-2183","\\imagefiles.bcgov\imagery\scanned_maps\moe_terrain_maps\Scanned_T_maps_all\K05\K05-2183")</f>
        <v>\\imagefiles.bcgov\imagery\scanned_maps\moe_terrain_maps\Scanned_T_maps_all\K05\K05-2183</v>
      </c>
      <c r="S1328" t="s">
        <v>62</v>
      </c>
      <c r="T1328" s="11" t="str">
        <f>HYPERLINK("http://www.env.gov.bc.ca/esd/distdata/ecosystems/TEI_Scanned_Maps/K05/K05-2183","http://www.env.gov.bc.ca/esd/distdata/ecosystems/TEI_Scanned_Maps/K05/K05-2183")</f>
        <v>http://www.env.gov.bc.ca/esd/distdata/ecosystems/TEI_Scanned_Maps/K05/K05-2183</v>
      </c>
      <c r="U1328" t="s">
        <v>2487</v>
      </c>
      <c r="V1328" s="11" t="str">
        <f t="shared" si="36"/>
        <v>http://res.agr.ca/cansis/publications/surveys/bc/</v>
      </c>
      <c r="W1328" t="s">
        <v>2495</v>
      </c>
      <c r="X1328" s="11" t="str">
        <f t="shared" si="37"/>
        <v>http://www.em.gov.bc.ca/mining/geolsurv/terrain&amp;soils/frbcguid.htm</v>
      </c>
      <c r="Y1328" t="s">
        <v>2489</v>
      </c>
      <c r="Z1328" s="11" t="str">
        <f>HYPERLINK("http://www.em.gov.bc.ca/mining/geolsurv/terrain&amp;soils/frbcguid.htm","http://www.em.gov.bc.ca/mining/geolsurv/terrain&amp;soils/frbcguid.htm")</f>
        <v>http://www.em.gov.bc.ca/mining/geolsurv/terrain&amp;soils/frbcguid.htm</v>
      </c>
      <c r="AA1328" t="s">
        <v>269</v>
      </c>
      <c r="AB1328" s="11" t="str">
        <f>HYPERLINK("http://www.library.for.gov.bc.ca/#focus","http://www.library.for.gov.bc.ca/#focus")</f>
        <v>http://www.library.for.gov.bc.ca/#focus</v>
      </c>
      <c r="AC1328" t="s">
        <v>58</v>
      </c>
      <c r="AD1328" s="11" t="str">
        <f>HYPERLINK("http://www.env.gov.bc.ca/soils/project/report.html","http://www.env.gov.bc.ca/soils/project/report.html")</f>
        <v>http://www.env.gov.bc.ca/soils/project/report.html</v>
      </c>
      <c r="AE1328" t="s">
        <v>58</v>
      </c>
      <c r="AG1328" t="s">
        <v>63</v>
      </c>
      <c r="AH1328" s="11" t="str">
        <f t="shared" si="25"/>
        <v>mailto: soilterrain@victoria1.gov.bc.ca</v>
      </c>
    </row>
    <row r="1329" spans="1:34">
      <c r="A1329" t="s">
        <v>3134</v>
      </c>
      <c r="B1329" t="s">
        <v>56</v>
      </c>
      <c r="C1329" s="10" t="s">
        <v>1949</v>
      </c>
      <c r="D1329" t="s">
        <v>58</v>
      </c>
      <c r="E1329" t="s">
        <v>3132</v>
      </c>
      <c r="F1329" t="s">
        <v>3081</v>
      </c>
      <c r="G1329">
        <v>100000</v>
      </c>
      <c r="H1329">
        <v>1986</v>
      </c>
      <c r="I1329" t="s">
        <v>3133</v>
      </c>
      <c r="J1329" t="s">
        <v>58</v>
      </c>
      <c r="K1329" t="s">
        <v>61</v>
      </c>
      <c r="L1329" t="s">
        <v>61</v>
      </c>
      <c r="M1329" t="s">
        <v>58</v>
      </c>
      <c r="Q1329" t="s">
        <v>58</v>
      </c>
      <c r="R1329" s="11" t="str">
        <f>HYPERLINK("\\imagefiles.bcgov\imagery\scanned_maps\moe_terrain_maps\Scanned_T_maps_all\K05\K05-2188","\\imagefiles.bcgov\imagery\scanned_maps\moe_terrain_maps\Scanned_T_maps_all\K05\K05-2188")</f>
        <v>\\imagefiles.bcgov\imagery\scanned_maps\moe_terrain_maps\Scanned_T_maps_all\K05\K05-2188</v>
      </c>
      <c r="S1329" t="s">
        <v>62</v>
      </c>
      <c r="T1329" s="11" t="str">
        <f>HYPERLINK("http://www.env.gov.bc.ca/esd/distdata/ecosystems/TEI_Scanned_Maps/K05/K05-2188","http://www.env.gov.bc.ca/esd/distdata/ecosystems/TEI_Scanned_Maps/K05/K05-2188")</f>
        <v>http://www.env.gov.bc.ca/esd/distdata/ecosystems/TEI_Scanned_Maps/K05/K05-2188</v>
      </c>
      <c r="U1329" t="s">
        <v>2487</v>
      </c>
      <c r="V1329" s="11" t="str">
        <f t="shared" si="36"/>
        <v>http://res.agr.ca/cansis/publications/surveys/bc/</v>
      </c>
      <c r="W1329" t="s">
        <v>2495</v>
      </c>
      <c r="X1329" s="11" t="str">
        <f t="shared" si="37"/>
        <v>http://www.em.gov.bc.ca/mining/geolsurv/terrain&amp;soils/frbcguid.htm</v>
      </c>
      <c r="Y1329" t="s">
        <v>2489</v>
      </c>
      <c r="Z1329" s="11" t="str">
        <f>HYPERLINK("http://www.em.gov.bc.ca/mining/geolsurv/terrain&amp;soils/frbcguid.htm","http://www.em.gov.bc.ca/mining/geolsurv/terrain&amp;soils/frbcguid.htm")</f>
        <v>http://www.em.gov.bc.ca/mining/geolsurv/terrain&amp;soils/frbcguid.htm</v>
      </c>
      <c r="AA1329" t="s">
        <v>269</v>
      </c>
      <c r="AB1329" s="11" t="str">
        <f>HYPERLINK("http://www.library.for.gov.bc.ca/#focus","http://www.library.for.gov.bc.ca/#focus")</f>
        <v>http://www.library.for.gov.bc.ca/#focus</v>
      </c>
      <c r="AC1329" t="s">
        <v>58</v>
      </c>
      <c r="AD1329" s="11" t="str">
        <f>HYPERLINK("http://www.env.gov.bc.ca/soils/project/report.html","http://www.env.gov.bc.ca/soils/project/report.html")</f>
        <v>http://www.env.gov.bc.ca/soils/project/report.html</v>
      </c>
      <c r="AE1329" t="s">
        <v>58</v>
      </c>
      <c r="AG1329" t="s">
        <v>63</v>
      </c>
      <c r="AH1329" s="11" t="str">
        <f t="shared" si="25"/>
        <v>mailto: soilterrain@victoria1.gov.bc.ca</v>
      </c>
    </row>
    <row r="1330" spans="1:34">
      <c r="A1330" t="s">
        <v>3135</v>
      </c>
      <c r="B1330" t="s">
        <v>56</v>
      </c>
      <c r="C1330" s="10" t="s">
        <v>1952</v>
      </c>
      <c r="D1330" t="s">
        <v>58</v>
      </c>
      <c r="E1330" t="s">
        <v>2931</v>
      </c>
      <c r="F1330" t="s">
        <v>3136</v>
      </c>
      <c r="G1330">
        <v>125000</v>
      </c>
      <c r="H1330">
        <v>1975</v>
      </c>
      <c r="I1330" t="s">
        <v>58</v>
      </c>
      <c r="J1330" t="s">
        <v>58</v>
      </c>
      <c r="K1330" t="s">
        <v>61</v>
      </c>
      <c r="L1330" t="s">
        <v>61</v>
      </c>
      <c r="M1330" t="s">
        <v>58</v>
      </c>
      <c r="Q1330" t="s">
        <v>58</v>
      </c>
      <c r="R1330" s="11" t="str">
        <f>HYPERLINK("\\imagefiles.bcgov\imagery\scanned_maps\moe_terrain_maps\Scanned_T_maps_all\K05\K05-2224","\\imagefiles.bcgov\imagery\scanned_maps\moe_terrain_maps\Scanned_T_maps_all\K05\K05-2224")</f>
        <v>\\imagefiles.bcgov\imagery\scanned_maps\moe_terrain_maps\Scanned_T_maps_all\K05\K05-2224</v>
      </c>
      <c r="S1330" t="s">
        <v>62</v>
      </c>
      <c r="T1330" s="11" t="str">
        <f>HYPERLINK("http://www.env.gov.bc.ca/esd/distdata/ecosystems/TEI_Scanned_Maps/K05/K05-2224","http://www.env.gov.bc.ca/esd/distdata/ecosystems/TEI_Scanned_Maps/K05/K05-2224")</f>
        <v>http://www.env.gov.bc.ca/esd/distdata/ecosystems/TEI_Scanned_Maps/K05/K05-2224</v>
      </c>
      <c r="U1330" t="s">
        <v>58</v>
      </c>
      <c r="V1330" t="s">
        <v>58</v>
      </c>
      <c r="W1330" t="s">
        <v>58</v>
      </c>
      <c r="X1330" t="s">
        <v>58</v>
      </c>
      <c r="Y1330" t="s">
        <v>58</v>
      </c>
      <c r="Z1330" t="s">
        <v>58</v>
      </c>
      <c r="AA1330" t="s">
        <v>58</v>
      </c>
      <c r="AC1330" t="s">
        <v>58</v>
      </c>
      <c r="AE1330" t="s">
        <v>58</v>
      </c>
      <c r="AG1330" t="s">
        <v>63</v>
      </c>
      <c r="AH1330" s="11" t="str">
        <f t="shared" si="25"/>
        <v>mailto: soilterrain@victoria1.gov.bc.ca</v>
      </c>
    </row>
    <row r="1331" spans="1:34">
      <c r="A1331" t="s">
        <v>3137</v>
      </c>
      <c r="B1331" t="s">
        <v>56</v>
      </c>
      <c r="C1331" s="10" t="s">
        <v>1955</v>
      </c>
      <c r="D1331" t="s">
        <v>58</v>
      </c>
      <c r="E1331" t="s">
        <v>3138</v>
      </c>
      <c r="F1331" t="s">
        <v>3139</v>
      </c>
      <c r="G1331">
        <v>125000</v>
      </c>
      <c r="H1331">
        <v>1986</v>
      </c>
      <c r="I1331" t="s">
        <v>3140</v>
      </c>
      <c r="J1331" t="s">
        <v>58</v>
      </c>
      <c r="K1331" t="s">
        <v>61</v>
      </c>
      <c r="L1331" t="s">
        <v>61</v>
      </c>
      <c r="M1331" t="s">
        <v>58</v>
      </c>
      <c r="Q1331" t="s">
        <v>58</v>
      </c>
      <c r="R1331" s="11" t="str">
        <f>HYPERLINK("\\imagefiles.bcgov\imagery\scanned_maps\moe_terrain_maps\Scanned_T_maps_all\K05\K05-2251","\\imagefiles.bcgov\imagery\scanned_maps\moe_terrain_maps\Scanned_T_maps_all\K05\K05-2251")</f>
        <v>\\imagefiles.bcgov\imagery\scanned_maps\moe_terrain_maps\Scanned_T_maps_all\K05\K05-2251</v>
      </c>
      <c r="S1331" t="s">
        <v>62</v>
      </c>
      <c r="T1331" s="11" t="str">
        <f>HYPERLINK("http://www.env.gov.bc.ca/esd/distdata/ecosystems/TEI_Scanned_Maps/K05/K05-2251","http://www.env.gov.bc.ca/esd/distdata/ecosystems/TEI_Scanned_Maps/K05/K05-2251")</f>
        <v>http://www.env.gov.bc.ca/esd/distdata/ecosystems/TEI_Scanned_Maps/K05/K05-2251</v>
      </c>
      <c r="U1331" t="s">
        <v>2487</v>
      </c>
      <c r="V1331" s="11" t="str">
        <f>HYPERLINK("http://res.agr.ca/cansis/publications/surveys/bc/","http://res.agr.ca/cansis/publications/surveys/bc/")</f>
        <v>http://res.agr.ca/cansis/publications/surveys/bc/</v>
      </c>
      <c r="W1331" t="s">
        <v>2489</v>
      </c>
      <c r="X1331" s="11" t="str">
        <f>HYPERLINK("http://www.em.gov.bc.ca/mining/geolsurv/terrain&amp;soils/frbcguid.htm","http://www.em.gov.bc.ca/mining/geolsurv/terrain&amp;soils/frbcguid.htm")</f>
        <v>http://www.em.gov.bc.ca/mining/geolsurv/terrain&amp;soils/frbcguid.htm</v>
      </c>
      <c r="Y1331" t="s">
        <v>979</v>
      </c>
      <c r="Z1331" s="11" t="str">
        <f>HYPERLINK("http://www.prsss.ca/","http://www.prsss.ca/")</f>
        <v>http://www.prsss.ca/</v>
      </c>
      <c r="AA1331" t="s">
        <v>269</v>
      </c>
      <c r="AB1331" s="11" t="str">
        <f>HYPERLINK("http://www.library.for.gov.bc.ca/#focus","http://www.library.for.gov.bc.ca/#focus")</f>
        <v>http://www.library.for.gov.bc.ca/#focus</v>
      </c>
      <c r="AC1331" t="s">
        <v>58</v>
      </c>
      <c r="AE1331" t="s">
        <v>58</v>
      </c>
      <c r="AG1331" t="s">
        <v>63</v>
      </c>
      <c r="AH1331" s="11" t="str">
        <f t="shared" si="25"/>
        <v>mailto: soilterrain@victoria1.gov.bc.ca</v>
      </c>
    </row>
    <row r="1332" spans="1:34">
      <c r="A1332" t="s">
        <v>3141</v>
      </c>
      <c r="B1332" t="s">
        <v>56</v>
      </c>
      <c r="C1332" s="10" t="s">
        <v>1958</v>
      </c>
      <c r="D1332" t="s">
        <v>58</v>
      </c>
      <c r="E1332" t="s">
        <v>3138</v>
      </c>
      <c r="F1332" t="s">
        <v>3142</v>
      </c>
      <c r="G1332">
        <v>125000</v>
      </c>
      <c r="H1332" t="s">
        <v>187</v>
      </c>
      <c r="I1332" t="s">
        <v>3140</v>
      </c>
      <c r="J1332" t="s">
        <v>58</v>
      </c>
      <c r="K1332" t="s">
        <v>61</v>
      </c>
      <c r="L1332" t="s">
        <v>61</v>
      </c>
      <c r="M1332" t="s">
        <v>58</v>
      </c>
      <c r="Q1332" t="s">
        <v>58</v>
      </c>
      <c r="R1332" s="11" t="str">
        <f>HYPERLINK("\\imagefiles.bcgov\imagery\scanned_maps\moe_terrain_maps\Scanned_T_maps_all\K05\K05-2261","\\imagefiles.bcgov\imagery\scanned_maps\moe_terrain_maps\Scanned_T_maps_all\K05\K05-2261")</f>
        <v>\\imagefiles.bcgov\imagery\scanned_maps\moe_terrain_maps\Scanned_T_maps_all\K05\K05-2261</v>
      </c>
      <c r="S1332" t="s">
        <v>62</v>
      </c>
      <c r="T1332" s="11" t="str">
        <f>HYPERLINK("http://www.env.gov.bc.ca/esd/distdata/ecosystems/TEI_Scanned_Maps/K05/K05-2261","http://www.env.gov.bc.ca/esd/distdata/ecosystems/TEI_Scanned_Maps/K05/K05-2261")</f>
        <v>http://www.env.gov.bc.ca/esd/distdata/ecosystems/TEI_Scanned_Maps/K05/K05-2261</v>
      </c>
      <c r="U1332" t="s">
        <v>2487</v>
      </c>
      <c r="V1332" s="11" t="str">
        <f>HYPERLINK("http://res.agr.ca/cansis/publications/surveys/bc/","http://res.agr.ca/cansis/publications/surveys/bc/")</f>
        <v>http://res.agr.ca/cansis/publications/surveys/bc/</v>
      </c>
      <c r="W1332" t="s">
        <v>2489</v>
      </c>
      <c r="X1332" s="11" t="str">
        <f>HYPERLINK("http://www.em.gov.bc.ca/mining/geolsurv/terrain&amp;soils/frbcguid.htm","http://www.em.gov.bc.ca/mining/geolsurv/terrain&amp;soils/frbcguid.htm")</f>
        <v>http://www.em.gov.bc.ca/mining/geolsurv/terrain&amp;soils/frbcguid.htm</v>
      </c>
      <c r="Y1332" t="s">
        <v>979</v>
      </c>
      <c r="Z1332" s="11" t="str">
        <f>HYPERLINK("http://www.prsss.ca/","http://www.prsss.ca/")</f>
        <v>http://www.prsss.ca/</v>
      </c>
      <c r="AA1332" t="s">
        <v>269</v>
      </c>
      <c r="AB1332" s="11" t="str">
        <f>HYPERLINK("http://www.library.for.gov.bc.ca/#focus","http://www.library.for.gov.bc.ca/#focus")</f>
        <v>http://www.library.for.gov.bc.ca/#focus</v>
      </c>
      <c r="AC1332" t="s">
        <v>58</v>
      </c>
      <c r="AE1332" t="s">
        <v>58</v>
      </c>
      <c r="AG1332" t="s">
        <v>63</v>
      </c>
      <c r="AH1332" s="11" t="str">
        <f t="shared" si="25"/>
        <v>mailto: soilterrain@victoria1.gov.bc.ca</v>
      </c>
    </row>
    <row r="1333" spans="1:34">
      <c r="A1333" t="s">
        <v>3143</v>
      </c>
      <c r="B1333" t="s">
        <v>56</v>
      </c>
      <c r="C1333" s="10" t="s">
        <v>3144</v>
      </c>
      <c r="D1333" t="s">
        <v>58</v>
      </c>
      <c r="E1333" t="s">
        <v>2931</v>
      </c>
      <c r="F1333" t="s">
        <v>3145</v>
      </c>
      <c r="G1333">
        <v>125000</v>
      </c>
      <c r="H1333" t="s">
        <v>187</v>
      </c>
      <c r="I1333" t="s">
        <v>58</v>
      </c>
      <c r="J1333" t="s">
        <v>58</v>
      </c>
      <c r="K1333" t="s">
        <v>61</v>
      </c>
      <c r="L1333" t="s">
        <v>61</v>
      </c>
      <c r="M1333" t="s">
        <v>58</v>
      </c>
      <c r="Q1333" t="s">
        <v>58</v>
      </c>
      <c r="R1333" s="11" t="str">
        <f>HYPERLINK("\\imagefiles.bcgov\imagery\scanned_maps\moe_terrain_maps\Scanned_T_maps_all\K05\K05-2263","\\imagefiles.bcgov\imagery\scanned_maps\moe_terrain_maps\Scanned_T_maps_all\K05\K05-2263")</f>
        <v>\\imagefiles.bcgov\imagery\scanned_maps\moe_terrain_maps\Scanned_T_maps_all\K05\K05-2263</v>
      </c>
      <c r="S1333" t="s">
        <v>62</v>
      </c>
      <c r="T1333" s="11" t="str">
        <f>HYPERLINK("http://www.env.gov.bc.ca/esd/distdata/ecosystems/TEI_Scanned_Maps/K05/K05-2263","http://www.env.gov.bc.ca/esd/distdata/ecosystems/TEI_Scanned_Maps/K05/K05-2263")</f>
        <v>http://www.env.gov.bc.ca/esd/distdata/ecosystems/TEI_Scanned_Maps/K05/K05-2263</v>
      </c>
      <c r="U1333" t="s">
        <v>58</v>
      </c>
      <c r="V1333" t="s">
        <v>58</v>
      </c>
      <c r="W1333" t="s">
        <v>58</v>
      </c>
      <c r="X1333" t="s">
        <v>58</v>
      </c>
      <c r="Y1333" t="s">
        <v>58</v>
      </c>
      <c r="Z1333" t="s">
        <v>58</v>
      </c>
      <c r="AA1333" t="s">
        <v>58</v>
      </c>
      <c r="AC1333" t="s">
        <v>58</v>
      </c>
      <c r="AE1333" t="s">
        <v>58</v>
      </c>
      <c r="AG1333" t="s">
        <v>63</v>
      </c>
      <c r="AH1333" s="11" t="str">
        <f t="shared" si="25"/>
        <v>mailto: soilterrain@victoria1.gov.bc.ca</v>
      </c>
    </row>
    <row r="1334" spans="1:34">
      <c r="A1334" t="s">
        <v>3146</v>
      </c>
      <c r="B1334" t="s">
        <v>56</v>
      </c>
      <c r="C1334" s="10" t="s">
        <v>1961</v>
      </c>
      <c r="D1334" t="s">
        <v>58</v>
      </c>
      <c r="E1334" t="s">
        <v>3147</v>
      </c>
      <c r="F1334" t="s">
        <v>3148</v>
      </c>
      <c r="G1334">
        <v>100000</v>
      </c>
      <c r="H1334">
        <v>1974</v>
      </c>
      <c r="I1334" t="s">
        <v>3149</v>
      </c>
      <c r="J1334" t="s">
        <v>58</v>
      </c>
      <c r="K1334" t="s">
        <v>61</v>
      </c>
      <c r="L1334" t="s">
        <v>61</v>
      </c>
      <c r="M1334" t="s">
        <v>58</v>
      </c>
      <c r="Q1334" t="s">
        <v>58</v>
      </c>
      <c r="R1334" s="11" t="str">
        <f>HYPERLINK("\\imagefiles.bcgov\imagery\scanned_maps\moe_terrain_maps\Scanned_T_maps_all\K05\K05-2304","\\imagefiles.bcgov\imagery\scanned_maps\moe_terrain_maps\Scanned_T_maps_all\K05\K05-2304")</f>
        <v>\\imagefiles.bcgov\imagery\scanned_maps\moe_terrain_maps\Scanned_T_maps_all\K05\K05-2304</v>
      </c>
      <c r="S1334" t="s">
        <v>62</v>
      </c>
      <c r="T1334" s="11" t="str">
        <f>HYPERLINK("http://www.env.gov.bc.ca/esd/distdata/ecosystems/TEI_Scanned_Maps/K05/K05-2304","http://www.env.gov.bc.ca/esd/distdata/ecosystems/TEI_Scanned_Maps/K05/K05-2304")</f>
        <v>http://www.env.gov.bc.ca/esd/distdata/ecosystems/TEI_Scanned_Maps/K05/K05-2304</v>
      </c>
      <c r="U1334" t="s">
        <v>2495</v>
      </c>
      <c r="V1334" s="11" t="str">
        <f>HYPERLINK("http://www.em.gov.bc.ca/mining/geolsurv/terrain&amp;soils/frbcguid.htm","http://www.em.gov.bc.ca/mining/geolsurv/terrain&amp;soils/frbcguid.htm")</f>
        <v>http://www.em.gov.bc.ca/mining/geolsurv/terrain&amp;soils/frbcguid.htm</v>
      </c>
      <c r="W1334" t="s">
        <v>2489</v>
      </c>
      <c r="X1334" s="11" t="str">
        <f t="shared" ref="X1334:X1350" si="38">HYPERLINK("http://www.em.gov.bc.ca/mining/geolsurv/terrain&amp;soils/frbcguid.htm","http://www.em.gov.bc.ca/mining/geolsurv/terrain&amp;soils/frbcguid.htm")</f>
        <v>http://www.em.gov.bc.ca/mining/geolsurv/terrain&amp;soils/frbcguid.htm</v>
      </c>
      <c r="Y1334" t="s">
        <v>269</v>
      </c>
      <c r="Z1334" s="11" t="str">
        <f>HYPERLINK("http://www.library.for.gov.bc.ca/#focus","http://www.library.for.gov.bc.ca/#focus")</f>
        <v>http://www.library.for.gov.bc.ca/#focus</v>
      </c>
      <c r="AA1334" t="s">
        <v>2500</v>
      </c>
      <c r="AB1334" s="11" t="str">
        <f>HYPERLINK("http://www.crownpub.bc.ca/","http://www.crownpub.bc.ca/")</f>
        <v>http://www.crownpub.bc.ca/</v>
      </c>
      <c r="AC1334" t="s">
        <v>58</v>
      </c>
      <c r="AD1334" s="11" t="str">
        <f>HYPERLINK("http://www.env.gov.bc.ca/soils/project/report.html","http://www.env.gov.bc.ca/soils/project/report.html")</f>
        <v>http://www.env.gov.bc.ca/soils/project/report.html</v>
      </c>
      <c r="AE1334" t="s">
        <v>58</v>
      </c>
      <c r="AG1334" t="s">
        <v>63</v>
      </c>
      <c r="AH1334" s="11" t="str">
        <f t="shared" si="25"/>
        <v>mailto: soilterrain@victoria1.gov.bc.ca</v>
      </c>
    </row>
    <row r="1335" spans="1:34">
      <c r="A1335" t="s">
        <v>3150</v>
      </c>
      <c r="B1335" t="s">
        <v>56</v>
      </c>
      <c r="C1335" s="10" t="s">
        <v>1964</v>
      </c>
      <c r="D1335" t="s">
        <v>58</v>
      </c>
      <c r="E1335" t="s">
        <v>3147</v>
      </c>
      <c r="F1335" t="s">
        <v>3151</v>
      </c>
      <c r="G1335">
        <v>100000</v>
      </c>
      <c r="H1335" t="s">
        <v>187</v>
      </c>
      <c r="I1335" t="s">
        <v>3149</v>
      </c>
      <c r="J1335" t="s">
        <v>58</v>
      </c>
      <c r="K1335" t="s">
        <v>61</v>
      </c>
      <c r="L1335" t="s">
        <v>61</v>
      </c>
      <c r="M1335" t="s">
        <v>58</v>
      </c>
      <c r="Q1335" t="s">
        <v>58</v>
      </c>
      <c r="R1335" s="11" t="str">
        <f>HYPERLINK("\\imagefiles.bcgov\imagery\scanned_maps\moe_terrain_maps\Scanned_T_maps_all\K05\K05-2310","\\imagefiles.bcgov\imagery\scanned_maps\moe_terrain_maps\Scanned_T_maps_all\K05\K05-2310")</f>
        <v>\\imagefiles.bcgov\imagery\scanned_maps\moe_terrain_maps\Scanned_T_maps_all\K05\K05-2310</v>
      </c>
      <c r="S1335" t="s">
        <v>62</v>
      </c>
      <c r="T1335" s="11" t="str">
        <f>HYPERLINK("http://www.env.gov.bc.ca/esd/distdata/ecosystems/TEI_Scanned_Maps/K05/K05-2310","http://www.env.gov.bc.ca/esd/distdata/ecosystems/TEI_Scanned_Maps/K05/K05-2310")</f>
        <v>http://www.env.gov.bc.ca/esd/distdata/ecosystems/TEI_Scanned_Maps/K05/K05-2310</v>
      </c>
      <c r="U1335" t="s">
        <v>2495</v>
      </c>
      <c r="V1335" s="11" t="str">
        <f>HYPERLINK("http://www.em.gov.bc.ca/mining/geolsurv/terrain&amp;soils/frbcguid.htm","http://www.em.gov.bc.ca/mining/geolsurv/terrain&amp;soils/frbcguid.htm")</f>
        <v>http://www.em.gov.bc.ca/mining/geolsurv/terrain&amp;soils/frbcguid.htm</v>
      </c>
      <c r="W1335" t="s">
        <v>2489</v>
      </c>
      <c r="X1335" s="11" t="str">
        <f t="shared" si="38"/>
        <v>http://www.em.gov.bc.ca/mining/geolsurv/terrain&amp;soils/frbcguid.htm</v>
      </c>
      <c r="Y1335" t="s">
        <v>269</v>
      </c>
      <c r="Z1335" s="11" t="str">
        <f>HYPERLINK("http://www.library.for.gov.bc.ca/#focus","http://www.library.for.gov.bc.ca/#focus")</f>
        <v>http://www.library.for.gov.bc.ca/#focus</v>
      </c>
      <c r="AA1335" t="s">
        <v>2500</v>
      </c>
      <c r="AB1335" s="11" t="str">
        <f>HYPERLINK("http://www.crownpub.bc.ca/","http://www.crownpub.bc.ca/")</f>
        <v>http://www.crownpub.bc.ca/</v>
      </c>
      <c r="AC1335" t="s">
        <v>58</v>
      </c>
      <c r="AD1335" s="11" t="str">
        <f>HYPERLINK("http://www.env.gov.bc.ca/soils/project/report.html","http://www.env.gov.bc.ca/soils/project/report.html")</f>
        <v>http://www.env.gov.bc.ca/soils/project/report.html</v>
      </c>
      <c r="AE1335" t="s">
        <v>58</v>
      </c>
      <c r="AG1335" t="s">
        <v>63</v>
      </c>
      <c r="AH1335" s="11" t="str">
        <f t="shared" si="25"/>
        <v>mailto: soilterrain@victoria1.gov.bc.ca</v>
      </c>
    </row>
    <row r="1336" spans="1:34">
      <c r="A1336" t="s">
        <v>3152</v>
      </c>
      <c r="B1336" t="s">
        <v>56</v>
      </c>
      <c r="C1336" s="10" t="s">
        <v>2066</v>
      </c>
      <c r="D1336" t="s">
        <v>58</v>
      </c>
      <c r="E1336" t="s">
        <v>3125</v>
      </c>
      <c r="F1336" t="s">
        <v>3153</v>
      </c>
      <c r="G1336">
        <v>100000</v>
      </c>
      <c r="H1336">
        <v>1974</v>
      </c>
      <c r="I1336" t="s">
        <v>3127</v>
      </c>
      <c r="J1336" t="s">
        <v>58</v>
      </c>
      <c r="K1336" t="s">
        <v>61</v>
      </c>
      <c r="L1336" t="s">
        <v>61</v>
      </c>
      <c r="M1336" t="s">
        <v>58</v>
      </c>
      <c r="Q1336" t="s">
        <v>58</v>
      </c>
      <c r="R1336" s="11" t="str">
        <f>HYPERLINK("\\imagefiles.bcgov\imagery\scanned_maps\moe_terrain_maps\Scanned_T_maps_all\K05\K05-2313","\\imagefiles.bcgov\imagery\scanned_maps\moe_terrain_maps\Scanned_T_maps_all\K05\K05-2313")</f>
        <v>\\imagefiles.bcgov\imagery\scanned_maps\moe_terrain_maps\Scanned_T_maps_all\K05\K05-2313</v>
      </c>
      <c r="S1336" t="s">
        <v>62</v>
      </c>
      <c r="T1336" s="11" t="str">
        <f>HYPERLINK("http://www.env.gov.bc.ca/esd/distdata/ecosystems/TEI_Scanned_Maps/K05/K05-2313","http://www.env.gov.bc.ca/esd/distdata/ecosystems/TEI_Scanned_Maps/K05/K05-2313")</f>
        <v>http://www.env.gov.bc.ca/esd/distdata/ecosystems/TEI_Scanned_Maps/K05/K05-2313</v>
      </c>
      <c r="U1336" t="s">
        <v>2487</v>
      </c>
      <c r="V1336" s="11" t="str">
        <f>HYPERLINK("http://res.agr.ca/cansis/publications/surveys/bc/","http://res.agr.ca/cansis/publications/surveys/bc/")</f>
        <v>http://res.agr.ca/cansis/publications/surveys/bc/</v>
      </c>
      <c r="W1336" t="s">
        <v>2495</v>
      </c>
      <c r="X1336" s="11" t="str">
        <f t="shared" si="38"/>
        <v>http://www.em.gov.bc.ca/mining/geolsurv/terrain&amp;soils/frbcguid.htm</v>
      </c>
      <c r="Y1336" t="s">
        <v>269</v>
      </c>
      <c r="Z1336" s="11" t="str">
        <f>HYPERLINK("http://www.library.for.gov.bc.ca/#focus","http://www.library.for.gov.bc.ca/#focus")</f>
        <v>http://www.library.for.gov.bc.ca/#focus</v>
      </c>
      <c r="AA1336" t="s">
        <v>3053</v>
      </c>
      <c r="AB1336" s="11" t="str">
        <f>HYPERLINK("http://www.prsss.ca/","http://www.prsss.ca/")</f>
        <v>http://www.prsss.ca/</v>
      </c>
      <c r="AC1336" t="s">
        <v>58</v>
      </c>
      <c r="AE1336" t="s">
        <v>58</v>
      </c>
      <c r="AG1336" t="s">
        <v>63</v>
      </c>
      <c r="AH1336" s="11" t="str">
        <f t="shared" si="25"/>
        <v>mailto: soilterrain@victoria1.gov.bc.ca</v>
      </c>
    </row>
    <row r="1337" spans="1:34">
      <c r="A1337" t="s">
        <v>3154</v>
      </c>
      <c r="B1337" t="s">
        <v>56</v>
      </c>
      <c r="C1337" s="10" t="s">
        <v>1969</v>
      </c>
      <c r="D1337" t="s">
        <v>58</v>
      </c>
      <c r="E1337" t="s">
        <v>3155</v>
      </c>
      <c r="F1337" t="s">
        <v>3129</v>
      </c>
      <c r="G1337">
        <v>100000</v>
      </c>
      <c r="H1337">
        <v>1980</v>
      </c>
      <c r="I1337" t="s">
        <v>3130</v>
      </c>
      <c r="J1337" t="s">
        <v>58</v>
      </c>
      <c r="K1337" t="s">
        <v>61</v>
      </c>
      <c r="L1337" t="s">
        <v>61</v>
      </c>
      <c r="M1337" t="s">
        <v>58</v>
      </c>
      <c r="Q1337" t="s">
        <v>58</v>
      </c>
      <c r="R1337" s="11" t="str">
        <f>HYPERLINK("\\imagefiles.bcgov\imagery\scanned_maps\moe_terrain_maps\Scanned_T_maps_all\K05\K05-2317","\\imagefiles.bcgov\imagery\scanned_maps\moe_terrain_maps\Scanned_T_maps_all\K05\K05-2317")</f>
        <v>\\imagefiles.bcgov\imagery\scanned_maps\moe_terrain_maps\Scanned_T_maps_all\K05\K05-2317</v>
      </c>
      <c r="S1337" t="s">
        <v>62</v>
      </c>
      <c r="T1337" s="11" t="str">
        <f>HYPERLINK("http://www.env.gov.bc.ca/esd/distdata/ecosystems/TEI_Scanned_Maps/K05/K05-2317","http://www.env.gov.bc.ca/esd/distdata/ecosystems/TEI_Scanned_Maps/K05/K05-2317")</f>
        <v>http://www.env.gov.bc.ca/esd/distdata/ecosystems/TEI_Scanned_Maps/K05/K05-2317</v>
      </c>
      <c r="U1337" t="s">
        <v>2487</v>
      </c>
      <c r="V1337" s="11" t="str">
        <f>HYPERLINK("http://res.agr.ca/cansis/publications/surveys/bc/","http://res.agr.ca/cansis/publications/surveys/bc/")</f>
        <v>http://res.agr.ca/cansis/publications/surveys/bc/</v>
      </c>
      <c r="W1337" t="s">
        <v>2495</v>
      </c>
      <c r="X1337" s="11" t="str">
        <f t="shared" si="38"/>
        <v>http://www.em.gov.bc.ca/mining/geolsurv/terrain&amp;soils/frbcguid.htm</v>
      </c>
      <c r="Y1337" t="s">
        <v>2489</v>
      </c>
      <c r="Z1337" s="11" t="str">
        <f>HYPERLINK("http://www.em.gov.bc.ca/mining/geolsurv/terrain&amp;soils/frbcguid.htm","http://www.em.gov.bc.ca/mining/geolsurv/terrain&amp;soils/frbcguid.htm")</f>
        <v>http://www.em.gov.bc.ca/mining/geolsurv/terrain&amp;soils/frbcguid.htm</v>
      </c>
      <c r="AA1337" t="s">
        <v>269</v>
      </c>
      <c r="AB1337" s="11" t="str">
        <f>HYPERLINK("http://www.library.for.gov.bc.ca/#focus","http://www.library.for.gov.bc.ca/#focus")</f>
        <v>http://www.library.for.gov.bc.ca/#focus</v>
      </c>
      <c r="AC1337" t="s">
        <v>58</v>
      </c>
      <c r="AD1337" s="11" t="str">
        <f>HYPERLINK("http://www.env.gov.bc.ca/soils/project/report.html","http://www.env.gov.bc.ca/soils/project/report.html")</f>
        <v>http://www.env.gov.bc.ca/soils/project/report.html</v>
      </c>
      <c r="AE1337" t="s">
        <v>58</v>
      </c>
      <c r="AG1337" t="s">
        <v>63</v>
      </c>
      <c r="AH1337" s="11" t="str">
        <f t="shared" si="25"/>
        <v>mailto: soilterrain@victoria1.gov.bc.ca</v>
      </c>
    </row>
    <row r="1338" spans="1:34">
      <c r="A1338" t="s">
        <v>3156</v>
      </c>
      <c r="B1338" t="s">
        <v>56</v>
      </c>
      <c r="C1338" s="10" t="s">
        <v>3157</v>
      </c>
      <c r="D1338" t="s">
        <v>58</v>
      </c>
      <c r="E1338" t="s">
        <v>3158</v>
      </c>
      <c r="F1338" t="s">
        <v>3159</v>
      </c>
      <c r="G1338">
        <v>100000</v>
      </c>
      <c r="H1338">
        <v>1980</v>
      </c>
      <c r="I1338" t="s">
        <v>3160</v>
      </c>
      <c r="J1338" t="s">
        <v>58</v>
      </c>
      <c r="K1338" t="s">
        <v>61</v>
      </c>
      <c r="L1338" t="s">
        <v>61</v>
      </c>
      <c r="M1338" t="s">
        <v>58</v>
      </c>
      <c r="Q1338" t="s">
        <v>58</v>
      </c>
      <c r="R1338" s="11" t="str">
        <f>HYPERLINK("\\imagefiles.bcgov\imagery\scanned_maps\moe_terrain_maps\Scanned_T_maps_all\K05\K05-2348","\\imagefiles.bcgov\imagery\scanned_maps\moe_terrain_maps\Scanned_T_maps_all\K05\K05-2348")</f>
        <v>\\imagefiles.bcgov\imagery\scanned_maps\moe_terrain_maps\Scanned_T_maps_all\K05\K05-2348</v>
      </c>
      <c r="S1338" t="s">
        <v>62</v>
      </c>
      <c r="T1338" s="11" t="str">
        <f>HYPERLINK("http://www.env.gov.bc.ca/esd/distdata/ecosystems/TEI_Scanned_Maps/K05/K05-2348","http://www.env.gov.bc.ca/esd/distdata/ecosystems/TEI_Scanned_Maps/K05/K05-2348")</f>
        <v>http://www.env.gov.bc.ca/esd/distdata/ecosystems/TEI_Scanned_Maps/K05/K05-2348</v>
      </c>
      <c r="U1338" t="s">
        <v>2487</v>
      </c>
      <c r="V1338" s="11" t="str">
        <f>HYPERLINK("http://res.agr.ca/cansis/publications/surveys/bc/","http://res.agr.ca/cansis/publications/surveys/bc/")</f>
        <v>http://res.agr.ca/cansis/publications/surveys/bc/</v>
      </c>
      <c r="W1338" t="s">
        <v>2495</v>
      </c>
      <c r="X1338" s="11" t="str">
        <f t="shared" si="38"/>
        <v>http://www.em.gov.bc.ca/mining/geolsurv/terrain&amp;soils/frbcguid.htm</v>
      </c>
      <c r="Y1338" t="s">
        <v>2489</v>
      </c>
      <c r="Z1338" s="11" t="str">
        <f>HYPERLINK("http://www.em.gov.bc.ca/mining/geolsurv/terrain&amp;soils/frbcguid.htm","http://www.em.gov.bc.ca/mining/geolsurv/terrain&amp;soils/frbcguid.htm")</f>
        <v>http://www.em.gov.bc.ca/mining/geolsurv/terrain&amp;soils/frbcguid.htm</v>
      </c>
      <c r="AA1338" t="s">
        <v>269</v>
      </c>
      <c r="AB1338" s="11" t="str">
        <f>HYPERLINK("http://www.library.for.gov.bc.ca/#focus","http://www.library.for.gov.bc.ca/#focus")</f>
        <v>http://www.library.for.gov.bc.ca/#focus</v>
      </c>
      <c r="AC1338" t="s">
        <v>3053</v>
      </c>
      <c r="AD1338" s="11" t="str">
        <f>HYPERLINK("http://www.prsss.ca/","http://www.prsss.ca/")</f>
        <v>http://www.prsss.ca/</v>
      </c>
      <c r="AE1338" t="s">
        <v>58</v>
      </c>
      <c r="AG1338" t="s">
        <v>63</v>
      </c>
      <c r="AH1338" s="11" t="str">
        <f t="shared" si="25"/>
        <v>mailto: soilterrain@victoria1.gov.bc.ca</v>
      </c>
    </row>
    <row r="1339" spans="1:34">
      <c r="A1339" t="s">
        <v>3161</v>
      </c>
      <c r="B1339" t="s">
        <v>56</v>
      </c>
      <c r="C1339" s="10" t="s">
        <v>3162</v>
      </c>
      <c r="D1339" t="s">
        <v>58</v>
      </c>
      <c r="E1339" t="s">
        <v>3158</v>
      </c>
      <c r="F1339" t="s">
        <v>3163</v>
      </c>
      <c r="G1339">
        <v>100000</v>
      </c>
      <c r="H1339" t="s">
        <v>187</v>
      </c>
      <c r="I1339" t="s">
        <v>3160</v>
      </c>
      <c r="J1339" t="s">
        <v>58</v>
      </c>
      <c r="K1339" t="s">
        <v>61</v>
      </c>
      <c r="L1339" t="s">
        <v>61</v>
      </c>
      <c r="M1339" t="s">
        <v>58</v>
      </c>
      <c r="Q1339" t="s">
        <v>58</v>
      </c>
      <c r="R1339" s="11" t="str">
        <f>HYPERLINK("\\imagefiles.bcgov\imagery\scanned_maps\moe_terrain_maps\Scanned_T_maps_all\K05\K05-2353","\\imagefiles.bcgov\imagery\scanned_maps\moe_terrain_maps\Scanned_T_maps_all\K05\K05-2353")</f>
        <v>\\imagefiles.bcgov\imagery\scanned_maps\moe_terrain_maps\Scanned_T_maps_all\K05\K05-2353</v>
      </c>
      <c r="S1339" t="s">
        <v>62</v>
      </c>
      <c r="T1339" s="11" t="str">
        <f>HYPERLINK("http://www.env.gov.bc.ca/esd/distdata/ecosystems/TEI_Scanned_Maps/K05/K05-2353","http://www.env.gov.bc.ca/esd/distdata/ecosystems/TEI_Scanned_Maps/K05/K05-2353")</f>
        <v>http://www.env.gov.bc.ca/esd/distdata/ecosystems/TEI_Scanned_Maps/K05/K05-2353</v>
      </c>
      <c r="U1339" t="s">
        <v>2487</v>
      </c>
      <c r="V1339" s="11" t="str">
        <f>HYPERLINK("http://res.agr.ca/cansis/publications/surveys/bc/","http://res.agr.ca/cansis/publications/surveys/bc/")</f>
        <v>http://res.agr.ca/cansis/publications/surveys/bc/</v>
      </c>
      <c r="W1339" t="s">
        <v>2495</v>
      </c>
      <c r="X1339" s="11" t="str">
        <f t="shared" si="38"/>
        <v>http://www.em.gov.bc.ca/mining/geolsurv/terrain&amp;soils/frbcguid.htm</v>
      </c>
      <c r="Y1339" t="s">
        <v>2489</v>
      </c>
      <c r="Z1339" s="11" t="str">
        <f>HYPERLINK("http://www.em.gov.bc.ca/mining/geolsurv/terrain&amp;soils/frbcguid.htm","http://www.em.gov.bc.ca/mining/geolsurv/terrain&amp;soils/frbcguid.htm")</f>
        <v>http://www.em.gov.bc.ca/mining/geolsurv/terrain&amp;soils/frbcguid.htm</v>
      </c>
      <c r="AA1339" t="s">
        <v>269</v>
      </c>
      <c r="AB1339" s="11" t="str">
        <f>HYPERLINK("http://www.library.for.gov.bc.ca/#focus","http://www.library.for.gov.bc.ca/#focus")</f>
        <v>http://www.library.for.gov.bc.ca/#focus</v>
      </c>
      <c r="AC1339" t="s">
        <v>3053</v>
      </c>
      <c r="AD1339" s="11" t="str">
        <f>HYPERLINK("http://www.prsss.ca/","http://www.prsss.ca/")</f>
        <v>http://www.prsss.ca/</v>
      </c>
      <c r="AE1339" t="s">
        <v>58</v>
      </c>
      <c r="AG1339" t="s">
        <v>63</v>
      </c>
      <c r="AH1339" s="11" t="str">
        <f t="shared" si="25"/>
        <v>mailto: soilterrain@victoria1.gov.bc.ca</v>
      </c>
    </row>
    <row r="1340" spans="1:34">
      <c r="A1340" t="s">
        <v>3164</v>
      </c>
      <c r="B1340" t="s">
        <v>56</v>
      </c>
      <c r="C1340" s="10" t="s">
        <v>3165</v>
      </c>
      <c r="D1340" t="s">
        <v>58</v>
      </c>
      <c r="E1340" t="s">
        <v>2931</v>
      </c>
      <c r="F1340" t="s">
        <v>3166</v>
      </c>
      <c r="G1340">
        <v>100000</v>
      </c>
      <c r="H1340">
        <v>1974</v>
      </c>
      <c r="I1340" t="s">
        <v>3167</v>
      </c>
      <c r="J1340" t="s">
        <v>58</v>
      </c>
      <c r="K1340" t="s">
        <v>61</v>
      </c>
      <c r="L1340" t="s">
        <v>61</v>
      </c>
      <c r="M1340" t="s">
        <v>58</v>
      </c>
      <c r="Q1340" t="s">
        <v>58</v>
      </c>
      <c r="R1340" s="11" t="str">
        <f>HYPERLINK("\\imagefiles.bcgov\imagery\scanned_maps\moe_terrain_maps\Scanned_T_maps_all\K05\K05-2383","\\imagefiles.bcgov\imagery\scanned_maps\moe_terrain_maps\Scanned_T_maps_all\K05\K05-2383")</f>
        <v>\\imagefiles.bcgov\imagery\scanned_maps\moe_terrain_maps\Scanned_T_maps_all\K05\K05-2383</v>
      </c>
      <c r="S1340" t="s">
        <v>62</v>
      </c>
      <c r="T1340" s="11" t="str">
        <f>HYPERLINK("http://www.env.gov.bc.ca/esd/distdata/ecosystems/TEI_Scanned_Maps/K05/K05-2383","http://www.env.gov.bc.ca/esd/distdata/ecosystems/TEI_Scanned_Maps/K05/K05-2383")</f>
        <v>http://www.env.gov.bc.ca/esd/distdata/ecosystems/TEI_Scanned_Maps/K05/K05-2383</v>
      </c>
      <c r="U1340" t="s">
        <v>2495</v>
      </c>
      <c r="V1340" s="11" t="str">
        <f>HYPERLINK("http://www.em.gov.bc.ca/mining/geolsurv/terrain&amp;soils/frbcguid.htm","http://www.em.gov.bc.ca/mining/geolsurv/terrain&amp;soils/frbcguid.htm")</f>
        <v>http://www.em.gov.bc.ca/mining/geolsurv/terrain&amp;soils/frbcguid.htm</v>
      </c>
      <c r="W1340" t="s">
        <v>2489</v>
      </c>
      <c r="X1340" s="11" t="str">
        <f t="shared" si="38"/>
        <v>http://www.em.gov.bc.ca/mining/geolsurv/terrain&amp;soils/frbcguid.htm</v>
      </c>
      <c r="Y1340" t="s">
        <v>58</v>
      </c>
      <c r="Z1340" t="s">
        <v>58</v>
      </c>
      <c r="AA1340" t="s">
        <v>58</v>
      </c>
      <c r="AC1340" t="s">
        <v>58</v>
      </c>
      <c r="AE1340" t="s">
        <v>58</v>
      </c>
      <c r="AG1340" t="s">
        <v>63</v>
      </c>
      <c r="AH1340" s="11" t="str">
        <f t="shared" si="25"/>
        <v>mailto: soilterrain@victoria1.gov.bc.ca</v>
      </c>
    </row>
    <row r="1341" spans="1:34">
      <c r="A1341" t="s">
        <v>3168</v>
      </c>
      <c r="B1341" t="s">
        <v>56</v>
      </c>
      <c r="C1341" s="10" t="s">
        <v>1971</v>
      </c>
      <c r="D1341" t="s">
        <v>58</v>
      </c>
      <c r="E1341" t="s">
        <v>3147</v>
      </c>
      <c r="F1341" t="s">
        <v>3169</v>
      </c>
      <c r="G1341">
        <v>100000</v>
      </c>
      <c r="H1341" t="s">
        <v>187</v>
      </c>
      <c r="I1341" t="s">
        <v>3149</v>
      </c>
      <c r="J1341" t="s">
        <v>58</v>
      </c>
      <c r="K1341" t="s">
        <v>61</v>
      </c>
      <c r="L1341" t="s">
        <v>61</v>
      </c>
      <c r="M1341" t="s">
        <v>58</v>
      </c>
      <c r="Q1341" t="s">
        <v>58</v>
      </c>
      <c r="R1341" s="11" t="str">
        <f>HYPERLINK("\\imagefiles.bcgov\imagery\scanned_maps\moe_terrain_maps\Scanned_T_maps_all\K05\K05-2406","\\imagefiles.bcgov\imagery\scanned_maps\moe_terrain_maps\Scanned_T_maps_all\K05\K05-2406")</f>
        <v>\\imagefiles.bcgov\imagery\scanned_maps\moe_terrain_maps\Scanned_T_maps_all\K05\K05-2406</v>
      </c>
      <c r="S1341" t="s">
        <v>62</v>
      </c>
      <c r="T1341" s="11" t="str">
        <f>HYPERLINK("http://www.env.gov.bc.ca/esd/distdata/ecosystems/TEI_Scanned_Maps/K05/K05-2406","http://www.env.gov.bc.ca/esd/distdata/ecosystems/TEI_Scanned_Maps/K05/K05-2406")</f>
        <v>http://www.env.gov.bc.ca/esd/distdata/ecosystems/TEI_Scanned_Maps/K05/K05-2406</v>
      </c>
      <c r="U1341" t="s">
        <v>2495</v>
      </c>
      <c r="V1341" s="11" t="str">
        <f>HYPERLINK("http://www.em.gov.bc.ca/mining/geolsurv/terrain&amp;soils/frbcguid.htm","http://www.em.gov.bc.ca/mining/geolsurv/terrain&amp;soils/frbcguid.htm")</f>
        <v>http://www.em.gov.bc.ca/mining/geolsurv/terrain&amp;soils/frbcguid.htm</v>
      </c>
      <c r="W1341" t="s">
        <v>2489</v>
      </c>
      <c r="X1341" s="11" t="str">
        <f t="shared" si="38"/>
        <v>http://www.em.gov.bc.ca/mining/geolsurv/terrain&amp;soils/frbcguid.htm</v>
      </c>
      <c r="Y1341" t="s">
        <v>269</v>
      </c>
      <c r="Z1341" s="11" t="str">
        <f>HYPERLINK("http://www.library.for.gov.bc.ca/#focus","http://www.library.for.gov.bc.ca/#focus")</f>
        <v>http://www.library.for.gov.bc.ca/#focus</v>
      </c>
      <c r="AA1341" t="s">
        <v>2500</v>
      </c>
      <c r="AB1341" s="11" t="str">
        <f>HYPERLINK("http://www.crownpub.bc.ca/","http://www.crownpub.bc.ca/")</f>
        <v>http://www.crownpub.bc.ca/</v>
      </c>
      <c r="AC1341" t="s">
        <v>58</v>
      </c>
      <c r="AD1341" s="11" t="str">
        <f>HYPERLINK("http://www.env.gov.bc.ca/soils/project/report.html","http://www.env.gov.bc.ca/soils/project/report.html")</f>
        <v>http://www.env.gov.bc.ca/soils/project/report.html</v>
      </c>
      <c r="AE1341" t="s">
        <v>58</v>
      </c>
      <c r="AG1341" t="s">
        <v>63</v>
      </c>
      <c r="AH1341" s="11" t="str">
        <f t="shared" si="25"/>
        <v>mailto: soilterrain@victoria1.gov.bc.ca</v>
      </c>
    </row>
    <row r="1342" spans="1:34">
      <c r="A1342" t="s">
        <v>3170</v>
      </c>
      <c r="B1342" t="s">
        <v>56</v>
      </c>
      <c r="C1342" s="10" t="s">
        <v>1975</v>
      </c>
      <c r="D1342" t="s">
        <v>58</v>
      </c>
      <c r="E1342" t="s">
        <v>3147</v>
      </c>
      <c r="F1342" t="s">
        <v>3171</v>
      </c>
      <c r="G1342">
        <v>100000</v>
      </c>
      <c r="H1342" t="s">
        <v>187</v>
      </c>
      <c r="I1342" t="s">
        <v>3149</v>
      </c>
      <c r="J1342" t="s">
        <v>58</v>
      </c>
      <c r="K1342" t="s">
        <v>61</v>
      </c>
      <c r="L1342" t="s">
        <v>61</v>
      </c>
      <c r="M1342" t="s">
        <v>58</v>
      </c>
      <c r="Q1342" t="s">
        <v>58</v>
      </c>
      <c r="R1342" s="11" t="str">
        <f>HYPERLINK("\\imagefiles.bcgov\imagery\scanned_maps\moe_terrain_maps\Scanned_T_maps_all\K05\K05-2411","\\imagefiles.bcgov\imagery\scanned_maps\moe_terrain_maps\Scanned_T_maps_all\K05\K05-2411")</f>
        <v>\\imagefiles.bcgov\imagery\scanned_maps\moe_terrain_maps\Scanned_T_maps_all\K05\K05-2411</v>
      </c>
      <c r="S1342" t="s">
        <v>62</v>
      </c>
      <c r="T1342" s="11" t="str">
        <f>HYPERLINK("http://www.env.gov.bc.ca/esd/distdata/ecosystems/TEI_Scanned_Maps/K05/K05-2411","http://www.env.gov.bc.ca/esd/distdata/ecosystems/TEI_Scanned_Maps/K05/K05-2411")</f>
        <v>http://www.env.gov.bc.ca/esd/distdata/ecosystems/TEI_Scanned_Maps/K05/K05-2411</v>
      </c>
      <c r="U1342" t="s">
        <v>2495</v>
      </c>
      <c r="V1342" s="11" t="str">
        <f>HYPERLINK("http://www.em.gov.bc.ca/mining/geolsurv/terrain&amp;soils/frbcguid.htm","http://www.em.gov.bc.ca/mining/geolsurv/terrain&amp;soils/frbcguid.htm")</f>
        <v>http://www.em.gov.bc.ca/mining/geolsurv/terrain&amp;soils/frbcguid.htm</v>
      </c>
      <c r="W1342" t="s">
        <v>2489</v>
      </c>
      <c r="X1342" s="11" t="str">
        <f t="shared" si="38"/>
        <v>http://www.em.gov.bc.ca/mining/geolsurv/terrain&amp;soils/frbcguid.htm</v>
      </c>
      <c r="Y1342" t="s">
        <v>269</v>
      </c>
      <c r="Z1342" s="11" t="str">
        <f>HYPERLINK("http://www.library.for.gov.bc.ca/#focus","http://www.library.for.gov.bc.ca/#focus")</f>
        <v>http://www.library.for.gov.bc.ca/#focus</v>
      </c>
      <c r="AA1342" t="s">
        <v>2500</v>
      </c>
      <c r="AB1342" s="11" t="str">
        <f>HYPERLINK("http://www.crownpub.bc.ca/","http://www.crownpub.bc.ca/")</f>
        <v>http://www.crownpub.bc.ca/</v>
      </c>
      <c r="AC1342" t="s">
        <v>58</v>
      </c>
      <c r="AD1342" s="11" t="str">
        <f>HYPERLINK("http://www.env.gov.bc.ca/soils/project/report.html","http://www.env.gov.bc.ca/soils/project/report.html")</f>
        <v>http://www.env.gov.bc.ca/soils/project/report.html</v>
      </c>
      <c r="AE1342" t="s">
        <v>58</v>
      </c>
      <c r="AG1342" t="s">
        <v>63</v>
      </c>
      <c r="AH1342" s="11" t="str">
        <f t="shared" si="25"/>
        <v>mailto: soilterrain@victoria1.gov.bc.ca</v>
      </c>
    </row>
    <row r="1343" spans="1:34">
      <c r="A1343" t="s">
        <v>3172</v>
      </c>
      <c r="B1343" t="s">
        <v>56</v>
      </c>
      <c r="C1343" s="10" t="s">
        <v>1985</v>
      </c>
      <c r="D1343" t="s">
        <v>58</v>
      </c>
      <c r="E1343" t="s">
        <v>3138</v>
      </c>
      <c r="F1343" t="s">
        <v>3173</v>
      </c>
      <c r="G1343">
        <v>125000</v>
      </c>
      <c r="H1343">
        <v>1979</v>
      </c>
      <c r="I1343" t="s">
        <v>3140</v>
      </c>
      <c r="J1343" t="s">
        <v>58</v>
      </c>
      <c r="K1343" t="s">
        <v>61</v>
      </c>
      <c r="L1343" t="s">
        <v>61</v>
      </c>
      <c r="M1343" t="s">
        <v>58</v>
      </c>
      <c r="Q1343" t="s">
        <v>58</v>
      </c>
      <c r="R1343" s="11" t="str">
        <f>HYPERLINK("\\imagefiles.bcgov\imagery\scanned_maps\moe_terrain_maps\Scanned_T_maps_all\K05\K05-2454","\\imagefiles.bcgov\imagery\scanned_maps\moe_terrain_maps\Scanned_T_maps_all\K05\K05-2454")</f>
        <v>\\imagefiles.bcgov\imagery\scanned_maps\moe_terrain_maps\Scanned_T_maps_all\K05\K05-2454</v>
      </c>
      <c r="S1343" t="s">
        <v>62</v>
      </c>
      <c r="T1343" s="11" t="str">
        <f>HYPERLINK("http://www.env.gov.bc.ca/esd/distdata/ecosystems/TEI_Scanned_Maps/K05/K05-2454","http://www.env.gov.bc.ca/esd/distdata/ecosystems/TEI_Scanned_Maps/K05/K05-2454")</f>
        <v>http://www.env.gov.bc.ca/esd/distdata/ecosystems/TEI_Scanned_Maps/K05/K05-2454</v>
      </c>
      <c r="U1343" t="s">
        <v>2487</v>
      </c>
      <c r="V1343" s="11" t="str">
        <f>HYPERLINK("http://res.agr.ca/cansis/publications/surveys/bc/","http://res.agr.ca/cansis/publications/surveys/bc/")</f>
        <v>http://res.agr.ca/cansis/publications/surveys/bc/</v>
      </c>
      <c r="W1343" t="s">
        <v>2489</v>
      </c>
      <c r="X1343" s="11" t="str">
        <f t="shared" si="38"/>
        <v>http://www.em.gov.bc.ca/mining/geolsurv/terrain&amp;soils/frbcguid.htm</v>
      </c>
      <c r="Y1343" t="s">
        <v>979</v>
      </c>
      <c r="Z1343" s="11" t="str">
        <f>HYPERLINK("http://www.prsss.ca/","http://www.prsss.ca/")</f>
        <v>http://www.prsss.ca/</v>
      </c>
      <c r="AA1343" t="s">
        <v>269</v>
      </c>
      <c r="AB1343" s="11" t="str">
        <f>HYPERLINK("http://www.library.for.gov.bc.ca/#focus","http://www.library.for.gov.bc.ca/#focus")</f>
        <v>http://www.library.for.gov.bc.ca/#focus</v>
      </c>
      <c r="AC1343" t="s">
        <v>58</v>
      </c>
      <c r="AE1343" t="s">
        <v>58</v>
      </c>
      <c r="AG1343" t="s">
        <v>63</v>
      </c>
      <c r="AH1343" s="11" t="str">
        <f t="shared" si="25"/>
        <v>mailto: soilterrain@victoria1.gov.bc.ca</v>
      </c>
    </row>
    <row r="1344" spans="1:34">
      <c r="A1344" t="s">
        <v>3174</v>
      </c>
      <c r="B1344" t="s">
        <v>56</v>
      </c>
      <c r="C1344" s="10" t="s">
        <v>1988</v>
      </c>
      <c r="D1344" t="s">
        <v>58</v>
      </c>
      <c r="E1344" t="s">
        <v>3138</v>
      </c>
      <c r="F1344" t="s">
        <v>3175</v>
      </c>
      <c r="G1344">
        <v>125000</v>
      </c>
      <c r="H1344">
        <v>1978</v>
      </c>
      <c r="I1344" t="s">
        <v>3140</v>
      </c>
      <c r="J1344" t="s">
        <v>58</v>
      </c>
      <c r="K1344" t="s">
        <v>61</v>
      </c>
      <c r="L1344" t="s">
        <v>61</v>
      </c>
      <c r="M1344" t="s">
        <v>58</v>
      </c>
      <c r="Q1344" t="s">
        <v>58</v>
      </c>
      <c r="R1344" s="11" t="str">
        <f>HYPERLINK("\\imagefiles.bcgov\imagery\scanned_maps\moe_terrain_maps\Scanned_T_maps_all\K05\K05-2464","\\imagefiles.bcgov\imagery\scanned_maps\moe_terrain_maps\Scanned_T_maps_all\K05\K05-2464")</f>
        <v>\\imagefiles.bcgov\imagery\scanned_maps\moe_terrain_maps\Scanned_T_maps_all\K05\K05-2464</v>
      </c>
      <c r="S1344" t="s">
        <v>62</v>
      </c>
      <c r="T1344" s="11" t="str">
        <f>HYPERLINK("http://www.env.gov.bc.ca/esd/distdata/ecosystems/TEI_Scanned_Maps/K05/K05-2464","http://www.env.gov.bc.ca/esd/distdata/ecosystems/TEI_Scanned_Maps/K05/K05-2464")</f>
        <v>http://www.env.gov.bc.ca/esd/distdata/ecosystems/TEI_Scanned_Maps/K05/K05-2464</v>
      </c>
      <c r="U1344" t="s">
        <v>2487</v>
      </c>
      <c r="V1344" s="11" t="str">
        <f>HYPERLINK("http://res.agr.ca/cansis/publications/surveys/bc/","http://res.agr.ca/cansis/publications/surveys/bc/")</f>
        <v>http://res.agr.ca/cansis/publications/surveys/bc/</v>
      </c>
      <c r="W1344" t="s">
        <v>2489</v>
      </c>
      <c r="X1344" s="11" t="str">
        <f t="shared" si="38"/>
        <v>http://www.em.gov.bc.ca/mining/geolsurv/terrain&amp;soils/frbcguid.htm</v>
      </c>
      <c r="Y1344" t="s">
        <v>979</v>
      </c>
      <c r="Z1344" s="11" t="str">
        <f>HYPERLINK("http://www.prsss.ca/","http://www.prsss.ca/")</f>
        <v>http://www.prsss.ca/</v>
      </c>
      <c r="AA1344" t="s">
        <v>269</v>
      </c>
      <c r="AB1344" s="11" t="str">
        <f>HYPERLINK("http://www.library.for.gov.bc.ca/#focus","http://www.library.for.gov.bc.ca/#focus")</f>
        <v>http://www.library.for.gov.bc.ca/#focus</v>
      </c>
      <c r="AC1344" t="s">
        <v>58</v>
      </c>
      <c r="AE1344" t="s">
        <v>58</v>
      </c>
      <c r="AG1344" t="s">
        <v>63</v>
      </c>
      <c r="AH1344" s="11" t="str">
        <f t="shared" si="25"/>
        <v>mailto: soilterrain@victoria1.gov.bc.ca</v>
      </c>
    </row>
    <row r="1345" spans="1:34">
      <c r="A1345" t="s">
        <v>3176</v>
      </c>
      <c r="B1345" t="s">
        <v>56</v>
      </c>
      <c r="C1345" s="10" t="s">
        <v>1991</v>
      </c>
      <c r="D1345" t="s">
        <v>58</v>
      </c>
      <c r="E1345" t="s">
        <v>2497</v>
      </c>
      <c r="F1345" t="s">
        <v>3177</v>
      </c>
      <c r="G1345">
        <v>125000</v>
      </c>
      <c r="H1345">
        <v>1980</v>
      </c>
      <c r="I1345" t="s">
        <v>2499</v>
      </c>
      <c r="J1345" t="s">
        <v>58</v>
      </c>
      <c r="K1345" t="s">
        <v>61</v>
      </c>
      <c r="L1345" t="s">
        <v>61</v>
      </c>
      <c r="M1345" t="s">
        <v>58</v>
      </c>
      <c r="Q1345" t="s">
        <v>58</v>
      </c>
      <c r="R1345" s="11" t="str">
        <f>HYPERLINK("\\imagefiles.bcgov\imagery\scanned_maps\moe_terrain_maps\Scanned_T_maps_all\K05\K05-2519","\\imagefiles.bcgov\imagery\scanned_maps\moe_terrain_maps\Scanned_T_maps_all\K05\K05-2519")</f>
        <v>\\imagefiles.bcgov\imagery\scanned_maps\moe_terrain_maps\Scanned_T_maps_all\K05\K05-2519</v>
      </c>
      <c r="S1345" t="s">
        <v>62</v>
      </c>
      <c r="T1345" s="11" t="str">
        <f>HYPERLINK("http://www.env.gov.bc.ca/esd/distdata/ecosystems/TEI_Scanned_Maps/K05/K05-2519","http://www.env.gov.bc.ca/esd/distdata/ecosystems/TEI_Scanned_Maps/K05/K05-2519")</f>
        <v>http://www.env.gov.bc.ca/esd/distdata/ecosystems/TEI_Scanned_Maps/K05/K05-2519</v>
      </c>
      <c r="U1345" t="s">
        <v>2495</v>
      </c>
      <c r="V1345" s="11" t="str">
        <f t="shared" ref="V1345:V1354" si="39">HYPERLINK("http://www.em.gov.bc.ca/mining/geolsurv/terrain&amp;soils/frbcguid.htm","http://www.em.gov.bc.ca/mining/geolsurv/terrain&amp;soils/frbcguid.htm")</f>
        <v>http://www.em.gov.bc.ca/mining/geolsurv/terrain&amp;soils/frbcguid.htm</v>
      </c>
      <c r="W1345" t="s">
        <v>2489</v>
      </c>
      <c r="X1345" s="11" t="str">
        <f t="shared" si="38"/>
        <v>http://www.em.gov.bc.ca/mining/geolsurv/terrain&amp;soils/frbcguid.htm</v>
      </c>
      <c r="Y1345" t="s">
        <v>269</v>
      </c>
      <c r="Z1345" s="11" t="str">
        <f t="shared" ref="Z1345:Z1350" si="40">HYPERLINK("http://www.library.for.gov.bc.ca/#focus","http://www.library.for.gov.bc.ca/#focus")</f>
        <v>http://www.library.for.gov.bc.ca/#focus</v>
      </c>
      <c r="AA1345" t="s">
        <v>2500</v>
      </c>
      <c r="AB1345" s="11" t="str">
        <f>HYPERLINK("http://www.crownpub.bc.ca/","http://www.crownpub.bc.ca/")</f>
        <v>http://www.crownpub.bc.ca/</v>
      </c>
      <c r="AC1345" t="s">
        <v>58</v>
      </c>
      <c r="AE1345" t="s">
        <v>58</v>
      </c>
      <c r="AG1345" t="s">
        <v>63</v>
      </c>
      <c r="AH1345" s="11" t="str">
        <f t="shared" si="25"/>
        <v>mailto: soilterrain@victoria1.gov.bc.ca</v>
      </c>
    </row>
    <row r="1346" spans="1:34">
      <c r="A1346" t="s">
        <v>3178</v>
      </c>
      <c r="B1346" t="s">
        <v>56</v>
      </c>
      <c r="C1346" s="10" t="s">
        <v>977</v>
      </c>
      <c r="D1346" t="s">
        <v>58</v>
      </c>
      <c r="E1346" t="s">
        <v>2497</v>
      </c>
      <c r="F1346" t="s">
        <v>3179</v>
      </c>
      <c r="G1346">
        <v>125000</v>
      </c>
      <c r="H1346">
        <v>1977</v>
      </c>
      <c r="I1346" t="s">
        <v>2499</v>
      </c>
      <c r="J1346" t="s">
        <v>58</v>
      </c>
      <c r="K1346" t="s">
        <v>61</v>
      </c>
      <c r="L1346" t="s">
        <v>61</v>
      </c>
      <c r="M1346" t="s">
        <v>58</v>
      </c>
      <c r="Q1346" t="s">
        <v>58</v>
      </c>
      <c r="R1346" s="11" t="str">
        <f>HYPERLINK("\\imagefiles.bcgov\imagery\scanned_maps\moe_terrain_maps\Scanned_T_maps_all\K05\K05-2541","\\imagefiles.bcgov\imagery\scanned_maps\moe_terrain_maps\Scanned_T_maps_all\K05\K05-2541")</f>
        <v>\\imagefiles.bcgov\imagery\scanned_maps\moe_terrain_maps\Scanned_T_maps_all\K05\K05-2541</v>
      </c>
      <c r="S1346" t="s">
        <v>62</v>
      </c>
      <c r="T1346" s="11" t="str">
        <f>HYPERLINK("http://www.env.gov.bc.ca/esd/distdata/ecosystems/TEI_Scanned_Maps/K05/K05-2541","http://www.env.gov.bc.ca/esd/distdata/ecosystems/TEI_Scanned_Maps/K05/K05-2541")</f>
        <v>http://www.env.gov.bc.ca/esd/distdata/ecosystems/TEI_Scanned_Maps/K05/K05-2541</v>
      </c>
      <c r="U1346" t="s">
        <v>2495</v>
      </c>
      <c r="V1346" s="11" t="str">
        <f t="shared" si="39"/>
        <v>http://www.em.gov.bc.ca/mining/geolsurv/terrain&amp;soils/frbcguid.htm</v>
      </c>
      <c r="W1346" t="s">
        <v>2489</v>
      </c>
      <c r="X1346" s="11" t="str">
        <f t="shared" si="38"/>
        <v>http://www.em.gov.bc.ca/mining/geolsurv/terrain&amp;soils/frbcguid.htm</v>
      </c>
      <c r="Y1346" t="s">
        <v>269</v>
      </c>
      <c r="Z1346" s="11" t="str">
        <f t="shared" si="40"/>
        <v>http://www.library.for.gov.bc.ca/#focus</v>
      </c>
      <c r="AA1346" t="s">
        <v>2500</v>
      </c>
      <c r="AB1346" s="11" t="str">
        <f>HYPERLINK("http://www.crownpub.bc.ca/","http://www.crownpub.bc.ca/")</f>
        <v>http://www.crownpub.bc.ca/</v>
      </c>
      <c r="AC1346" t="s">
        <v>58</v>
      </c>
      <c r="AE1346" t="s">
        <v>58</v>
      </c>
      <c r="AG1346" t="s">
        <v>63</v>
      </c>
      <c r="AH1346" s="11" t="str">
        <f t="shared" ref="AH1346:AH1409" si="41">HYPERLINK("mailto: soilterrain@victoria1.gov.bc.ca","mailto: soilterrain@victoria1.gov.bc.ca")</f>
        <v>mailto: soilterrain@victoria1.gov.bc.ca</v>
      </c>
    </row>
    <row r="1347" spans="1:34">
      <c r="A1347" t="s">
        <v>3180</v>
      </c>
      <c r="B1347" t="s">
        <v>56</v>
      </c>
      <c r="C1347" s="10" t="s">
        <v>3181</v>
      </c>
      <c r="D1347" t="s">
        <v>58</v>
      </c>
      <c r="E1347" t="s">
        <v>3182</v>
      </c>
      <c r="F1347" t="s">
        <v>3183</v>
      </c>
      <c r="G1347">
        <v>100000</v>
      </c>
      <c r="H1347">
        <v>1977</v>
      </c>
      <c r="I1347" t="s">
        <v>3184</v>
      </c>
      <c r="J1347" t="s">
        <v>58</v>
      </c>
      <c r="K1347" t="s">
        <v>58</v>
      </c>
      <c r="L1347" t="s">
        <v>61</v>
      </c>
      <c r="M1347" t="s">
        <v>58</v>
      </c>
      <c r="Q1347" t="s">
        <v>58</v>
      </c>
      <c r="R1347" s="11" t="str">
        <f>HYPERLINK("\\imagefiles.bcgov\imagery\scanned_maps\moe_terrain_maps\Scanned_T_maps_all\K05\K05-2566","\\imagefiles.bcgov\imagery\scanned_maps\moe_terrain_maps\Scanned_T_maps_all\K05\K05-2566")</f>
        <v>\\imagefiles.bcgov\imagery\scanned_maps\moe_terrain_maps\Scanned_T_maps_all\K05\K05-2566</v>
      </c>
      <c r="S1347" t="s">
        <v>62</v>
      </c>
      <c r="T1347" s="11" t="str">
        <f>HYPERLINK("http://www.env.gov.bc.ca/esd/distdata/ecosystems/TEI_Scanned_Maps/K05/K05-2566","http://www.env.gov.bc.ca/esd/distdata/ecosystems/TEI_Scanned_Maps/K05/K05-2566")</f>
        <v>http://www.env.gov.bc.ca/esd/distdata/ecosystems/TEI_Scanned_Maps/K05/K05-2566</v>
      </c>
      <c r="U1347" t="s">
        <v>2495</v>
      </c>
      <c r="V1347" s="11" t="str">
        <f t="shared" si="39"/>
        <v>http://www.em.gov.bc.ca/mining/geolsurv/terrain&amp;soils/frbcguid.htm</v>
      </c>
      <c r="W1347" t="s">
        <v>2489</v>
      </c>
      <c r="X1347" s="11" t="str">
        <f t="shared" si="38"/>
        <v>http://www.em.gov.bc.ca/mining/geolsurv/terrain&amp;soils/frbcguid.htm</v>
      </c>
      <c r="Y1347" t="s">
        <v>269</v>
      </c>
      <c r="Z1347" s="11" t="str">
        <f t="shared" si="40"/>
        <v>http://www.library.for.gov.bc.ca/#focus</v>
      </c>
      <c r="AA1347" t="s">
        <v>58</v>
      </c>
      <c r="AC1347" t="s">
        <v>58</v>
      </c>
      <c r="AE1347" t="s">
        <v>58</v>
      </c>
      <c r="AG1347" t="s">
        <v>63</v>
      </c>
      <c r="AH1347" s="11" t="str">
        <f t="shared" si="41"/>
        <v>mailto: soilterrain@victoria1.gov.bc.ca</v>
      </c>
    </row>
    <row r="1348" spans="1:34">
      <c r="A1348" t="s">
        <v>3185</v>
      </c>
      <c r="B1348" t="s">
        <v>56</v>
      </c>
      <c r="C1348" s="10" t="s">
        <v>3186</v>
      </c>
      <c r="D1348" t="s">
        <v>58</v>
      </c>
      <c r="E1348" t="s">
        <v>3182</v>
      </c>
      <c r="F1348" t="s">
        <v>3183</v>
      </c>
      <c r="G1348">
        <v>100000</v>
      </c>
      <c r="H1348">
        <v>1977</v>
      </c>
      <c r="I1348" t="s">
        <v>3184</v>
      </c>
      <c r="J1348" t="s">
        <v>58</v>
      </c>
      <c r="K1348" t="s">
        <v>58</v>
      </c>
      <c r="L1348" t="s">
        <v>61</v>
      </c>
      <c r="M1348" t="s">
        <v>58</v>
      </c>
      <c r="Q1348" t="s">
        <v>58</v>
      </c>
      <c r="R1348" s="11" t="str">
        <f>HYPERLINK("\\imagefiles.bcgov\imagery\scanned_maps\moe_terrain_maps\Scanned_T_maps_all\K05\K05-2568","\\imagefiles.bcgov\imagery\scanned_maps\moe_terrain_maps\Scanned_T_maps_all\K05\K05-2568")</f>
        <v>\\imagefiles.bcgov\imagery\scanned_maps\moe_terrain_maps\Scanned_T_maps_all\K05\K05-2568</v>
      </c>
      <c r="S1348" t="s">
        <v>62</v>
      </c>
      <c r="T1348" s="11" t="str">
        <f>HYPERLINK("http://www.env.gov.bc.ca/esd/distdata/ecosystems/TEI_Scanned_Maps/K05/K05-2568","http://www.env.gov.bc.ca/esd/distdata/ecosystems/TEI_Scanned_Maps/K05/K05-2568")</f>
        <v>http://www.env.gov.bc.ca/esd/distdata/ecosystems/TEI_Scanned_Maps/K05/K05-2568</v>
      </c>
      <c r="U1348" t="s">
        <v>2495</v>
      </c>
      <c r="V1348" s="11" t="str">
        <f t="shared" si="39"/>
        <v>http://www.em.gov.bc.ca/mining/geolsurv/terrain&amp;soils/frbcguid.htm</v>
      </c>
      <c r="W1348" t="s">
        <v>2489</v>
      </c>
      <c r="X1348" s="11" t="str">
        <f t="shared" si="38"/>
        <v>http://www.em.gov.bc.ca/mining/geolsurv/terrain&amp;soils/frbcguid.htm</v>
      </c>
      <c r="Y1348" t="s">
        <v>269</v>
      </c>
      <c r="Z1348" s="11" t="str">
        <f t="shared" si="40"/>
        <v>http://www.library.for.gov.bc.ca/#focus</v>
      </c>
      <c r="AA1348" t="s">
        <v>58</v>
      </c>
      <c r="AC1348" t="s">
        <v>58</v>
      </c>
      <c r="AE1348" t="s">
        <v>58</v>
      </c>
      <c r="AG1348" t="s">
        <v>63</v>
      </c>
      <c r="AH1348" s="11" t="str">
        <f t="shared" si="41"/>
        <v>mailto: soilterrain@victoria1.gov.bc.ca</v>
      </c>
    </row>
    <row r="1349" spans="1:34">
      <c r="A1349" t="s">
        <v>3187</v>
      </c>
      <c r="B1349" t="s">
        <v>56</v>
      </c>
      <c r="C1349" s="10" t="s">
        <v>3188</v>
      </c>
      <c r="D1349" t="s">
        <v>58</v>
      </c>
      <c r="E1349" t="s">
        <v>3182</v>
      </c>
      <c r="F1349" t="s">
        <v>3183</v>
      </c>
      <c r="G1349">
        <v>100000</v>
      </c>
      <c r="H1349">
        <v>1977</v>
      </c>
      <c r="I1349" t="s">
        <v>3184</v>
      </c>
      <c r="J1349" t="s">
        <v>58</v>
      </c>
      <c r="K1349" t="s">
        <v>58</v>
      </c>
      <c r="L1349" t="s">
        <v>61</v>
      </c>
      <c r="M1349" t="s">
        <v>58</v>
      </c>
      <c r="Q1349" t="s">
        <v>58</v>
      </c>
      <c r="R1349" s="11" t="str">
        <f>HYPERLINK("\\imagefiles.bcgov\imagery\scanned_maps\moe_terrain_maps\Scanned_T_maps_all\K05\K05-2569","\\imagefiles.bcgov\imagery\scanned_maps\moe_terrain_maps\Scanned_T_maps_all\K05\K05-2569")</f>
        <v>\\imagefiles.bcgov\imagery\scanned_maps\moe_terrain_maps\Scanned_T_maps_all\K05\K05-2569</v>
      </c>
      <c r="S1349" t="s">
        <v>62</v>
      </c>
      <c r="T1349" s="11" t="str">
        <f>HYPERLINK("http://www.env.gov.bc.ca/esd/distdata/ecosystems/TEI_Scanned_Maps/K05/K05-2569","http://www.env.gov.bc.ca/esd/distdata/ecosystems/TEI_Scanned_Maps/K05/K05-2569")</f>
        <v>http://www.env.gov.bc.ca/esd/distdata/ecosystems/TEI_Scanned_Maps/K05/K05-2569</v>
      </c>
      <c r="U1349" t="s">
        <v>2495</v>
      </c>
      <c r="V1349" s="11" t="str">
        <f t="shared" si="39"/>
        <v>http://www.em.gov.bc.ca/mining/geolsurv/terrain&amp;soils/frbcguid.htm</v>
      </c>
      <c r="W1349" t="s">
        <v>2489</v>
      </c>
      <c r="X1349" s="11" t="str">
        <f t="shared" si="38"/>
        <v>http://www.em.gov.bc.ca/mining/geolsurv/terrain&amp;soils/frbcguid.htm</v>
      </c>
      <c r="Y1349" t="s">
        <v>269</v>
      </c>
      <c r="Z1349" s="11" t="str">
        <f t="shared" si="40"/>
        <v>http://www.library.for.gov.bc.ca/#focus</v>
      </c>
      <c r="AA1349" t="s">
        <v>58</v>
      </c>
      <c r="AC1349" t="s">
        <v>58</v>
      </c>
      <c r="AE1349" t="s">
        <v>58</v>
      </c>
      <c r="AG1349" t="s">
        <v>63</v>
      </c>
      <c r="AH1349" s="11" t="str">
        <f t="shared" si="41"/>
        <v>mailto: soilterrain@victoria1.gov.bc.ca</v>
      </c>
    </row>
    <row r="1350" spans="1:34">
      <c r="A1350" t="s">
        <v>3189</v>
      </c>
      <c r="B1350" t="s">
        <v>56</v>
      </c>
      <c r="C1350" s="10" t="s">
        <v>981</v>
      </c>
      <c r="D1350" t="s">
        <v>58</v>
      </c>
      <c r="E1350" t="s">
        <v>2497</v>
      </c>
      <c r="F1350" t="s">
        <v>3190</v>
      </c>
      <c r="G1350">
        <v>125000</v>
      </c>
      <c r="H1350">
        <v>1977</v>
      </c>
      <c r="I1350" t="s">
        <v>2499</v>
      </c>
      <c r="J1350" t="s">
        <v>58</v>
      </c>
      <c r="K1350" t="s">
        <v>61</v>
      </c>
      <c r="L1350" t="s">
        <v>61</v>
      </c>
      <c r="M1350" t="s">
        <v>58</v>
      </c>
      <c r="Q1350" t="s">
        <v>58</v>
      </c>
      <c r="R1350" s="11" t="str">
        <f>HYPERLINK("\\imagefiles.bcgov\imagery\scanned_maps\moe_terrain_maps\Scanned_T_maps_all\K05\K05-2580","\\imagefiles.bcgov\imagery\scanned_maps\moe_terrain_maps\Scanned_T_maps_all\K05\K05-2580")</f>
        <v>\\imagefiles.bcgov\imagery\scanned_maps\moe_terrain_maps\Scanned_T_maps_all\K05\K05-2580</v>
      </c>
      <c r="S1350" t="s">
        <v>62</v>
      </c>
      <c r="T1350" s="11" t="str">
        <f>HYPERLINK("http://www.env.gov.bc.ca/esd/distdata/ecosystems/TEI_Scanned_Maps/K05/K05-2580","http://www.env.gov.bc.ca/esd/distdata/ecosystems/TEI_Scanned_Maps/K05/K05-2580")</f>
        <v>http://www.env.gov.bc.ca/esd/distdata/ecosystems/TEI_Scanned_Maps/K05/K05-2580</v>
      </c>
      <c r="U1350" t="s">
        <v>2495</v>
      </c>
      <c r="V1350" s="11" t="str">
        <f t="shared" si="39"/>
        <v>http://www.em.gov.bc.ca/mining/geolsurv/terrain&amp;soils/frbcguid.htm</v>
      </c>
      <c r="W1350" t="s">
        <v>2489</v>
      </c>
      <c r="X1350" s="11" t="str">
        <f t="shared" si="38"/>
        <v>http://www.em.gov.bc.ca/mining/geolsurv/terrain&amp;soils/frbcguid.htm</v>
      </c>
      <c r="Y1350" t="s">
        <v>269</v>
      </c>
      <c r="Z1350" s="11" t="str">
        <f t="shared" si="40"/>
        <v>http://www.library.for.gov.bc.ca/#focus</v>
      </c>
      <c r="AA1350" t="s">
        <v>2500</v>
      </c>
      <c r="AB1350" s="11" t="str">
        <f>HYPERLINK("http://www.crownpub.bc.ca/","http://www.crownpub.bc.ca/")</f>
        <v>http://www.crownpub.bc.ca/</v>
      </c>
      <c r="AC1350" t="s">
        <v>58</v>
      </c>
      <c r="AE1350" t="s">
        <v>58</v>
      </c>
      <c r="AG1350" t="s">
        <v>63</v>
      </c>
      <c r="AH1350" s="11" t="str">
        <f t="shared" si="41"/>
        <v>mailto: soilterrain@victoria1.gov.bc.ca</v>
      </c>
    </row>
    <row r="1351" spans="1:34">
      <c r="A1351" t="s">
        <v>3191</v>
      </c>
      <c r="B1351" t="s">
        <v>56</v>
      </c>
      <c r="C1351" s="10" t="s">
        <v>3192</v>
      </c>
      <c r="D1351" t="s">
        <v>58</v>
      </c>
      <c r="E1351" t="s">
        <v>3193</v>
      </c>
      <c r="F1351" t="s">
        <v>3194</v>
      </c>
      <c r="G1351">
        <v>100000</v>
      </c>
      <c r="H1351">
        <v>1977</v>
      </c>
      <c r="I1351" t="s">
        <v>3195</v>
      </c>
      <c r="J1351" t="s">
        <v>58</v>
      </c>
      <c r="K1351" t="s">
        <v>58</v>
      </c>
      <c r="L1351" t="s">
        <v>61</v>
      </c>
      <c r="M1351" t="s">
        <v>58</v>
      </c>
      <c r="Q1351" t="s">
        <v>58</v>
      </c>
      <c r="R1351" s="11" t="str">
        <f>HYPERLINK("\\imagefiles.bcgov\imagery\scanned_maps\moe_terrain_maps\Scanned_T_maps_all\K05\K05-2598","\\imagefiles.bcgov\imagery\scanned_maps\moe_terrain_maps\Scanned_T_maps_all\K05\K05-2598")</f>
        <v>\\imagefiles.bcgov\imagery\scanned_maps\moe_terrain_maps\Scanned_T_maps_all\K05\K05-2598</v>
      </c>
      <c r="S1351" t="s">
        <v>62</v>
      </c>
      <c r="T1351" s="11" t="str">
        <f>HYPERLINK("http://www.env.gov.bc.ca/esd/distdata/ecosystems/TEI_Scanned_Maps/K05/K05-2598","http://www.env.gov.bc.ca/esd/distdata/ecosystems/TEI_Scanned_Maps/K05/K05-2598")</f>
        <v>http://www.env.gov.bc.ca/esd/distdata/ecosystems/TEI_Scanned_Maps/K05/K05-2598</v>
      </c>
      <c r="U1351" t="s">
        <v>2495</v>
      </c>
      <c r="V1351" s="11" t="str">
        <f t="shared" si="39"/>
        <v>http://www.em.gov.bc.ca/mining/geolsurv/terrain&amp;soils/frbcguid.htm</v>
      </c>
      <c r="W1351" t="s">
        <v>269</v>
      </c>
      <c r="X1351" s="11" t="str">
        <f>HYPERLINK("http://www.library.for.gov.bc.ca/#focus","http://www.library.for.gov.bc.ca/#focus")</f>
        <v>http://www.library.for.gov.bc.ca/#focus</v>
      </c>
      <c r="Y1351" t="s">
        <v>2500</v>
      </c>
      <c r="Z1351" s="11" t="str">
        <f>HYPERLINK("http://www.crownpub.bc.ca/","http://www.crownpub.bc.ca/")</f>
        <v>http://www.crownpub.bc.ca/</v>
      </c>
      <c r="AA1351" t="s">
        <v>58</v>
      </c>
      <c r="AC1351" t="s">
        <v>58</v>
      </c>
      <c r="AE1351" t="s">
        <v>58</v>
      </c>
      <c r="AG1351" t="s">
        <v>63</v>
      </c>
      <c r="AH1351" s="11" t="str">
        <f t="shared" si="41"/>
        <v>mailto: soilterrain@victoria1.gov.bc.ca</v>
      </c>
    </row>
    <row r="1352" spans="1:34">
      <c r="A1352" t="s">
        <v>3196</v>
      </c>
      <c r="B1352" t="s">
        <v>56</v>
      </c>
      <c r="C1352" s="10" t="s">
        <v>3197</v>
      </c>
      <c r="D1352" t="s">
        <v>58</v>
      </c>
      <c r="E1352" t="s">
        <v>3193</v>
      </c>
      <c r="F1352" t="s">
        <v>3194</v>
      </c>
      <c r="G1352">
        <v>100000</v>
      </c>
      <c r="H1352">
        <v>1977</v>
      </c>
      <c r="I1352" t="s">
        <v>3195</v>
      </c>
      <c r="J1352" t="s">
        <v>58</v>
      </c>
      <c r="K1352" t="s">
        <v>58</v>
      </c>
      <c r="L1352" t="s">
        <v>61</v>
      </c>
      <c r="M1352" t="s">
        <v>58</v>
      </c>
      <c r="Q1352" t="s">
        <v>58</v>
      </c>
      <c r="R1352" s="11" t="str">
        <f>HYPERLINK("\\imagefiles.bcgov\imagery\scanned_maps\moe_terrain_maps\Scanned_T_maps_all\K05\K05-2600","\\imagefiles.bcgov\imagery\scanned_maps\moe_terrain_maps\Scanned_T_maps_all\K05\K05-2600")</f>
        <v>\\imagefiles.bcgov\imagery\scanned_maps\moe_terrain_maps\Scanned_T_maps_all\K05\K05-2600</v>
      </c>
      <c r="S1352" t="s">
        <v>62</v>
      </c>
      <c r="T1352" s="11" t="str">
        <f>HYPERLINK("http://www.env.gov.bc.ca/esd/distdata/ecosystems/TEI_Scanned_Maps/K05/K05-2600","http://www.env.gov.bc.ca/esd/distdata/ecosystems/TEI_Scanned_Maps/K05/K05-2600")</f>
        <v>http://www.env.gov.bc.ca/esd/distdata/ecosystems/TEI_Scanned_Maps/K05/K05-2600</v>
      </c>
      <c r="U1352" t="s">
        <v>2495</v>
      </c>
      <c r="V1352" s="11" t="str">
        <f t="shared" si="39"/>
        <v>http://www.em.gov.bc.ca/mining/geolsurv/terrain&amp;soils/frbcguid.htm</v>
      </c>
      <c r="W1352" t="s">
        <v>269</v>
      </c>
      <c r="X1352" s="11" t="str">
        <f>HYPERLINK("http://www.library.for.gov.bc.ca/#focus","http://www.library.for.gov.bc.ca/#focus")</f>
        <v>http://www.library.for.gov.bc.ca/#focus</v>
      </c>
      <c r="Y1352" t="s">
        <v>2500</v>
      </c>
      <c r="Z1352" s="11" t="str">
        <f>HYPERLINK("http://www.crownpub.bc.ca/","http://www.crownpub.bc.ca/")</f>
        <v>http://www.crownpub.bc.ca/</v>
      </c>
      <c r="AA1352" t="s">
        <v>58</v>
      </c>
      <c r="AC1352" t="s">
        <v>58</v>
      </c>
      <c r="AE1352" t="s">
        <v>58</v>
      </c>
      <c r="AG1352" t="s">
        <v>63</v>
      </c>
      <c r="AH1352" s="11" t="str">
        <f t="shared" si="41"/>
        <v>mailto: soilterrain@victoria1.gov.bc.ca</v>
      </c>
    </row>
    <row r="1353" spans="1:34">
      <c r="A1353" t="s">
        <v>3198</v>
      </c>
      <c r="B1353" t="s">
        <v>56</v>
      </c>
      <c r="C1353" s="10" t="s">
        <v>3199</v>
      </c>
      <c r="D1353" t="s">
        <v>58</v>
      </c>
      <c r="E1353" t="s">
        <v>3193</v>
      </c>
      <c r="F1353" t="s">
        <v>3194</v>
      </c>
      <c r="G1353">
        <v>100000</v>
      </c>
      <c r="H1353">
        <v>1977</v>
      </c>
      <c r="I1353" t="s">
        <v>3195</v>
      </c>
      <c r="J1353" t="s">
        <v>58</v>
      </c>
      <c r="K1353" t="s">
        <v>58</v>
      </c>
      <c r="L1353" t="s">
        <v>61</v>
      </c>
      <c r="M1353" t="s">
        <v>58</v>
      </c>
      <c r="Q1353" t="s">
        <v>58</v>
      </c>
      <c r="R1353" s="11" t="str">
        <f>HYPERLINK("\\imagefiles.bcgov\imagery\scanned_maps\moe_terrain_maps\Scanned_T_maps_all\K05\K05-2602","\\imagefiles.bcgov\imagery\scanned_maps\moe_terrain_maps\Scanned_T_maps_all\K05\K05-2602")</f>
        <v>\\imagefiles.bcgov\imagery\scanned_maps\moe_terrain_maps\Scanned_T_maps_all\K05\K05-2602</v>
      </c>
      <c r="S1353" t="s">
        <v>62</v>
      </c>
      <c r="T1353" s="11" t="str">
        <f>HYPERLINK("http://www.env.gov.bc.ca/esd/distdata/ecosystems/TEI_Scanned_Maps/K05/K05-2602","http://www.env.gov.bc.ca/esd/distdata/ecosystems/TEI_Scanned_Maps/K05/K05-2602")</f>
        <v>http://www.env.gov.bc.ca/esd/distdata/ecosystems/TEI_Scanned_Maps/K05/K05-2602</v>
      </c>
      <c r="U1353" t="s">
        <v>2495</v>
      </c>
      <c r="V1353" s="11" t="str">
        <f t="shared" si="39"/>
        <v>http://www.em.gov.bc.ca/mining/geolsurv/terrain&amp;soils/frbcguid.htm</v>
      </c>
      <c r="W1353" t="s">
        <v>269</v>
      </c>
      <c r="X1353" s="11" t="str">
        <f>HYPERLINK("http://www.library.for.gov.bc.ca/#focus","http://www.library.for.gov.bc.ca/#focus")</f>
        <v>http://www.library.for.gov.bc.ca/#focus</v>
      </c>
      <c r="Y1353" t="s">
        <v>2500</v>
      </c>
      <c r="Z1353" s="11" t="str">
        <f>HYPERLINK("http://www.crownpub.bc.ca/","http://www.crownpub.bc.ca/")</f>
        <v>http://www.crownpub.bc.ca/</v>
      </c>
      <c r="AA1353" t="s">
        <v>58</v>
      </c>
      <c r="AC1353" t="s">
        <v>58</v>
      </c>
      <c r="AE1353" t="s">
        <v>58</v>
      </c>
      <c r="AG1353" t="s">
        <v>63</v>
      </c>
      <c r="AH1353" s="11" t="str">
        <f t="shared" si="41"/>
        <v>mailto: soilterrain@victoria1.gov.bc.ca</v>
      </c>
    </row>
    <row r="1354" spans="1:34">
      <c r="A1354" t="s">
        <v>3200</v>
      </c>
      <c r="B1354" t="s">
        <v>56</v>
      </c>
      <c r="C1354" s="10" t="s">
        <v>3201</v>
      </c>
      <c r="D1354" t="s">
        <v>58</v>
      </c>
      <c r="E1354" t="s">
        <v>3193</v>
      </c>
      <c r="F1354" t="s">
        <v>3194</v>
      </c>
      <c r="G1354">
        <v>100000</v>
      </c>
      <c r="H1354">
        <v>1977</v>
      </c>
      <c r="I1354" t="s">
        <v>3195</v>
      </c>
      <c r="J1354" t="s">
        <v>58</v>
      </c>
      <c r="K1354" t="s">
        <v>58</v>
      </c>
      <c r="L1354" t="s">
        <v>61</v>
      </c>
      <c r="M1354" t="s">
        <v>58</v>
      </c>
      <c r="Q1354" t="s">
        <v>58</v>
      </c>
      <c r="R1354" s="11" t="str">
        <f>HYPERLINK("\\imagefiles.bcgov\imagery\scanned_maps\moe_terrain_maps\Scanned_T_maps_all\K05\K05-2604","\\imagefiles.bcgov\imagery\scanned_maps\moe_terrain_maps\Scanned_T_maps_all\K05\K05-2604")</f>
        <v>\\imagefiles.bcgov\imagery\scanned_maps\moe_terrain_maps\Scanned_T_maps_all\K05\K05-2604</v>
      </c>
      <c r="S1354" t="s">
        <v>62</v>
      </c>
      <c r="T1354" s="11" t="str">
        <f>HYPERLINK("http://www.env.gov.bc.ca/esd/distdata/ecosystems/TEI_Scanned_Maps/K05/K05-2604","http://www.env.gov.bc.ca/esd/distdata/ecosystems/TEI_Scanned_Maps/K05/K05-2604")</f>
        <v>http://www.env.gov.bc.ca/esd/distdata/ecosystems/TEI_Scanned_Maps/K05/K05-2604</v>
      </c>
      <c r="U1354" t="s">
        <v>2495</v>
      </c>
      <c r="V1354" s="11" t="str">
        <f t="shared" si="39"/>
        <v>http://www.em.gov.bc.ca/mining/geolsurv/terrain&amp;soils/frbcguid.htm</v>
      </c>
      <c r="W1354" t="s">
        <v>269</v>
      </c>
      <c r="X1354" s="11" t="str">
        <f>HYPERLINK("http://www.library.for.gov.bc.ca/#focus","http://www.library.for.gov.bc.ca/#focus")</f>
        <v>http://www.library.for.gov.bc.ca/#focus</v>
      </c>
      <c r="Y1354" t="s">
        <v>2500</v>
      </c>
      <c r="Z1354" s="11" t="str">
        <f>HYPERLINK("http://www.crownpub.bc.ca/","http://www.crownpub.bc.ca/")</f>
        <v>http://www.crownpub.bc.ca/</v>
      </c>
      <c r="AA1354" t="s">
        <v>58</v>
      </c>
      <c r="AC1354" t="s">
        <v>58</v>
      </c>
      <c r="AE1354" t="s">
        <v>58</v>
      </c>
      <c r="AG1354" t="s">
        <v>63</v>
      </c>
      <c r="AH1354" s="11" t="str">
        <f t="shared" si="41"/>
        <v>mailto: soilterrain@victoria1.gov.bc.ca</v>
      </c>
    </row>
    <row r="1355" spans="1:34">
      <c r="A1355" t="s">
        <v>3202</v>
      </c>
      <c r="B1355" t="s">
        <v>56</v>
      </c>
      <c r="C1355" s="10" t="s">
        <v>983</v>
      </c>
      <c r="D1355" t="s">
        <v>58</v>
      </c>
      <c r="E1355" t="s">
        <v>2931</v>
      </c>
      <c r="F1355" t="s">
        <v>3203</v>
      </c>
      <c r="G1355">
        <v>100000</v>
      </c>
      <c r="H1355">
        <v>1977</v>
      </c>
      <c r="I1355" t="s">
        <v>58</v>
      </c>
      <c r="J1355" t="s">
        <v>58</v>
      </c>
      <c r="K1355" t="s">
        <v>61</v>
      </c>
      <c r="L1355" t="s">
        <v>61</v>
      </c>
      <c r="M1355" t="s">
        <v>58</v>
      </c>
      <c r="Q1355" t="s">
        <v>58</v>
      </c>
      <c r="R1355" s="11" t="str">
        <f>HYPERLINK("\\imagefiles.bcgov\imagery\scanned_maps\moe_terrain_maps\Scanned_T_maps_all\K05\K05-2617","\\imagefiles.bcgov\imagery\scanned_maps\moe_terrain_maps\Scanned_T_maps_all\K05\K05-2617")</f>
        <v>\\imagefiles.bcgov\imagery\scanned_maps\moe_terrain_maps\Scanned_T_maps_all\K05\K05-2617</v>
      </c>
      <c r="S1355" t="s">
        <v>62</v>
      </c>
      <c r="T1355" s="11" t="str">
        <f>HYPERLINK("http://www.env.gov.bc.ca/esd/distdata/ecosystems/TEI_Scanned_Maps/K05/K05-2617","http://www.env.gov.bc.ca/esd/distdata/ecosystems/TEI_Scanned_Maps/K05/K05-2617")</f>
        <v>http://www.env.gov.bc.ca/esd/distdata/ecosystems/TEI_Scanned_Maps/K05/K05-2617</v>
      </c>
      <c r="U1355" t="s">
        <v>58</v>
      </c>
      <c r="V1355" t="s">
        <v>58</v>
      </c>
      <c r="W1355" t="s">
        <v>58</v>
      </c>
      <c r="X1355" t="s">
        <v>58</v>
      </c>
      <c r="Y1355" t="s">
        <v>58</v>
      </c>
      <c r="Z1355" t="s">
        <v>58</v>
      </c>
      <c r="AA1355" t="s">
        <v>58</v>
      </c>
      <c r="AC1355" t="s">
        <v>58</v>
      </c>
      <c r="AE1355" t="s">
        <v>58</v>
      </c>
      <c r="AG1355" t="s">
        <v>63</v>
      </c>
      <c r="AH1355" s="11" t="str">
        <f t="shared" si="41"/>
        <v>mailto: soilterrain@victoria1.gov.bc.ca</v>
      </c>
    </row>
    <row r="1356" spans="1:34">
      <c r="A1356" t="s">
        <v>3204</v>
      </c>
      <c r="B1356" t="s">
        <v>56</v>
      </c>
      <c r="C1356" s="10" t="s">
        <v>985</v>
      </c>
      <c r="D1356" t="s">
        <v>58</v>
      </c>
      <c r="E1356" t="s">
        <v>3205</v>
      </c>
      <c r="F1356" t="s">
        <v>3206</v>
      </c>
      <c r="G1356">
        <v>100000</v>
      </c>
      <c r="H1356">
        <v>1977</v>
      </c>
      <c r="I1356" t="s">
        <v>3207</v>
      </c>
      <c r="J1356" t="s">
        <v>58</v>
      </c>
      <c r="K1356" t="s">
        <v>61</v>
      </c>
      <c r="L1356" t="s">
        <v>61</v>
      </c>
      <c r="M1356" t="s">
        <v>58</v>
      </c>
      <c r="Q1356" t="s">
        <v>58</v>
      </c>
      <c r="R1356" s="11" t="str">
        <f>HYPERLINK("\\imagefiles.bcgov\imagery\scanned_maps\moe_terrain_maps\Scanned_T_maps_all\K05\K05-2675","\\imagefiles.bcgov\imagery\scanned_maps\moe_terrain_maps\Scanned_T_maps_all\K05\K05-2675")</f>
        <v>\\imagefiles.bcgov\imagery\scanned_maps\moe_terrain_maps\Scanned_T_maps_all\K05\K05-2675</v>
      </c>
      <c r="S1356" t="s">
        <v>62</v>
      </c>
      <c r="T1356" s="11" t="str">
        <f>HYPERLINK("http://www.env.gov.bc.ca/esd/distdata/ecosystems/TEI_Scanned_Maps/K05/K05-2675","http://www.env.gov.bc.ca/esd/distdata/ecosystems/TEI_Scanned_Maps/K05/K05-2675")</f>
        <v>http://www.env.gov.bc.ca/esd/distdata/ecosystems/TEI_Scanned_Maps/K05/K05-2675</v>
      </c>
      <c r="U1356" t="s">
        <v>2967</v>
      </c>
      <c r="V1356" s="11" t="str">
        <f>HYPERLINK("http://res.agr.ca/cansis/publications/surveys/bc/","http://res.agr.ca/cansis/publications/surveys/bc/")</f>
        <v>http://res.agr.ca/cansis/publications/surveys/bc/</v>
      </c>
      <c r="W1356" t="s">
        <v>3042</v>
      </c>
      <c r="X1356" s="11" t="str">
        <f>HYPERLINK("http://res.agr.ca/cansis/publications/surveys/bc/","http://res.agr.ca/cansis/publications/surveys/bc/")</f>
        <v>http://res.agr.ca/cansis/publications/surveys/bc/</v>
      </c>
      <c r="Y1356" t="s">
        <v>58</v>
      </c>
      <c r="Z1356" t="s">
        <v>58</v>
      </c>
      <c r="AA1356" t="s">
        <v>58</v>
      </c>
      <c r="AC1356" t="s">
        <v>58</v>
      </c>
      <c r="AE1356" t="s">
        <v>58</v>
      </c>
      <c r="AG1356" t="s">
        <v>63</v>
      </c>
      <c r="AH1356" s="11" t="str">
        <f t="shared" si="41"/>
        <v>mailto: soilterrain@victoria1.gov.bc.ca</v>
      </c>
    </row>
    <row r="1357" spans="1:34">
      <c r="A1357" t="s">
        <v>3208</v>
      </c>
      <c r="B1357" t="s">
        <v>56</v>
      </c>
      <c r="C1357" s="10" t="s">
        <v>987</v>
      </c>
      <c r="D1357" t="s">
        <v>58</v>
      </c>
      <c r="E1357" t="s">
        <v>3205</v>
      </c>
      <c r="F1357" t="s">
        <v>3209</v>
      </c>
      <c r="G1357">
        <v>100000</v>
      </c>
      <c r="H1357">
        <v>1977</v>
      </c>
      <c r="I1357" t="s">
        <v>3207</v>
      </c>
      <c r="J1357" t="s">
        <v>58</v>
      </c>
      <c r="K1357" t="s">
        <v>61</v>
      </c>
      <c r="L1357" t="s">
        <v>61</v>
      </c>
      <c r="M1357" t="s">
        <v>58</v>
      </c>
      <c r="Q1357" t="s">
        <v>58</v>
      </c>
      <c r="R1357" s="11" t="str">
        <f>HYPERLINK("\\imagefiles.bcgov\imagery\scanned_maps\moe_terrain_maps\Scanned_T_maps_all\K05\K05-2680","\\imagefiles.bcgov\imagery\scanned_maps\moe_terrain_maps\Scanned_T_maps_all\K05\K05-2680")</f>
        <v>\\imagefiles.bcgov\imagery\scanned_maps\moe_terrain_maps\Scanned_T_maps_all\K05\K05-2680</v>
      </c>
      <c r="S1357" t="s">
        <v>62</v>
      </c>
      <c r="T1357" s="11" t="str">
        <f>HYPERLINK("http://www.env.gov.bc.ca/esd/distdata/ecosystems/TEI_Scanned_Maps/K05/K05-2680","http://www.env.gov.bc.ca/esd/distdata/ecosystems/TEI_Scanned_Maps/K05/K05-2680")</f>
        <v>http://www.env.gov.bc.ca/esd/distdata/ecosystems/TEI_Scanned_Maps/K05/K05-2680</v>
      </c>
      <c r="U1357" t="s">
        <v>2967</v>
      </c>
      <c r="V1357" s="11" t="str">
        <f>HYPERLINK("http://res.agr.ca/cansis/publications/surveys/bc/","http://res.agr.ca/cansis/publications/surveys/bc/")</f>
        <v>http://res.agr.ca/cansis/publications/surveys/bc/</v>
      </c>
      <c r="W1357" t="s">
        <v>3042</v>
      </c>
      <c r="X1357" s="11" t="str">
        <f>HYPERLINK("http://res.agr.ca/cansis/publications/surveys/bc/","http://res.agr.ca/cansis/publications/surveys/bc/")</f>
        <v>http://res.agr.ca/cansis/publications/surveys/bc/</v>
      </c>
      <c r="Y1357" t="s">
        <v>58</v>
      </c>
      <c r="Z1357" t="s">
        <v>58</v>
      </c>
      <c r="AA1357" t="s">
        <v>58</v>
      </c>
      <c r="AC1357" t="s">
        <v>58</v>
      </c>
      <c r="AE1357" t="s">
        <v>58</v>
      </c>
      <c r="AG1357" t="s">
        <v>63</v>
      </c>
      <c r="AH1357" s="11" t="str">
        <f t="shared" si="41"/>
        <v>mailto: soilterrain@victoria1.gov.bc.ca</v>
      </c>
    </row>
    <row r="1358" spans="1:34">
      <c r="A1358" t="s">
        <v>3210</v>
      </c>
      <c r="B1358" t="s">
        <v>56</v>
      </c>
      <c r="C1358" s="10" t="s">
        <v>989</v>
      </c>
      <c r="D1358" t="s">
        <v>58</v>
      </c>
      <c r="E1358" t="s">
        <v>3211</v>
      </c>
      <c r="F1358" t="s">
        <v>3212</v>
      </c>
      <c r="G1358">
        <v>100000</v>
      </c>
      <c r="H1358">
        <v>1977</v>
      </c>
      <c r="I1358" t="s">
        <v>3213</v>
      </c>
      <c r="J1358" t="s">
        <v>58</v>
      </c>
      <c r="K1358" t="s">
        <v>61</v>
      </c>
      <c r="L1358" t="s">
        <v>61</v>
      </c>
      <c r="M1358" t="s">
        <v>58</v>
      </c>
      <c r="Q1358" t="s">
        <v>58</v>
      </c>
      <c r="R1358" s="11" t="str">
        <f>HYPERLINK("\\imagefiles.bcgov\imagery\scanned_maps\moe_terrain_maps\Scanned_T_maps_all\K05\K05-2685","\\imagefiles.bcgov\imagery\scanned_maps\moe_terrain_maps\Scanned_T_maps_all\K05\K05-2685")</f>
        <v>\\imagefiles.bcgov\imagery\scanned_maps\moe_terrain_maps\Scanned_T_maps_all\K05\K05-2685</v>
      </c>
      <c r="S1358" t="s">
        <v>62</v>
      </c>
      <c r="T1358" s="11" t="str">
        <f>HYPERLINK("http://www.env.gov.bc.ca/esd/distdata/ecosystems/TEI_Scanned_Maps/K05/K05-2685","http://www.env.gov.bc.ca/esd/distdata/ecosystems/TEI_Scanned_Maps/K05/K05-2685")</f>
        <v>http://www.env.gov.bc.ca/esd/distdata/ecosystems/TEI_Scanned_Maps/K05/K05-2685</v>
      </c>
      <c r="U1358" t="s">
        <v>58</v>
      </c>
      <c r="V1358" t="s">
        <v>58</v>
      </c>
      <c r="W1358" t="s">
        <v>58</v>
      </c>
      <c r="X1358" t="s">
        <v>58</v>
      </c>
      <c r="Y1358" t="s">
        <v>58</v>
      </c>
      <c r="Z1358" t="s">
        <v>58</v>
      </c>
      <c r="AA1358" t="s">
        <v>58</v>
      </c>
      <c r="AC1358" t="s">
        <v>58</v>
      </c>
      <c r="AE1358" t="s">
        <v>58</v>
      </c>
      <c r="AG1358" t="s">
        <v>63</v>
      </c>
      <c r="AH1358" s="11" t="str">
        <f t="shared" si="41"/>
        <v>mailto: soilterrain@victoria1.gov.bc.ca</v>
      </c>
    </row>
    <row r="1359" spans="1:34">
      <c r="A1359" t="s">
        <v>3214</v>
      </c>
      <c r="B1359" t="s">
        <v>56</v>
      </c>
      <c r="C1359" s="10" t="s">
        <v>991</v>
      </c>
      <c r="D1359" t="s">
        <v>58</v>
      </c>
      <c r="E1359" t="s">
        <v>3215</v>
      </c>
      <c r="F1359" t="s">
        <v>3216</v>
      </c>
      <c r="G1359">
        <v>100000</v>
      </c>
      <c r="H1359">
        <v>1977</v>
      </c>
      <c r="I1359" t="s">
        <v>3217</v>
      </c>
      <c r="J1359" t="s">
        <v>58</v>
      </c>
      <c r="K1359" t="s">
        <v>61</v>
      </c>
      <c r="L1359" t="s">
        <v>61</v>
      </c>
      <c r="M1359" t="s">
        <v>58</v>
      </c>
      <c r="Q1359" t="s">
        <v>58</v>
      </c>
      <c r="R1359" s="11" t="str">
        <f>HYPERLINK("\\imagefiles.bcgov\imagery\scanned_maps\moe_terrain_maps\Scanned_T_maps_all\K05\K05-2690","\\imagefiles.bcgov\imagery\scanned_maps\moe_terrain_maps\Scanned_T_maps_all\K05\K05-2690")</f>
        <v>\\imagefiles.bcgov\imagery\scanned_maps\moe_terrain_maps\Scanned_T_maps_all\K05\K05-2690</v>
      </c>
      <c r="S1359" t="s">
        <v>62</v>
      </c>
      <c r="T1359" s="11" t="str">
        <f>HYPERLINK("http://www.env.gov.bc.ca/esd/distdata/ecosystems/TEI_Scanned_Maps/K05/K05-2690","http://www.env.gov.bc.ca/esd/distdata/ecosystems/TEI_Scanned_Maps/K05/K05-2690")</f>
        <v>http://www.env.gov.bc.ca/esd/distdata/ecosystems/TEI_Scanned_Maps/K05/K05-2690</v>
      </c>
      <c r="U1359" t="s">
        <v>58</v>
      </c>
      <c r="V1359" t="s">
        <v>58</v>
      </c>
      <c r="W1359" t="s">
        <v>58</v>
      </c>
      <c r="X1359" t="s">
        <v>58</v>
      </c>
      <c r="Y1359" t="s">
        <v>58</v>
      </c>
      <c r="Z1359" t="s">
        <v>58</v>
      </c>
      <c r="AA1359" t="s">
        <v>58</v>
      </c>
      <c r="AC1359" t="s">
        <v>58</v>
      </c>
      <c r="AE1359" t="s">
        <v>58</v>
      </c>
      <c r="AG1359" t="s">
        <v>63</v>
      </c>
      <c r="AH1359" s="11" t="str">
        <f t="shared" si="41"/>
        <v>mailto: soilterrain@victoria1.gov.bc.ca</v>
      </c>
    </row>
    <row r="1360" spans="1:34">
      <c r="A1360" t="s">
        <v>3218</v>
      </c>
      <c r="B1360" t="s">
        <v>56</v>
      </c>
      <c r="C1360" s="10" t="s">
        <v>1979</v>
      </c>
      <c r="D1360" t="s">
        <v>58</v>
      </c>
      <c r="E1360" t="s">
        <v>3193</v>
      </c>
      <c r="F1360" t="s">
        <v>3219</v>
      </c>
      <c r="G1360">
        <v>100000</v>
      </c>
      <c r="H1360" t="s">
        <v>342</v>
      </c>
      <c r="I1360" t="s">
        <v>3195</v>
      </c>
      <c r="J1360" t="s">
        <v>58</v>
      </c>
      <c r="K1360" t="s">
        <v>58</v>
      </c>
      <c r="L1360" t="s">
        <v>61</v>
      </c>
      <c r="M1360" t="s">
        <v>58</v>
      </c>
      <c r="Q1360" t="s">
        <v>58</v>
      </c>
      <c r="R1360" s="11" t="str">
        <f>HYPERLINK("\\imagefiles.bcgov\imagery\scanned_maps\moe_terrain_maps\Scanned_T_maps_all\K05\K05-4937","\\imagefiles.bcgov\imagery\scanned_maps\moe_terrain_maps\Scanned_T_maps_all\K05\K05-4937")</f>
        <v>\\imagefiles.bcgov\imagery\scanned_maps\moe_terrain_maps\Scanned_T_maps_all\K05\K05-4937</v>
      </c>
      <c r="S1360" t="s">
        <v>62</v>
      </c>
      <c r="T1360" s="11" t="str">
        <f>HYPERLINK("http://www.env.gov.bc.ca/esd/distdata/ecosystems/TEI_Scanned_Maps/K05/K05-4937","http://www.env.gov.bc.ca/esd/distdata/ecosystems/TEI_Scanned_Maps/K05/K05-4937")</f>
        <v>http://www.env.gov.bc.ca/esd/distdata/ecosystems/TEI_Scanned_Maps/K05/K05-4937</v>
      </c>
      <c r="U1360" t="s">
        <v>269</v>
      </c>
      <c r="V1360" s="11" t="str">
        <f>HYPERLINK("http://www.library.for.gov.bc.ca/#focus","http://www.library.for.gov.bc.ca/#focus")</f>
        <v>http://www.library.for.gov.bc.ca/#focus</v>
      </c>
      <c r="W1360" t="s">
        <v>2500</v>
      </c>
      <c r="X1360" s="11" t="str">
        <f>HYPERLINK("http://www.crownpub.bc.ca/","http://www.crownpub.bc.ca/")</f>
        <v>http://www.crownpub.bc.ca/</v>
      </c>
      <c r="Y1360" t="s">
        <v>58</v>
      </c>
      <c r="Z1360" t="s">
        <v>58</v>
      </c>
      <c r="AA1360" t="s">
        <v>58</v>
      </c>
      <c r="AC1360" t="s">
        <v>58</v>
      </c>
      <c r="AE1360" t="s">
        <v>58</v>
      </c>
      <c r="AG1360" t="s">
        <v>63</v>
      </c>
      <c r="AH1360" s="11" t="str">
        <f t="shared" si="41"/>
        <v>mailto: soilterrain@victoria1.gov.bc.ca</v>
      </c>
    </row>
    <row r="1361" spans="1:34">
      <c r="A1361" t="s">
        <v>3220</v>
      </c>
      <c r="B1361" t="s">
        <v>56</v>
      </c>
      <c r="C1361" s="10" t="s">
        <v>1982</v>
      </c>
      <c r="D1361" t="s">
        <v>58</v>
      </c>
      <c r="E1361" t="s">
        <v>3193</v>
      </c>
      <c r="F1361" t="s">
        <v>3219</v>
      </c>
      <c r="G1361">
        <v>100000</v>
      </c>
      <c r="H1361" t="s">
        <v>342</v>
      </c>
      <c r="I1361" t="s">
        <v>3195</v>
      </c>
      <c r="J1361" t="s">
        <v>58</v>
      </c>
      <c r="K1361" t="s">
        <v>58</v>
      </c>
      <c r="L1361" t="s">
        <v>61</v>
      </c>
      <c r="M1361" t="s">
        <v>58</v>
      </c>
      <c r="Q1361" t="s">
        <v>58</v>
      </c>
      <c r="R1361" s="11" t="str">
        <f>HYPERLINK("\\imagefiles.bcgov\imagery\scanned_maps\moe_terrain_maps\Scanned_T_maps_all\K05\K05-4938","\\imagefiles.bcgov\imagery\scanned_maps\moe_terrain_maps\Scanned_T_maps_all\K05\K05-4938")</f>
        <v>\\imagefiles.bcgov\imagery\scanned_maps\moe_terrain_maps\Scanned_T_maps_all\K05\K05-4938</v>
      </c>
      <c r="S1361" t="s">
        <v>62</v>
      </c>
      <c r="T1361" s="11" t="str">
        <f>HYPERLINK("http://www.env.gov.bc.ca/esd/distdata/ecosystems/TEI_Scanned_Maps/K05/K05-4938","http://www.env.gov.bc.ca/esd/distdata/ecosystems/TEI_Scanned_Maps/K05/K05-4938")</f>
        <v>http://www.env.gov.bc.ca/esd/distdata/ecosystems/TEI_Scanned_Maps/K05/K05-4938</v>
      </c>
      <c r="U1361" t="s">
        <v>269</v>
      </c>
      <c r="V1361" s="11" t="str">
        <f>HYPERLINK("http://www.library.for.gov.bc.ca/#focus","http://www.library.for.gov.bc.ca/#focus")</f>
        <v>http://www.library.for.gov.bc.ca/#focus</v>
      </c>
      <c r="W1361" t="s">
        <v>2500</v>
      </c>
      <c r="X1361" s="11" t="str">
        <f>HYPERLINK("http://www.crownpub.bc.ca/","http://www.crownpub.bc.ca/")</f>
        <v>http://www.crownpub.bc.ca/</v>
      </c>
      <c r="Y1361" t="s">
        <v>58</v>
      </c>
      <c r="Z1361" t="s">
        <v>58</v>
      </c>
      <c r="AA1361" t="s">
        <v>58</v>
      </c>
      <c r="AC1361" t="s">
        <v>58</v>
      </c>
      <c r="AE1361" t="s">
        <v>58</v>
      </c>
      <c r="AG1361" t="s">
        <v>63</v>
      </c>
      <c r="AH1361" s="11" t="str">
        <f t="shared" si="41"/>
        <v>mailto: soilterrain@victoria1.gov.bc.ca</v>
      </c>
    </row>
    <row r="1362" spans="1:34">
      <c r="A1362" t="s">
        <v>3221</v>
      </c>
      <c r="B1362" t="s">
        <v>56</v>
      </c>
      <c r="C1362" s="10" t="s">
        <v>995</v>
      </c>
      <c r="D1362" t="s">
        <v>58</v>
      </c>
      <c r="E1362" t="s">
        <v>3222</v>
      </c>
      <c r="F1362" t="s">
        <v>3223</v>
      </c>
      <c r="G1362">
        <v>125000</v>
      </c>
      <c r="H1362">
        <v>1977</v>
      </c>
      <c r="I1362" t="s">
        <v>3224</v>
      </c>
      <c r="J1362" t="s">
        <v>58</v>
      </c>
      <c r="K1362" t="s">
        <v>58</v>
      </c>
      <c r="L1362" t="s">
        <v>61</v>
      </c>
      <c r="M1362" t="s">
        <v>58</v>
      </c>
      <c r="Q1362" t="s">
        <v>58</v>
      </c>
      <c r="R1362" s="11" t="str">
        <f>HYPERLINK("\\imagefiles.bcgov\imagery\scanned_maps\moe_terrain_maps\Scanned_T_maps_all\K06\K06-2718","\\imagefiles.bcgov\imagery\scanned_maps\moe_terrain_maps\Scanned_T_maps_all\K06\K06-2718")</f>
        <v>\\imagefiles.bcgov\imagery\scanned_maps\moe_terrain_maps\Scanned_T_maps_all\K06\K06-2718</v>
      </c>
      <c r="S1362" t="s">
        <v>62</v>
      </c>
      <c r="T1362" s="11" t="str">
        <f>HYPERLINK("http://www.env.gov.bc.ca/esd/distdata/ecosystems/TEI_Scanned_Maps/K06/K06-2718","http://www.env.gov.bc.ca/esd/distdata/ecosystems/TEI_Scanned_Maps/K06/K06-2718")</f>
        <v>http://www.env.gov.bc.ca/esd/distdata/ecosystems/TEI_Scanned_Maps/K06/K06-2718</v>
      </c>
      <c r="U1362" t="s">
        <v>58</v>
      </c>
      <c r="V1362" t="s">
        <v>58</v>
      </c>
      <c r="W1362" t="s">
        <v>58</v>
      </c>
      <c r="X1362" t="s">
        <v>58</v>
      </c>
      <c r="Y1362" t="s">
        <v>58</v>
      </c>
      <c r="Z1362" t="s">
        <v>58</v>
      </c>
      <c r="AA1362" t="s">
        <v>58</v>
      </c>
      <c r="AC1362" t="s">
        <v>58</v>
      </c>
      <c r="AE1362" t="s">
        <v>58</v>
      </c>
      <c r="AG1362" t="s">
        <v>63</v>
      </c>
      <c r="AH1362" s="11" t="str">
        <f t="shared" si="41"/>
        <v>mailto: soilterrain@victoria1.gov.bc.ca</v>
      </c>
    </row>
    <row r="1363" spans="1:34">
      <c r="A1363" t="s">
        <v>3225</v>
      </c>
      <c r="B1363" t="s">
        <v>56</v>
      </c>
      <c r="C1363" s="10" t="s">
        <v>997</v>
      </c>
      <c r="D1363" t="s">
        <v>58</v>
      </c>
      <c r="E1363" t="s">
        <v>3205</v>
      </c>
      <c r="F1363" t="s">
        <v>3226</v>
      </c>
      <c r="G1363">
        <v>100000</v>
      </c>
      <c r="H1363">
        <v>1977</v>
      </c>
      <c r="I1363" t="s">
        <v>3207</v>
      </c>
      <c r="J1363" t="s">
        <v>58</v>
      </c>
      <c r="K1363" t="s">
        <v>61</v>
      </c>
      <c r="L1363" t="s">
        <v>61</v>
      </c>
      <c r="M1363" t="s">
        <v>58</v>
      </c>
      <c r="Q1363" t="s">
        <v>58</v>
      </c>
      <c r="R1363" s="11" t="str">
        <f>HYPERLINK("\\imagefiles.bcgov\imagery\scanned_maps\moe_terrain_maps\Scanned_T_maps_all\K06\K06-2730","\\imagefiles.bcgov\imagery\scanned_maps\moe_terrain_maps\Scanned_T_maps_all\K06\K06-2730")</f>
        <v>\\imagefiles.bcgov\imagery\scanned_maps\moe_terrain_maps\Scanned_T_maps_all\K06\K06-2730</v>
      </c>
      <c r="S1363" t="s">
        <v>62</v>
      </c>
      <c r="T1363" s="11" t="str">
        <f>HYPERLINK("http://www.env.gov.bc.ca/esd/distdata/ecosystems/TEI_Scanned_Maps/K06/K06-2730","http://www.env.gov.bc.ca/esd/distdata/ecosystems/TEI_Scanned_Maps/K06/K06-2730")</f>
        <v>http://www.env.gov.bc.ca/esd/distdata/ecosystems/TEI_Scanned_Maps/K06/K06-2730</v>
      </c>
      <c r="U1363" t="s">
        <v>2490</v>
      </c>
      <c r="V1363" s="11" t="str">
        <f>HYPERLINK("http://res.agr.ca/cansis/publications/surveys/bc/","http://res.agr.ca/cansis/publications/surveys/bc/")</f>
        <v>http://res.agr.ca/cansis/publications/surveys/bc/</v>
      </c>
      <c r="W1363" t="s">
        <v>58</v>
      </c>
      <c r="X1363" t="s">
        <v>58</v>
      </c>
      <c r="Y1363" t="s">
        <v>58</v>
      </c>
      <c r="Z1363" t="s">
        <v>58</v>
      </c>
      <c r="AA1363" t="s">
        <v>58</v>
      </c>
      <c r="AC1363" t="s">
        <v>58</v>
      </c>
      <c r="AE1363" t="s">
        <v>58</v>
      </c>
      <c r="AG1363" t="s">
        <v>63</v>
      </c>
      <c r="AH1363" s="11" t="str">
        <f t="shared" si="41"/>
        <v>mailto: soilterrain@victoria1.gov.bc.ca</v>
      </c>
    </row>
    <row r="1364" spans="1:34">
      <c r="A1364" t="s">
        <v>3227</v>
      </c>
      <c r="B1364" t="s">
        <v>56</v>
      </c>
      <c r="C1364" s="10" t="s">
        <v>999</v>
      </c>
      <c r="D1364" t="s">
        <v>58</v>
      </c>
      <c r="E1364" t="s">
        <v>3205</v>
      </c>
      <c r="F1364" t="s">
        <v>3228</v>
      </c>
      <c r="G1364">
        <v>100000</v>
      </c>
      <c r="H1364">
        <v>1977</v>
      </c>
      <c r="I1364" t="s">
        <v>3207</v>
      </c>
      <c r="J1364" t="s">
        <v>58</v>
      </c>
      <c r="K1364" t="s">
        <v>61</v>
      </c>
      <c r="L1364" t="s">
        <v>61</v>
      </c>
      <c r="M1364" t="s">
        <v>58</v>
      </c>
      <c r="Q1364" t="s">
        <v>58</v>
      </c>
      <c r="R1364" s="11" t="str">
        <f>HYPERLINK("\\imagefiles.bcgov\imagery\scanned_maps\moe_terrain_maps\Scanned_T_maps_all\K06\K06-2735","\\imagefiles.bcgov\imagery\scanned_maps\moe_terrain_maps\Scanned_T_maps_all\K06\K06-2735")</f>
        <v>\\imagefiles.bcgov\imagery\scanned_maps\moe_terrain_maps\Scanned_T_maps_all\K06\K06-2735</v>
      </c>
      <c r="S1364" t="s">
        <v>62</v>
      </c>
      <c r="T1364" s="11" t="str">
        <f>HYPERLINK("http://www.env.gov.bc.ca/esd/distdata/ecosystems/TEI_Scanned_Maps/K06/K06-2735","http://www.env.gov.bc.ca/esd/distdata/ecosystems/TEI_Scanned_Maps/K06/K06-2735")</f>
        <v>http://www.env.gov.bc.ca/esd/distdata/ecosystems/TEI_Scanned_Maps/K06/K06-2735</v>
      </c>
      <c r="U1364" t="s">
        <v>2490</v>
      </c>
      <c r="V1364" s="11" t="str">
        <f>HYPERLINK("http://res.agr.ca/cansis/publications/surveys/bc/","http://res.agr.ca/cansis/publications/surveys/bc/")</f>
        <v>http://res.agr.ca/cansis/publications/surveys/bc/</v>
      </c>
      <c r="W1364" t="s">
        <v>58</v>
      </c>
      <c r="X1364" t="s">
        <v>58</v>
      </c>
      <c r="Y1364" t="s">
        <v>58</v>
      </c>
      <c r="Z1364" t="s">
        <v>58</v>
      </c>
      <c r="AA1364" t="s">
        <v>58</v>
      </c>
      <c r="AC1364" t="s">
        <v>58</v>
      </c>
      <c r="AE1364" t="s">
        <v>58</v>
      </c>
      <c r="AG1364" t="s">
        <v>63</v>
      </c>
      <c r="AH1364" s="11" t="str">
        <f t="shared" si="41"/>
        <v>mailto: soilterrain@victoria1.gov.bc.ca</v>
      </c>
    </row>
    <row r="1365" spans="1:34">
      <c r="A1365" t="s">
        <v>3229</v>
      </c>
      <c r="B1365" t="s">
        <v>56</v>
      </c>
      <c r="C1365" s="10" t="s">
        <v>1001</v>
      </c>
      <c r="D1365" t="s">
        <v>58</v>
      </c>
      <c r="E1365" t="s">
        <v>3230</v>
      </c>
      <c r="F1365" t="s">
        <v>3231</v>
      </c>
      <c r="G1365">
        <v>125000</v>
      </c>
      <c r="H1365">
        <v>1977</v>
      </c>
      <c r="I1365" t="s">
        <v>3232</v>
      </c>
      <c r="J1365" t="s">
        <v>58</v>
      </c>
      <c r="K1365" t="s">
        <v>61</v>
      </c>
      <c r="L1365" t="s">
        <v>61</v>
      </c>
      <c r="M1365" t="s">
        <v>58</v>
      </c>
      <c r="Q1365" t="s">
        <v>58</v>
      </c>
      <c r="R1365" s="11" t="str">
        <f>HYPERLINK("\\imagefiles.bcgov\imagery\scanned_maps\moe_terrain_maps\Scanned_T_maps_all\K06\K06-2757","\\imagefiles.bcgov\imagery\scanned_maps\moe_terrain_maps\Scanned_T_maps_all\K06\K06-2757")</f>
        <v>\\imagefiles.bcgov\imagery\scanned_maps\moe_terrain_maps\Scanned_T_maps_all\K06\K06-2757</v>
      </c>
      <c r="S1365" t="s">
        <v>62</v>
      </c>
      <c r="T1365" s="11" t="str">
        <f>HYPERLINK("http://www.env.gov.bc.ca/esd/distdata/ecosystems/TEI_Scanned_Maps/K06/K06-2757","http://www.env.gov.bc.ca/esd/distdata/ecosystems/TEI_Scanned_Maps/K06/K06-2757")</f>
        <v>http://www.env.gov.bc.ca/esd/distdata/ecosystems/TEI_Scanned_Maps/K06/K06-2757</v>
      </c>
      <c r="U1365" t="s">
        <v>2495</v>
      </c>
      <c r="V1365" s="11" t="str">
        <f>HYPERLINK("http://www.em.gov.bc.ca/mining/geolsurv/terrain&amp;soils/frbcguid.htm","http://www.em.gov.bc.ca/mining/geolsurv/terrain&amp;soils/frbcguid.htm")</f>
        <v>http://www.em.gov.bc.ca/mining/geolsurv/terrain&amp;soils/frbcguid.htm</v>
      </c>
      <c r="W1365" t="s">
        <v>58</v>
      </c>
      <c r="X1365" t="s">
        <v>58</v>
      </c>
      <c r="Y1365" t="s">
        <v>58</v>
      </c>
      <c r="Z1365" t="s">
        <v>58</v>
      </c>
      <c r="AA1365" t="s">
        <v>58</v>
      </c>
      <c r="AC1365" t="s">
        <v>58</v>
      </c>
      <c r="AE1365" t="s">
        <v>58</v>
      </c>
      <c r="AG1365" t="s">
        <v>63</v>
      </c>
      <c r="AH1365" s="11" t="str">
        <f t="shared" si="41"/>
        <v>mailto: soilterrain@victoria1.gov.bc.ca</v>
      </c>
    </row>
    <row r="1366" spans="1:34">
      <c r="A1366" t="s">
        <v>3233</v>
      </c>
      <c r="B1366" t="s">
        <v>56</v>
      </c>
      <c r="C1366" s="10" t="s">
        <v>1003</v>
      </c>
      <c r="D1366" t="s">
        <v>58</v>
      </c>
      <c r="E1366" t="s">
        <v>58</v>
      </c>
      <c r="F1366" t="s">
        <v>3234</v>
      </c>
      <c r="G1366">
        <v>100000</v>
      </c>
      <c r="H1366">
        <v>1977</v>
      </c>
      <c r="I1366" t="s">
        <v>58</v>
      </c>
      <c r="J1366" t="s">
        <v>58</v>
      </c>
      <c r="K1366" t="s">
        <v>61</v>
      </c>
      <c r="L1366" t="s">
        <v>61</v>
      </c>
      <c r="M1366" t="s">
        <v>58</v>
      </c>
      <c r="Q1366" t="s">
        <v>58</v>
      </c>
      <c r="R1366" s="11" t="str">
        <f>HYPERLINK("\\imagefiles.bcgov\imagery\scanned_maps\moe_terrain_maps\Scanned_T_maps_all\K06\K06-2763","\\imagefiles.bcgov\imagery\scanned_maps\moe_terrain_maps\Scanned_T_maps_all\K06\K06-2763")</f>
        <v>\\imagefiles.bcgov\imagery\scanned_maps\moe_terrain_maps\Scanned_T_maps_all\K06\K06-2763</v>
      </c>
      <c r="S1366" t="s">
        <v>62</v>
      </c>
      <c r="T1366" s="11" t="str">
        <f>HYPERLINK("http://www.env.gov.bc.ca/esd/distdata/ecosystems/TEI_Scanned_Maps/K06/K06-2763","http://www.env.gov.bc.ca/esd/distdata/ecosystems/TEI_Scanned_Maps/K06/K06-2763")</f>
        <v>http://www.env.gov.bc.ca/esd/distdata/ecosystems/TEI_Scanned_Maps/K06/K06-2763</v>
      </c>
      <c r="U1366" t="s">
        <v>58</v>
      </c>
      <c r="V1366" t="s">
        <v>58</v>
      </c>
      <c r="W1366" t="s">
        <v>58</v>
      </c>
      <c r="X1366" t="s">
        <v>58</v>
      </c>
      <c r="Y1366" t="s">
        <v>58</v>
      </c>
      <c r="Z1366" t="s">
        <v>58</v>
      </c>
      <c r="AA1366" t="s">
        <v>58</v>
      </c>
      <c r="AC1366" t="s">
        <v>58</v>
      </c>
      <c r="AE1366" t="s">
        <v>58</v>
      </c>
      <c r="AG1366" t="s">
        <v>63</v>
      </c>
      <c r="AH1366" s="11" t="str">
        <f t="shared" si="41"/>
        <v>mailto: soilterrain@victoria1.gov.bc.ca</v>
      </c>
    </row>
    <row r="1367" spans="1:34">
      <c r="A1367" t="s">
        <v>3235</v>
      </c>
      <c r="B1367" t="s">
        <v>56</v>
      </c>
      <c r="C1367" s="10" t="s">
        <v>1005</v>
      </c>
      <c r="D1367" t="s">
        <v>58</v>
      </c>
      <c r="E1367" t="s">
        <v>3236</v>
      </c>
      <c r="F1367" t="s">
        <v>3237</v>
      </c>
      <c r="G1367">
        <v>125000</v>
      </c>
      <c r="H1367">
        <v>1977</v>
      </c>
      <c r="I1367" t="s">
        <v>3238</v>
      </c>
      <c r="J1367" t="s">
        <v>58</v>
      </c>
      <c r="K1367" t="s">
        <v>58</v>
      </c>
      <c r="L1367" t="s">
        <v>61</v>
      </c>
      <c r="M1367" t="s">
        <v>58</v>
      </c>
      <c r="Q1367" t="s">
        <v>58</v>
      </c>
      <c r="R1367" s="11" t="str">
        <f>HYPERLINK("\\imagefiles.bcgov\imagery\scanned_maps\moe_terrain_maps\Scanned_T_maps_all\K06\K06-2770","\\imagefiles.bcgov\imagery\scanned_maps\moe_terrain_maps\Scanned_T_maps_all\K06\K06-2770")</f>
        <v>\\imagefiles.bcgov\imagery\scanned_maps\moe_terrain_maps\Scanned_T_maps_all\K06\K06-2770</v>
      </c>
      <c r="S1367" t="s">
        <v>62</v>
      </c>
      <c r="T1367" s="11" t="str">
        <f>HYPERLINK("http://www.env.gov.bc.ca/esd/distdata/ecosystems/TEI_Scanned_Maps/K06/K06-2770","http://www.env.gov.bc.ca/esd/distdata/ecosystems/TEI_Scanned_Maps/K06/K06-2770")</f>
        <v>http://www.env.gov.bc.ca/esd/distdata/ecosystems/TEI_Scanned_Maps/K06/K06-2770</v>
      </c>
      <c r="U1367" t="s">
        <v>58</v>
      </c>
      <c r="V1367" t="s">
        <v>58</v>
      </c>
      <c r="W1367" t="s">
        <v>58</v>
      </c>
      <c r="X1367" t="s">
        <v>58</v>
      </c>
      <c r="Y1367" t="s">
        <v>58</v>
      </c>
      <c r="Z1367" t="s">
        <v>58</v>
      </c>
      <c r="AA1367" t="s">
        <v>58</v>
      </c>
      <c r="AC1367" t="s">
        <v>58</v>
      </c>
      <c r="AE1367" t="s">
        <v>58</v>
      </c>
      <c r="AG1367" t="s">
        <v>63</v>
      </c>
      <c r="AH1367" s="11" t="str">
        <f t="shared" si="41"/>
        <v>mailto: soilterrain@victoria1.gov.bc.ca</v>
      </c>
    </row>
    <row r="1368" spans="1:34">
      <c r="A1368" t="s">
        <v>3239</v>
      </c>
      <c r="B1368" t="s">
        <v>56</v>
      </c>
      <c r="C1368" s="10" t="s">
        <v>3240</v>
      </c>
      <c r="D1368" t="s">
        <v>58</v>
      </c>
      <c r="E1368" t="s">
        <v>3241</v>
      </c>
      <c r="F1368" t="s">
        <v>3242</v>
      </c>
      <c r="G1368">
        <v>100000</v>
      </c>
      <c r="H1368">
        <v>1977</v>
      </c>
      <c r="I1368" t="s">
        <v>3243</v>
      </c>
      <c r="J1368" t="s">
        <v>58</v>
      </c>
      <c r="K1368" t="s">
        <v>58</v>
      </c>
      <c r="L1368" t="s">
        <v>61</v>
      </c>
      <c r="M1368" t="s">
        <v>58</v>
      </c>
      <c r="Q1368" t="s">
        <v>58</v>
      </c>
      <c r="R1368" s="11" t="str">
        <f>HYPERLINK("\\imagefiles.bcgov\imagery\scanned_maps\moe_terrain_maps\Scanned_T_maps_all\K06\K06-2809","\\imagefiles.bcgov\imagery\scanned_maps\moe_terrain_maps\Scanned_T_maps_all\K06\K06-2809")</f>
        <v>\\imagefiles.bcgov\imagery\scanned_maps\moe_terrain_maps\Scanned_T_maps_all\K06\K06-2809</v>
      </c>
      <c r="S1368" t="s">
        <v>62</v>
      </c>
      <c r="T1368" s="11" t="str">
        <f>HYPERLINK("http://www.env.gov.bc.ca/esd/distdata/ecosystems/TEI_Scanned_Maps/K06/K06-2809","http://www.env.gov.bc.ca/esd/distdata/ecosystems/TEI_Scanned_Maps/K06/K06-2809")</f>
        <v>http://www.env.gov.bc.ca/esd/distdata/ecosystems/TEI_Scanned_Maps/K06/K06-2809</v>
      </c>
      <c r="U1368" t="s">
        <v>2495</v>
      </c>
      <c r="V1368" s="11" t="str">
        <f>HYPERLINK("http://www.em.gov.bc.ca/mining/geolsurv/terrain&amp;soils/frbcguid.htm","http://www.em.gov.bc.ca/mining/geolsurv/terrain&amp;soils/frbcguid.htm")</f>
        <v>http://www.em.gov.bc.ca/mining/geolsurv/terrain&amp;soils/frbcguid.htm</v>
      </c>
      <c r="W1368" t="s">
        <v>269</v>
      </c>
      <c r="X1368" s="11" t="str">
        <f>HYPERLINK("http://www.library.for.gov.bc.ca/#focus","http://www.library.for.gov.bc.ca/#focus")</f>
        <v>http://www.library.for.gov.bc.ca/#focus</v>
      </c>
      <c r="Y1368" t="s">
        <v>58</v>
      </c>
      <c r="Z1368" t="s">
        <v>58</v>
      </c>
      <c r="AA1368" t="s">
        <v>58</v>
      </c>
      <c r="AC1368" t="s">
        <v>58</v>
      </c>
      <c r="AE1368" t="s">
        <v>58</v>
      </c>
      <c r="AG1368" t="s">
        <v>63</v>
      </c>
      <c r="AH1368" s="11" t="str">
        <f t="shared" si="41"/>
        <v>mailto: soilterrain@victoria1.gov.bc.ca</v>
      </c>
    </row>
    <row r="1369" spans="1:34">
      <c r="A1369" t="s">
        <v>3244</v>
      </c>
      <c r="B1369" t="s">
        <v>56</v>
      </c>
      <c r="C1369" s="10" t="s">
        <v>3245</v>
      </c>
      <c r="D1369" t="s">
        <v>58</v>
      </c>
      <c r="E1369" t="s">
        <v>3241</v>
      </c>
      <c r="F1369" t="s">
        <v>3246</v>
      </c>
      <c r="G1369">
        <v>100000</v>
      </c>
      <c r="H1369">
        <v>1977</v>
      </c>
      <c r="I1369" t="s">
        <v>3243</v>
      </c>
      <c r="J1369" t="s">
        <v>58</v>
      </c>
      <c r="K1369" t="s">
        <v>58</v>
      </c>
      <c r="L1369" t="s">
        <v>61</v>
      </c>
      <c r="M1369" t="s">
        <v>58</v>
      </c>
      <c r="Q1369" t="s">
        <v>58</v>
      </c>
      <c r="R1369" s="11" t="str">
        <f>HYPERLINK("\\imagefiles.bcgov\imagery\scanned_maps\moe_terrain_maps\Scanned_T_maps_all\K06\K06-2826","\\imagefiles.bcgov\imagery\scanned_maps\moe_terrain_maps\Scanned_T_maps_all\K06\K06-2826")</f>
        <v>\\imagefiles.bcgov\imagery\scanned_maps\moe_terrain_maps\Scanned_T_maps_all\K06\K06-2826</v>
      </c>
      <c r="S1369" t="s">
        <v>62</v>
      </c>
      <c r="T1369" s="11" t="str">
        <f>HYPERLINK("http://www.env.gov.bc.ca/esd/distdata/ecosystems/TEI_Scanned_Maps/K06/K06-2826","http://www.env.gov.bc.ca/esd/distdata/ecosystems/TEI_Scanned_Maps/K06/K06-2826")</f>
        <v>http://www.env.gov.bc.ca/esd/distdata/ecosystems/TEI_Scanned_Maps/K06/K06-2826</v>
      </c>
      <c r="U1369" t="s">
        <v>2495</v>
      </c>
      <c r="V1369" s="11" t="str">
        <f>HYPERLINK("http://www.em.gov.bc.ca/mining/geolsurv/terrain&amp;soils/frbcguid.htm","http://www.em.gov.bc.ca/mining/geolsurv/terrain&amp;soils/frbcguid.htm")</f>
        <v>http://www.em.gov.bc.ca/mining/geolsurv/terrain&amp;soils/frbcguid.htm</v>
      </c>
      <c r="W1369" t="s">
        <v>269</v>
      </c>
      <c r="X1369" s="11" t="str">
        <f>HYPERLINK("http://www.library.for.gov.bc.ca/#focus","http://www.library.for.gov.bc.ca/#focus")</f>
        <v>http://www.library.for.gov.bc.ca/#focus</v>
      </c>
      <c r="Y1369" t="s">
        <v>58</v>
      </c>
      <c r="Z1369" t="s">
        <v>58</v>
      </c>
      <c r="AA1369" t="s">
        <v>58</v>
      </c>
      <c r="AC1369" t="s">
        <v>58</v>
      </c>
      <c r="AE1369" t="s">
        <v>58</v>
      </c>
      <c r="AG1369" t="s">
        <v>63</v>
      </c>
      <c r="AH1369" s="11" t="str">
        <f t="shared" si="41"/>
        <v>mailto: soilterrain@victoria1.gov.bc.ca</v>
      </c>
    </row>
    <row r="1370" spans="1:34">
      <c r="A1370" t="s">
        <v>3247</v>
      </c>
      <c r="B1370" t="s">
        <v>56</v>
      </c>
      <c r="C1370" s="10" t="s">
        <v>3248</v>
      </c>
      <c r="D1370" t="s">
        <v>58</v>
      </c>
      <c r="E1370" t="s">
        <v>3241</v>
      </c>
      <c r="F1370" t="s">
        <v>3249</v>
      </c>
      <c r="G1370">
        <v>100000</v>
      </c>
      <c r="H1370">
        <v>1977</v>
      </c>
      <c r="I1370" t="s">
        <v>3243</v>
      </c>
      <c r="J1370" t="s">
        <v>58</v>
      </c>
      <c r="K1370" t="s">
        <v>58</v>
      </c>
      <c r="L1370" t="s">
        <v>61</v>
      </c>
      <c r="M1370" t="s">
        <v>58</v>
      </c>
      <c r="Q1370" t="s">
        <v>58</v>
      </c>
      <c r="R1370" s="11" t="str">
        <f>HYPERLINK("\\imagefiles.bcgov\imagery\scanned_maps\moe_terrain_maps\Scanned_T_maps_all\K06\K06-2827","\\imagefiles.bcgov\imagery\scanned_maps\moe_terrain_maps\Scanned_T_maps_all\K06\K06-2827")</f>
        <v>\\imagefiles.bcgov\imagery\scanned_maps\moe_terrain_maps\Scanned_T_maps_all\K06\K06-2827</v>
      </c>
      <c r="S1370" t="s">
        <v>62</v>
      </c>
      <c r="T1370" s="11" t="str">
        <f>HYPERLINK("http://www.env.gov.bc.ca/esd/distdata/ecosystems/TEI_Scanned_Maps/K06/K06-2827","http://www.env.gov.bc.ca/esd/distdata/ecosystems/TEI_Scanned_Maps/K06/K06-2827")</f>
        <v>http://www.env.gov.bc.ca/esd/distdata/ecosystems/TEI_Scanned_Maps/K06/K06-2827</v>
      </c>
      <c r="U1370" t="s">
        <v>2495</v>
      </c>
      <c r="V1370" s="11" t="str">
        <f>HYPERLINK("http://www.em.gov.bc.ca/mining/geolsurv/terrain&amp;soils/frbcguid.htm","http://www.em.gov.bc.ca/mining/geolsurv/terrain&amp;soils/frbcguid.htm")</f>
        <v>http://www.em.gov.bc.ca/mining/geolsurv/terrain&amp;soils/frbcguid.htm</v>
      </c>
      <c r="W1370" t="s">
        <v>269</v>
      </c>
      <c r="X1370" s="11" t="str">
        <f>HYPERLINK("http://www.library.for.gov.bc.ca/#focus","http://www.library.for.gov.bc.ca/#focus")</f>
        <v>http://www.library.for.gov.bc.ca/#focus</v>
      </c>
      <c r="Y1370" t="s">
        <v>58</v>
      </c>
      <c r="Z1370" t="s">
        <v>58</v>
      </c>
      <c r="AA1370" t="s">
        <v>58</v>
      </c>
      <c r="AC1370" t="s">
        <v>58</v>
      </c>
      <c r="AE1370" t="s">
        <v>58</v>
      </c>
      <c r="AG1370" t="s">
        <v>63</v>
      </c>
      <c r="AH1370" s="11" t="str">
        <f t="shared" si="41"/>
        <v>mailto: soilterrain@victoria1.gov.bc.ca</v>
      </c>
    </row>
    <row r="1371" spans="1:34">
      <c r="A1371" t="s">
        <v>3250</v>
      </c>
      <c r="B1371" t="s">
        <v>56</v>
      </c>
      <c r="C1371" s="10" t="s">
        <v>1001</v>
      </c>
      <c r="D1371" t="s">
        <v>58</v>
      </c>
      <c r="E1371" t="s">
        <v>3205</v>
      </c>
      <c r="F1371" t="s">
        <v>3251</v>
      </c>
      <c r="G1371">
        <v>100000</v>
      </c>
      <c r="H1371" t="s">
        <v>187</v>
      </c>
      <c r="I1371" t="s">
        <v>3207</v>
      </c>
      <c r="J1371" t="s">
        <v>58</v>
      </c>
      <c r="K1371" t="s">
        <v>61</v>
      </c>
      <c r="L1371" t="s">
        <v>61</v>
      </c>
      <c r="M1371" t="s">
        <v>58</v>
      </c>
      <c r="Q1371" t="s">
        <v>58</v>
      </c>
      <c r="R1371" s="11" t="str">
        <f>HYPERLINK("\\imagefiles.bcgov\imagery\scanned_maps\moe_terrain_maps\Scanned_T_maps_all\K06\K06-4939","\\imagefiles.bcgov\imagery\scanned_maps\moe_terrain_maps\Scanned_T_maps_all\K06\K06-4939")</f>
        <v>\\imagefiles.bcgov\imagery\scanned_maps\moe_terrain_maps\Scanned_T_maps_all\K06\K06-4939</v>
      </c>
      <c r="S1371" t="s">
        <v>62</v>
      </c>
      <c r="T1371" s="11" t="str">
        <f>HYPERLINK("http://www.env.gov.bc.ca/esd/distdata/ecosystems/TEI_Scanned_Maps/K06/K06-4939","http://www.env.gov.bc.ca/esd/distdata/ecosystems/TEI_Scanned_Maps/K06/K06-4939")</f>
        <v>http://www.env.gov.bc.ca/esd/distdata/ecosystems/TEI_Scanned_Maps/K06/K06-4939</v>
      </c>
      <c r="U1371" t="s">
        <v>2490</v>
      </c>
      <c r="V1371" s="11" t="str">
        <f>HYPERLINK("http://res.agr.ca/cansis/publications/surveys/bc/","http://res.agr.ca/cansis/publications/surveys/bc/")</f>
        <v>http://res.agr.ca/cansis/publications/surveys/bc/</v>
      </c>
      <c r="W1371" t="s">
        <v>58</v>
      </c>
      <c r="X1371" t="s">
        <v>58</v>
      </c>
      <c r="Y1371" t="s">
        <v>58</v>
      </c>
      <c r="Z1371" t="s">
        <v>58</v>
      </c>
      <c r="AA1371" t="s">
        <v>58</v>
      </c>
      <c r="AC1371" t="s">
        <v>58</v>
      </c>
      <c r="AE1371" t="s">
        <v>58</v>
      </c>
      <c r="AG1371" t="s">
        <v>63</v>
      </c>
      <c r="AH1371" s="11" t="str">
        <f t="shared" si="41"/>
        <v>mailto: soilterrain@victoria1.gov.bc.ca</v>
      </c>
    </row>
    <row r="1372" spans="1:34">
      <c r="A1372" t="s">
        <v>3252</v>
      </c>
      <c r="B1372" t="s">
        <v>56</v>
      </c>
      <c r="C1372" s="10" t="s">
        <v>1011</v>
      </c>
      <c r="D1372" t="s">
        <v>58</v>
      </c>
      <c r="E1372" t="s">
        <v>2502</v>
      </c>
      <c r="F1372" t="s">
        <v>3253</v>
      </c>
      <c r="G1372">
        <v>50000</v>
      </c>
      <c r="H1372">
        <v>1977</v>
      </c>
      <c r="I1372" t="s">
        <v>2504</v>
      </c>
      <c r="J1372" t="s">
        <v>58</v>
      </c>
      <c r="K1372" t="s">
        <v>58</v>
      </c>
      <c r="L1372" t="s">
        <v>61</v>
      </c>
      <c r="M1372" t="s">
        <v>58</v>
      </c>
      <c r="Q1372" t="s">
        <v>58</v>
      </c>
      <c r="R1372" s="11" t="str">
        <f>HYPERLINK("\\imagefiles.bcgov\imagery\scanned_maps\moe_terrain_maps\Scanned_T_maps_all\K07\K07-316","\\imagefiles.bcgov\imagery\scanned_maps\moe_terrain_maps\Scanned_T_maps_all\K07\K07-316")</f>
        <v>\\imagefiles.bcgov\imagery\scanned_maps\moe_terrain_maps\Scanned_T_maps_all\K07\K07-316</v>
      </c>
      <c r="S1372" t="s">
        <v>62</v>
      </c>
      <c r="T1372" s="11" t="str">
        <f>HYPERLINK("http://www.env.gov.bc.ca/esd/distdata/ecosystems/TEI_Scanned_Maps/K07/K07-316","http://www.env.gov.bc.ca/esd/distdata/ecosystems/TEI_Scanned_Maps/K07/K07-316")</f>
        <v>http://www.env.gov.bc.ca/esd/distdata/ecosystems/TEI_Scanned_Maps/K07/K07-316</v>
      </c>
      <c r="U1372" t="s">
        <v>2495</v>
      </c>
      <c r="V1372" s="11" t="str">
        <f t="shared" ref="V1372:V1386" si="42">HYPERLINK("http://www.em.gov.bc.ca/mining/geolsurv/terrain&amp;soils/frbcguid.htm","http://www.em.gov.bc.ca/mining/geolsurv/terrain&amp;soils/frbcguid.htm")</f>
        <v>http://www.em.gov.bc.ca/mining/geolsurv/terrain&amp;soils/frbcguid.htm</v>
      </c>
      <c r="W1372" t="s">
        <v>2489</v>
      </c>
      <c r="X1372" s="11" t="str">
        <f t="shared" ref="X1372:X1386" si="43">HYPERLINK("http://www.em.gov.bc.ca/mining/geolsurv/terrain&amp;soils/frbcguid.htm","http://www.em.gov.bc.ca/mining/geolsurv/terrain&amp;soils/frbcguid.htm")</f>
        <v>http://www.em.gov.bc.ca/mining/geolsurv/terrain&amp;soils/frbcguid.htm</v>
      </c>
      <c r="Y1372" t="s">
        <v>58</v>
      </c>
      <c r="Z1372" t="s">
        <v>58</v>
      </c>
      <c r="AA1372" t="s">
        <v>58</v>
      </c>
      <c r="AC1372" t="s">
        <v>58</v>
      </c>
      <c r="AE1372" t="s">
        <v>58</v>
      </c>
      <c r="AG1372" t="s">
        <v>63</v>
      </c>
      <c r="AH1372" s="11" t="str">
        <f t="shared" si="41"/>
        <v>mailto: soilterrain@victoria1.gov.bc.ca</v>
      </c>
    </row>
    <row r="1373" spans="1:34">
      <c r="A1373" t="s">
        <v>3254</v>
      </c>
      <c r="B1373" t="s">
        <v>56</v>
      </c>
      <c r="C1373" s="10" t="s">
        <v>1013</v>
      </c>
      <c r="D1373" t="s">
        <v>58</v>
      </c>
      <c r="E1373" t="s">
        <v>2502</v>
      </c>
      <c r="F1373" t="s">
        <v>3255</v>
      </c>
      <c r="G1373">
        <v>50000</v>
      </c>
      <c r="H1373" t="s">
        <v>3256</v>
      </c>
      <c r="I1373" t="s">
        <v>2504</v>
      </c>
      <c r="J1373" t="s">
        <v>58</v>
      </c>
      <c r="K1373" t="s">
        <v>58</v>
      </c>
      <c r="L1373" t="s">
        <v>61</v>
      </c>
      <c r="M1373" t="s">
        <v>58</v>
      </c>
      <c r="Q1373" t="s">
        <v>58</v>
      </c>
      <c r="R1373" s="11" t="str">
        <f>HYPERLINK("\\imagefiles.bcgov\imagery\scanned_maps\moe_terrain_maps\Scanned_T_maps_all\K07\K07-319","\\imagefiles.bcgov\imagery\scanned_maps\moe_terrain_maps\Scanned_T_maps_all\K07\K07-319")</f>
        <v>\\imagefiles.bcgov\imagery\scanned_maps\moe_terrain_maps\Scanned_T_maps_all\K07\K07-319</v>
      </c>
      <c r="S1373" t="s">
        <v>62</v>
      </c>
      <c r="T1373" s="11" t="str">
        <f>HYPERLINK("http://www.env.gov.bc.ca/esd/distdata/ecosystems/TEI_Scanned_Maps/K07/K07-319","http://www.env.gov.bc.ca/esd/distdata/ecosystems/TEI_Scanned_Maps/K07/K07-319")</f>
        <v>http://www.env.gov.bc.ca/esd/distdata/ecosystems/TEI_Scanned_Maps/K07/K07-319</v>
      </c>
      <c r="U1373" t="s">
        <v>2495</v>
      </c>
      <c r="V1373" s="11" t="str">
        <f t="shared" si="42"/>
        <v>http://www.em.gov.bc.ca/mining/geolsurv/terrain&amp;soils/frbcguid.htm</v>
      </c>
      <c r="W1373" t="s">
        <v>2489</v>
      </c>
      <c r="X1373" s="11" t="str">
        <f t="shared" si="43"/>
        <v>http://www.em.gov.bc.ca/mining/geolsurv/terrain&amp;soils/frbcguid.htm</v>
      </c>
      <c r="Y1373" t="s">
        <v>58</v>
      </c>
      <c r="Z1373" t="s">
        <v>58</v>
      </c>
      <c r="AA1373" t="s">
        <v>58</v>
      </c>
      <c r="AC1373" t="s">
        <v>58</v>
      </c>
      <c r="AE1373" t="s">
        <v>58</v>
      </c>
      <c r="AG1373" t="s">
        <v>63</v>
      </c>
      <c r="AH1373" s="11" t="str">
        <f t="shared" si="41"/>
        <v>mailto: soilterrain@victoria1.gov.bc.ca</v>
      </c>
    </row>
    <row r="1374" spans="1:34">
      <c r="A1374" t="s">
        <v>3257</v>
      </c>
      <c r="B1374" t="s">
        <v>56</v>
      </c>
      <c r="C1374" s="10" t="s">
        <v>1015</v>
      </c>
      <c r="D1374" t="s">
        <v>58</v>
      </c>
      <c r="E1374" t="s">
        <v>2502</v>
      </c>
      <c r="F1374" t="s">
        <v>3258</v>
      </c>
      <c r="G1374">
        <v>50000</v>
      </c>
      <c r="H1374">
        <v>1977</v>
      </c>
      <c r="I1374" t="s">
        <v>2504</v>
      </c>
      <c r="J1374" t="s">
        <v>58</v>
      </c>
      <c r="K1374" t="s">
        <v>58</v>
      </c>
      <c r="L1374" t="s">
        <v>61</v>
      </c>
      <c r="M1374" t="s">
        <v>58</v>
      </c>
      <c r="Q1374" t="s">
        <v>58</v>
      </c>
      <c r="R1374" s="11" t="str">
        <f>HYPERLINK("\\imagefiles.bcgov\imagery\scanned_maps\moe_terrain_maps\Scanned_T_maps_all\K07\K07-323","\\imagefiles.bcgov\imagery\scanned_maps\moe_terrain_maps\Scanned_T_maps_all\K07\K07-323")</f>
        <v>\\imagefiles.bcgov\imagery\scanned_maps\moe_terrain_maps\Scanned_T_maps_all\K07\K07-323</v>
      </c>
      <c r="S1374" t="s">
        <v>62</v>
      </c>
      <c r="T1374" s="11" t="str">
        <f>HYPERLINK("http://www.env.gov.bc.ca/esd/distdata/ecosystems/TEI_Scanned_Maps/K07/K07-323","http://www.env.gov.bc.ca/esd/distdata/ecosystems/TEI_Scanned_Maps/K07/K07-323")</f>
        <v>http://www.env.gov.bc.ca/esd/distdata/ecosystems/TEI_Scanned_Maps/K07/K07-323</v>
      </c>
      <c r="U1374" t="s">
        <v>2495</v>
      </c>
      <c r="V1374" s="11" t="str">
        <f t="shared" si="42"/>
        <v>http://www.em.gov.bc.ca/mining/geolsurv/terrain&amp;soils/frbcguid.htm</v>
      </c>
      <c r="W1374" t="s">
        <v>2489</v>
      </c>
      <c r="X1374" s="11" t="str">
        <f t="shared" si="43"/>
        <v>http://www.em.gov.bc.ca/mining/geolsurv/terrain&amp;soils/frbcguid.htm</v>
      </c>
      <c r="Y1374" t="s">
        <v>58</v>
      </c>
      <c r="Z1374" t="s">
        <v>58</v>
      </c>
      <c r="AA1374" t="s">
        <v>58</v>
      </c>
      <c r="AC1374" t="s">
        <v>58</v>
      </c>
      <c r="AE1374" t="s">
        <v>58</v>
      </c>
      <c r="AG1374" t="s">
        <v>63</v>
      </c>
      <c r="AH1374" s="11" t="str">
        <f t="shared" si="41"/>
        <v>mailto: soilterrain@victoria1.gov.bc.ca</v>
      </c>
    </row>
    <row r="1375" spans="1:34">
      <c r="A1375" t="s">
        <v>3259</v>
      </c>
      <c r="B1375" t="s">
        <v>56</v>
      </c>
      <c r="C1375" s="10" t="s">
        <v>1017</v>
      </c>
      <c r="D1375" t="s">
        <v>58</v>
      </c>
      <c r="E1375" t="s">
        <v>2502</v>
      </c>
      <c r="F1375" t="s">
        <v>3260</v>
      </c>
      <c r="G1375">
        <v>50000</v>
      </c>
      <c r="H1375">
        <v>1977</v>
      </c>
      <c r="I1375" t="s">
        <v>2504</v>
      </c>
      <c r="J1375" t="s">
        <v>58</v>
      </c>
      <c r="K1375" t="s">
        <v>58</v>
      </c>
      <c r="L1375" t="s">
        <v>61</v>
      </c>
      <c r="M1375" t="s">
        <v>58</v>
      </c>
      <c r="Q1375" t="s">
        <v>58</v>
      </c>
      <c r="R1375" s="11" t="str">
        <f>HYPERLINK("\\imagefiles.bcgov\imagery\scanned_maps\moe_terrain_maps\Scanned_T_maps_all\K07\K07-326","\\imagefiles.bcgov\imagery\scanned_maps\moe_terrain_maps\Scanned_T_maps_all\K07\K07-326")</f>
        <v>\\imagefiles.bcgov\imagery\scanned_maps\moe_terrain_maps\Scanned_T_maps_all\K07\K07-326</v>
      </c>
      <c r="S1375" t="s">
        <v>62</v>
      </c>
      <c r="T1375" s="11" t="str">
        <f>HYPERLINK("http://www.env.gov.bc.ca/esd/distdata/ecosystems/TEI_Scanned_Maps/K07/K07-326","http://www.env.gov.bc.ca/esd/distdata/ecosystems/TEI_Scanned_Maps/K07/K07-326")</f>
        <v>http://www.env.gov.bc.ca/esd/distdata/ecosystems/TEI_Scanned_Maps/K07/K07-326</v>
      </c>
      <c r="U1375" t="s">
        <v>2495</v>
      </c>
      <c r="V1375" s="11" t="str">
        <f t="shared" si="42"/>
        <v>http://www.em.gov.bc.ca/mining/geolsurv/terrain&amp;soils/frbcguid.htm</v>
      </c>
      <c r="W1375" t="s">
        <v>2489</v>
      </c>
      <c r="X1375" s="11" t="str">
        <f t="shared" si="43"/>
        <v>http://www.em.gov.bc.ca/mining/geolsurv/terrain&amp;soils/frbcguid.htm</v>
      </c>
      <c r="Y1375" t="s">
        <v>58</v>
      </c>
      <c r="Z1375" t="s">
        <v>58</v>
      </c>
      <c r="AA1375" t="s">
        <v>58</v>
      </c>
      <c r="AC1375" t="s">
        <v>58</v>
      </c>
      <c r="AE1375" t="s">
        <v>58</v>
      </c>
      <c r="AG1375" t="s">
        <v>63</v>
      </c>
      <c r="AH1375" s="11" t="str">
        <f t="shared" si="41"/>
        <v>mailto: soilterrain@victoria1.gov.bc.ca</v>
      </c>
    </row>
    <row r="1376" spans="1:34">
      <c r="A1376" t="s">
        <v>3261</v>
      </c>
      <c r="B1376" t="s">
        <v>56</v>
      </c>
      <c r="C1376" s="10" t="s">
        <v>1019</v>
      </c>
      <c r="D1376" t="s">
        <v>58</v>
      </c>
      <c r="E1376" t="s">
        <v>2502</v>
      </c>
      <c r="F1376" t="s">
        <v>3262</v>
      </c>
      <c r="G1376">
        <v>50000</v>
      </c>
      <c r="H1376">
        <v>1977</v>
      </c>
      <c r="I1376" t="s">
        <v>2504</v>
      </c>
      <c r="J1376" t="s">
        <v>58</v>
      </c>
      <c r="K1376" t="s">
        <v>58</v>
      </c>
      <c r="L1376" t="s">
        <v>61</v>
      </c>
      <c r="M1376" t="s">
        <v>58</v>
      </c>
      <c r="Q1376" t="s">
        <v>58</v>
      </c>
      <c r="R1376" s="11" t="str">
        <f>HYPERLINK("\\imagefiles.bcgov\imagery\scanned_maps\moe_terrain_maps\Scanned_T_maps_all\K07\K07-329","\\imagefiles.bcgov\imagery\scanned_maps\moe_terrain_maps\Scanned_T_maps_all\K07\K07-329")</f>
        <v>\\imagefiles.bcgov\imagery\scanned_maps\moe_terrain_maps\Scanned_T_maps_all\K07\K07-329</v>
      </c>
      <c r="S1376" t="s">
        <v>62</v>
      </c>
      <c r="T1376" s="11" t="str">
        <f>HYPERLINK("http://www.env.gov.bc.ca/esd/distdata/ecosystems/TEI_Scanned_Maps/K07/K07-329","http://www.env.gov.bc.ca/esd/distdata/ecosystems/TEI_Scanned_Maps/K07/K07-329")</f>
        <v>http://www.env.gov.bc.ca/esd/distdata/ecosystems/TEI_Scanned_Maps/K07/K07-329</v>
      </c>
      <c r="U1376" t="s">
        <v>2495</v>
      </c>
      <c r="V1376" s="11" t="str">
        <f t="shared" si="42"/>
        <v>http://www.em.gov.bc.ca/mining/geolsurv/terrain&amp;soils/frbcguid.htm</v>
      </c>
      <c r="W1376" t="s">
        <v>2489</v>
      </c>
      <c r="X1376" s="11" t="str">
        <f t="shared" si="43"/>
        <v>http://www.em.gov.bc.ca/mining/geolsurv/terrain&amp;soils/frbcguid.htm</v>
      </c>
      <c r="Y1376" t="s">
        <v>58</v>
      </c>
      <c r="Z1376" t="s">
        <v>58</v>
      </c>
      <c r="AA1376" t="s">
        <v>58</v>
      </c>
      <c r="AC1376" t="s">
        <v>58</v>
      </c>
      <c r="AE1376" t="s">
        <v>58</v>
      </c>
      <c r="AG1376" t="s">
        <v>63</v>
      </c>
      <c r="AH1376" s="11" t="str">
        <f t="shared" si="41"/>
        <v>mailto: soilterrain@victoria1.gov.bc.ca</v>
      </c>
    </row>
    <row r="1377" spans="1:34">
      <c r="A1377" t="s">
        <v>3263</v>
      </c>
      <c r="B1377" t="s">
        <v>56</v>
      </c>
      <c r="C1377" s="10" t="s">
        <v>1021</v>
      </c>
      <c r="D1377" t="s">
        <v>58</v>
      </c>
      <c r="E1377" t="s">
        <v>2502</v>
      </c>
      <c r="F1377" t="s">
        <v>3264</v>
      </c>
      <c r="G1377">
        <v>50000</v>
      </c>
      <c r="H1377">
        <v>1977</v>
      </c>
      <c r="I1377" t="s">
        <v>2504</v>
      </c>
      <c r="J1377" t="s">
        <v>58</v>
      </c>
      <c r="K1377" t="s">
        <v>58</v>
      </c>
      <c r="L1377" t="s">
        <v>61</v>
      </c>
      <c r="M1377" t="s">
        <v>58</v>
      </c>
      <c r="Q1377" t="s">
        <v>58</v>
      </c>
      <c r="R1377" s="11" t="str">
        <f>HYPERLINK("\\imagefiles.bcgov\imagery\scanned_maps\moe_terrain_maps\Scanned_T_maps_all\K07\K07-331","\\imagefiles.bcgov\imagery\scanned_maps\moe_terrain_maps\Scanned_T_maps_all\K07\K07-331")</f>
        <v>\\imagefiles.bcgov\imagery\scanned_maps\moe_terrain_maps\Scanned_T_maps_all\K07\K07-331</v>
      </c>
      <c r="S1377" t="s">
        <v>62</v>
      </c>
      <c r="T1377" s="11" t="str">
        <f>HYPERLINK("http://www.env.gov.bc.ca/esd/distdata/ecosystems/TEI_Scanned_Maps/K07/K07-331","http://www.env.gov.bc.ca/esd/distdata/ecosystems/TEI_Scanned_Maps/K07/K07-331")</f>
        <v>http://www.env.gov.bc.ca/esd/distdata/ecosystems/TEI_Scanned_Maps/K07/K07-331</v>
      </c>
      <c r="U1377" t="s">
        <v>2495</v>
      </c>
      <c r="V1377" s="11" t="str">
        <f t="shared" si="42"/>
        <v>http://www.em.gov.bc.ca/mining/geolsurv/terrain&amp;soils/frbcguid.htm</v>
      </c>
      <c r="W1377" t="s">
        <v>2489</v>
      </c>
      <c r="X1377" s="11" t="str">
        <f t="shared" si="43"/>
        <v>http://www.em.gov.bc.ca/mining/geolsurv/terrain&amp;soils/frbcguid.htm</v>
      </c>
      <c r="Y1377" t="s">
        <v>58</v>
      </c>
      <c r="Z1377" t="s">
        <v>58</v>
      </c>
      <c r="AA1377" t="s">
        <v>58</v>
      </c>
      <c r="AC1377" t="s">
        <v>58</v>
      </c>
      <c r="AE1377" t="s">
        <v>58</v>
      </c>
      <c r="AG1377" t="s">
        <v>63</v>
      </c>
      <c r="AH1377" s="11" t="str">
        <f t="shared" si="41"/>
        <v>mailto: soilterrain@victoria1.gov.bc.ca</v>
      </c>
    </row>
    <row r="1378" spans="1:34">
      <c r="A1378" t="s">
        <v>3265</v>
      </c>
      <c r="B1378" t="s">
        <v>56</v>
      </c>
      <c r="C1378" s="10" t="s">
        <v>1023</v>
      </c>
      <c r="D1378" t="s">
        <v>58</v>
      </c>
      <c r="E1378" t="s">
        <v>2502</v>
      </c>
      <c r="F1378" t="s">
        <v>3266</v>
      </c>
      <c r="G1378">
        <v>50000</v>
      </c>
      <c r="H1378">
        <v>1977</v>
      </c>
      <c r="I1378" t="s">
        <v>2504</v>
      </c>
      <c r="J1378" t="s">
        <v>58</v>
      </c>
      <c r="K1378" t="s">
        <v>58</v>
      </c>
      <c r="L1378" t="s">
        <v>61</v>
      </c>
      <c r="M1378" t="s">
        <v>58</v>
      </c>
      <c r="Q1378" t="s">
        <v>58</v>
      </c>
      <c r="R1378" s="11" t="str">
        <f>HYPERLINK("\\imagefiles.bcgov\imagery\scanned_maps\moe_terrain_maps\Scanned_T_maps_all\K07\K07-334","\\imagefiles.bcgov\imagery\scanned_maps\moe_terrain_maps\Scanned_T_maps_all\K07\K07-334")</f>
        <v>\\imagefiles.bcgov\imagery\scanned_maps\moe_terrain_maps\Scanned_T_maps_all\K07\K07-334</v>
      </c>
      <c r="S1378" t="s">
        <v>62</v>
      </c>
      <c r="T1378" s="11" t="str">
        <f>HYPERLINK("http://www.env.gov.bc.ca/esd/distdata/ecosystems/TEI_Scanned_Maps/K07/K07-334","http://www.env.gov.bc.ca/esd/distdata/ecosystems/TEI_Scanned_Maps/K07/K07-334")</f>
        <v>http://www.env.gov.bc.ca/esd/distdata/ecosystems/TEI_Scanned_Maps/K07/K07-334</v>
      </c>
      <c r="U1378" t="s">
        <v>2495</v>
      </c>
      <c r="V1378" s="11" t="str">
        <f t="shared" si="42"/>
        <v>http://www.em.gov.bc.ca/mining/geolsurv/terrain&amp;soils/frbcguid.htm</v>
      </c>
      <c r="W1378" t="s">
        <v>2489</v>
      </c>
      <c r="X1378" s="11" t="str">
        <f t="shared" si="43"/>
        <v>http://www.em.gov.bc.ca/mining/geolsurv/terrain&amp;soils/frbcguid.htm</v>
      </c>
      <c r="Y1378" t="s">
        <v>58</v>
      </c>
      <c r="Z1378" t="s">
        <v>58</v>
      </c>
      <c r="AA1378" t="s">
        <v>58</v>
      </c>
      <c r="AC1378" t="s">
        <v>58</v>
      </c>
      <c r="AE1378" t="s">
        <v>58</v>
      </c>
      <c r="AG1378" t="s">
        <v>63</v>
      </c>
      <c r="AH1378" s="11" t="str">
        <f t="shared" si="41"/>
        <v>mailto: soilterrain@victoria1.gov.bc.ca</v>
      </c>
    </row>
    <row r="1379" spans="1:34">
      <c r="A1379" t="s">
        <v>3267</v>
      </c>
      <c r="B1379" t="s">
        <v>56</v>
      </c>
      <c r="C1379" s="10" t="s">
        <v>1025</v>
      </c>
      <c r="D1379" t="s">
        <v>58</v>
      </c>
      <c r="E1379" t="s">
        <v>2502</v>
      </c>
      <c r="F1379" t="s">
        <v>3268</v>
      </c>
      <c r="G1379">
        <v>50000</v>
      </c>
      <c r="H1379">
        <v>1976</v>
      </c>
      <c r="I1379" t="s">
        <v>2504</v>
      </c>
      <c r="J1379" t="s">
        <v>58</v>
      </c>
      <c r="K1379" t="s">
        <v>58</v>
      </c>
      <c r="L1379" t="s">
        <v>61</v>
      </c>
      <c r="M1379" t="s">
        <v>58</v>
      </c>
      <c r="Q1379" t="s">
        <v>58</v>
      </c>
      <c r="R1379" s="11" t="str">
        <f>HYPERLINK("\\imagefiles.bcgov\imagery\scanned_maps\moe_terrain_maps\Scanned_T_maps_all\K07\K07-337","\\imagefiles.bcgov\imagery\scanned_maps\moe_terrain_maps\Scanned_T_maps_all\K07\K07-337")</f>
        <v>\\imagefiles.bcgov\imagery\scanned_maps\moe_terrain_maps\Scanned_T_maps_all\K07\K07-337</v>
      </c>
      <c r="S1379" t="s">
        <v>62</v>
      </c>
      <c r="T1379" s="11" t="str">
        <f>HYPERLINK("http://www.env.gov.bc.ca/esd/distdata/ecosystems/TEI_Scanned_Maps/K07/K07-337","http://www.env.gov.bc.ca/esd/distdata/ecosystems/TEI_Scanned_Maps/K07/K07-337")</f>
        <v>http://www.env.gov.bc.ca/esd/distdata/ecosystems/TEI_Scanned_Maps/K07/K07-337</v>
      </c>
      <c r="U1379" t="s">
        <v>2495</v>
      </c>
      <c r="V1379" s="11" t="str">
        <f t="shared" si="42"/>
        <v>http://www.em.gov.bc.ca/mining/geolsurv/terrain&amp;soils/frbcguid.htm</v>
      </c>
      <c r="W1379" t="s">
        <v>2489</v>
      </c>
      <c r="X1379" s="11" t="str">
        <f t="shared" si="43"/>
        <v>http://www.em.gov.bc.ca/mining/geolsurv/terrain&amp;soils/frbcguid.htm</v>
      </c>
      <c r="Y1379" t="s">
        <v>58</v>
      </c>
      <c r="Z1379" t="s">
        <v>58</v>
      </c>
      <c r="AA1379" t="s">
        <v>58</v>
      </c>
      <c r="AC1379" t="s">
        <v>58</v>
      </c>
      <c r="AE1379" t="s">
        <v>58</v>
      </c>
      <c r="AG1379" t="s">
        <v>63</v>
      </c>
      <c r="AH1379" s="11" t="str">
        <f t="shared" si="41"/>
        <v>mailto: soilterrain@victoria1.gov.bc.ca</v>
      </c>
    </row>
    <row r="1380" spans="1:34">
      <c r="A1380" t="s">
        <v>3269</v>
      </c>
      <c r="B1380" t="s">
        <v>56</v>
      </c>
      <c r="C1380" s="10" t="s">
        <v>1027</v>
      </c>
      <c r="D1380" t="s">
        <v>58</v>
      </c>
      <c r="E1380" t="s">
        <v>2502</v>
      </c>
      <c r="F1380" t="s">
        <v>3270</v>
      </c>
      <c r="G1380">
        <v>50000</v>
      </c>
      <c r="H1380" t="s">
        <v>187</v>
      </c>
      <c r="I1380" t="s">
        <v>2504</v>
      </c>
      <c r="J1380" t="s">
        <v>58</v>
      </c>
      <c r="K1380" t="s">
        <v>58</v>
      </c>
      <c r="L1380" t="s">
        <v>61</v>
      </c>
      <c r="M1380" t="s">
        <v>58</v>
      </c>
      <c r="Q1380" t="s">
        <v>58</v>
      </c>
      <c r="R1380" s="11" t="str">
        <f>HYPERLINK("\\imagefiles.bcgov\imagery\scanned_maps\moe_terrain_maps\Scanned_T_maps_all\K07\K07-340","\\imagefiles.bcgov\imagery\scanned_maps\moe_terrain_maps\Scanned_T_maps_all\K07\K07-340")</f>
        <v>\\imagefiles.bcgov\imagery\scanned_maps\moe_terrain_maps\Scanned_T_maps_all\K07\K07-340</v>
      </c>
      <c r="S1380" t="s">
        <v>62</v>
      </c>
      <c r="T1380" s="11" t="str">
        <f>HYPERLINK("http://www.env.gov.bc.ca/esd/distdata/ecosystems/TEI_Scanned_Maps/K07/K07-340","http://www.env.gov.bc.ca/esd/distdata/ecosystems/TEI_Scanned_Maps/K07/K07-340")</f>
        <v>http://www.env.gov.bc.ca/esd/distdata/ecosystems/TEI_Scanned_Maps/K07/K07-340</v>
      </c>
      <c r="U1380" t="s">
        <v>2495</v>
      </c>
      <c r="V1380" s="11" t="str">
        <f t="shared" si="42"/>
        <v>http://www.em.gov.bc.ca/mining/geolsurv/terrain&amp;soils/frbcguid.htm</v>
      </c>
      <c r="W1380" t="s">
        <v>2489</v>
      </c>
      <c r="X1380" s="11" t="str">
        <f t="shared" si="43"/>
        <v>http://www.em.gov.bc.ca/mining/geolsurv/terrain&amp;soils/frbcguid.htm</v>
      </c>
      <c r="Y1380" t="s">
        <v>58</v>
      </c>
      <c r="Z1380" t="s">
        <v>58</v>
      </c>
      <c r="AA1380" t="s">
        <v>58</v>
      </c>
      <c r="AC1380" t="s">
        <v>58</v>
      </c>
      <c r="AE1380" t="s">
        <v>58</v>
      </c>
      <c r="AG1380" t="s">
        <v>63</v>
      </c>
      <c r="AH1380" s="11" t="str">
        <f t="shared" si="41"/>
        <v>mailto: soilterrain@victoria1.gov.bc.ca</v>
      </c>
    </row>
    <row r="1381" spans="1:34">
      <c r="A1381" t="s">
        <v>3271</v>
      </c>
      <c r="B1381" t="s">
        <v>56</v>
      </c>
      <c r="C1381" s="10" t="s">
        <v>1029</v>
      </c>
      <c r="D1381" t="s">
        <v>58</v>
      </c>
      <c r="E1381" t="s">
        <v>2502</v>
      </c>
      <c r="F1381" t="s">
        <v>3272</v>
      </c>
      <c r="G1381">
        <v>50000</v>
      </c>
      <c r="H1381" t="s">
        <v>187</v>
      </c>
      <c r="I1381" t="s">
        <v>2504</v>
      </c>
      <c r="J1381" t="s">
        <v>58</v>
      </c>
      <c r="K1381" t="s">
        <v>58</v>
      </c>
      <c r="L1381" t="s">
        <v>61</v>
      </c>
      <c r="M1381" t="s">
        <v>58</v>
      </c>
      <c r="Q1381" t="s">
        <v>58</v>
      </c>
      <c r="R1381" s="11" t="str">
        <f>HYPERLINK("\\imagefiles.bcgov\imagery\scanned_maps\moe_terrain_maps\Scanned_T_maps_all\K07\K07-342","\\imagefiles.bcgov\imagery\scanned_maps\moe_terrain_maps\Scanned_T_maps_all\K07\K07-342")</f>
        <v>\\imagefiles.bcgov\imagery\scanned_maps\moe_terrain_maps\Scanned_T_maps_all\K07\K07-342</v>
      </c>
      <c r="S1381" t="s">
        <v>62</v>
      </c>
      <c r="T1381" s="11" t="str">
        <f>HYPERLINK("http://www.env.gov.bc.ca/esd/distdata/ecosystems/TEI_Scanned_Maps/K07/K07-342","http://www.env.gov.bc.ca/esd/distdata/ecosystems/TEI_Scanned_Maps/K07/K07-342")</f>
        <v>http://www.env.gov.bc.ca/esd/distdata/ecosystems/TEI_Scanned_Maps/K07/K07-342</v>
      </c>
      <c r="U1381" t="s">
        <v>2495</v>
      </c>
      <c r="V1381" s="11" t="str">
        <f t="shared" si="42"/>
        <v>http://www.em.gov.bc.ca/mining/geolsurv/terrain&amp;soils/frbcguid.htm</v>
      </c>
      <c r="W1381" t="s">
        <v>2489</v>
      </c>
      <c r="X1381" s="11" t="str">
        <f t="shared" si="43"/>
        <v>http://www.em.gov.bc.ca/mining/geolsurv/terrain&amp;soils/frbcguid.htm</v>
      </c>
      <c r="Y1381" t="s">
        <v>58</v>
      </c>
      <c r="Z1381" t="s">
        <v>58</v>
      </c>
      <c r="AA1381" t="s">
        <v>58</v>
      </c>
      <c r="AC1381" t="s">
        <v>58</v>
      </c>
      <c r="AE1381" t="s">
        <v>58</v>
      </c>
      <c r="AG1381" t="s">
        <v>63</v>
      </c>
      <c r="AH1381" s="11" t="str">
        <f t="shared" si="41"/>
        <v>mailto: soilterrain@victoria1.gov.bc.ca</v>
      </c>
    </row>
    <row r="1382" spans="1:34">
      <c r="A1382" t="s">
        <v>3273</v>
      </c>
      <c r="B1382" t="s">
        <v>56</v>
      </c>
      <c r="C1382" s="10" t="s">
        <v>1031</v>
      </c>
      <c r="D1382" t="s">
        <v>58</v>
      </c>
      <c r="E1382" t="s">
        <v>2502</v>
      </c>
      <c r="F1382" t="s">
        <v>3274</v>
      </c>
      <c r="G1382">
        <v>50000</v>
      </c>
      <c r="H1382" t="s">
        <v>187</v>
      </c>
      <c r="I1382" t="s">
        <v>2504</v>
      </c>
      <c r="J1382" t="s">
        <v>58</v>
      </c>
      <c r="K1382" t="s">
        <v>58</v>
      </c>
      <c r="L1382" t="s">
        <v>61</v>
      </c>
      <c r="M1382" t="s">
        <v>58</v>
      </c>
      <c r="Q1382" t="s">
        <v>58</v>
      </c>
      <c r="R1382" s="11" t="str">
        <f>HYPERLINK("\\imagefiles.bcgov\imagery\scanned_maps\moe_terrain_maps\Scanned_T_maps_all\K07\K07-344","\\imagefiles.bcgov\imagery\scanned_maps\moe_terrain_maps\Scanned_T_maps_all\K07\K07-344")</f>
        <v>\\imagefiles.bcgov\imagery\scanned_maps\moe_terrain_maps\Scanned_T_maps_all\K07\K07-344</v>
      </c>
      <c r="S1382" t="s">
        <v>62</v>
      </c>
      <c r="T1382" s="11" t="str">
        <f>HYPERLINK("http://www.env.gov.bc.ca/esd/distdata/ecosystems/TEI_Scanned_Maps/K07/K07-344","http://www.env.gov.bc.ca/esd/distdata/ecosystems/TEI_Scanned_Maps/K07/K07-344")</f>
        <v>http://www.env.gov.bc.ca/esd/distdata/ecosystems/TEI_Scanned_Maps/K07/K07-344</v>
      </c>
      <c r="U1382" t="s">
        <v>2495</v>
      </c>
      <c r="V1382" s="11" t="str">
        <f t="shared" si="42"/>
        <v>http://www.em.gov.bc.ca/mining/geolsurv/terrain&amp;soils/frbcguid.htm</v>
      </c>
      <c r="W1382" t="s">
        <v>2489</v>
      </c>
      <c r="X1382" s="11" t="str">
        <f t="shared" si="43"/>
        <v>http://www.em.gov.bc.ca/mining/geolsurv/terrain&amp;soils/frbcguid.htm</v>
      </c>
      <c r="Y1382" t="s">
        <v>58</v>
      </c>
      <c r="Z1382" t="s">
        <v>58</v>
      </c>
      <c r="AA1382" t="s">
        <v>58</v>
      </c>
      <c r="AC1382" t="s">
        <v>58</v>
      </c>
      <c r="AE1382" t="s">
        <v>58</v>
      </c>
      <c r="AG1382" t="s">
        <v>63</v>
      </c>
      <c r="AH1382" s="11" t="str">
        <f t="shared" si="41"/>
        <v>mailto: soilterrain@victoria1.gov.bc.ca</v>
      </c>
    </row>
    <row r="1383" spans="1:34">
      <c r="A1383" t="s">
        <v>3275</v>
      </c>
      <c r="B1383" t="s">
        <v>56</v>
      </c>
      <c r="C1383" s="10" t="s">
        <v>1033</v>
      </c>
      <c r="D1383" t="s">
        <v>58</v>
      </c>
      <c r="E1383" t="s">
        <v>2502</v>
      </c>
      <c r="F1383" t="s">
        <v>3276</v>
      </c>
      <c r="G1383">
        <v>50000</v>
      </c>
      <c r="H1383">
        <v>1976</v>
      </c>
      <c r="I1383" t="s">
        <v>2504</v>
      </c>
      <c r="J1383" t="s">
        <v>58</v>
      </c>
      <c r="K1383" t="s">
        <v>58</v>
      </c>
      <c r="L1383" t="s">
        <v>61</v>
      </c>
      <c r="M1383" t="s">
        <v>58</v>
      </c>
      <c r="Q1383" t="s">
        <v>58</v>
      </c>
      <c r="R1383" s="11" t="str">
        <f>HYPERLINK("\\imagefiles.bcgov\imagery\scanned_maps\moe_terrain_maps\Scanned_T_maps_all\K07\K07-348","\\imagefiles.bcgov\imagery\scanned_maps\moe_terrain_maps\Scanned_T_maps_all\K07\K07-348")</f>
        <v>\\imagefiles.bcgov\imagery\scanned_maps\moe_terrain_maps\Scanned_T_maps_all\K07\K07-348</v>
      </c>
      <c r="S1383" t="s">
        <v>62</v>
      </c>
      <c r="T1383" s="11" t="str">
        <f>HYPERLINK("http://www.env.gov.bc.ca/esd/distdata/ecosystems/TEI_Scanned_Maps/K07/K07-348","http://www.env.gov.bc.ca/esd/distdata/ecosystems/TEI_Scanned_Maps/K07/K07-348")</f>
        <v>http://www.env.gov.bc.ca/esd/distdata/ecosystems/TEI_Scanned_Maps/K07/K07-348</v>
      </c>
      <c r="U1383" t="s">
        <v>2495</v>
      </c>
      <c r="V1383" s="11" t="str">
        <f t="shared" si="42"/>
        <v>http://www.em.gov.bc.ca/mining/geolsurv/terrain&amp;soils/frbcguid.htm</v>
      </c>
      <c r="W1383" t="s">
        <v>2489</v>
      </c>
      <c r="X1383" s="11" t="str">
        <f t="shared" si="43"/>
        <v>http://www.em.gov.bc.ca/mining/geolsurv/terrain&amp;soils/frbcguid.htm</v>
      </c>
      <c r="Y1383" t="s">
        <v>58</v>
      </c>
      <c r="Z1383" t="s">
        <v>58</v>
      </c>
      <c r="AA1383" t="s">
        <v>58</v>
      </c>
      <c r="AC1383" t="s">
        <v>58</v>
      </c>
      <c r="AE1383" t="s">
        <v>58</v>
      </c>
      <c r="AG1383" t="s">
        <v>63</v>
      </c>
      <c r="AH1383" s="11" t="str">
        <f t="shared" si="41"/>
        <v>mailto: soilterrain@victoria1.gov.bc.ca</v>
      </c>
    </row>
    <row r="1384" spans="1:34">
      <c r="A1384" t="s">
        <v>3277</v>
      </c>
      <c r="B1384" t="s">
        <v>56</v>
      </c>
      <c r="C1384" s="10" t="s">
        <v>1035</v>
      </c>
      <c r="D1384" t="s">
        <v>58</v>
      </c>
      <c r="E1384" t="s">
        <v>2502</v>
      </c>
      <c r="F1384" t="s">
        <v>3278</v>
      </c>
      <c r="G1384">
        <v>50000</v>
      </c>
      <c r="H1384">
        <v>1976</v>
      </c>
      <c r="I1384" t="s">
        <v>2504</v>
      </c>
      <c r="J1384" t="s">
        <v>58</v>
      </c>
      <c r="K1384" t="s">
        <v>58</v>
      </c>
      <c r="L1384" t="s">
        <v>61</v>
      </c>
      <c r="M1384" t="s">
        <v>58</v>
      </c>
      <c r="Q1384" t="s">
        <v>58</v>
      </c>
      <c r="R1384" s="11" t="str">
        <f>HYPERLINK("\\imagefiles.bcgov\imagery\scanned_maps\moe_terrain_maps\Scanned_T_maps_all\K07\K07-351","\\imagefiles.bcgov\imagery\scanned_maps\moe_terrain_maps\Scanned_T_maps_all\K07\K07-351")</f>
        <v>\\imagefiles.bcgov\imagery\scanned_maps\moe_terrain_maps\Scanned_T_maps_all\K07\K07-351</v>
      </c>
      <c r="S1384" t="s">
        <v>62</v>
      </c>
      <c r="T1384" s="11" t="str">
        <f>HYPERLINK("http://www.env.gov.bc.ca/esd/distdata/ecosystems/TEI_Scanned_Maps/K07/K07-351","http://www.env.gov.bc.ca/esd/distdata/ecosystems/TEI_Scanned_Maps/K07/K07-351")</f>
        <v>http://www.env.gov.bc.ca/esd/distdata/ecosystems/TEI_Scanned_Maps/K07/K07-351</v>
      </c>
      <c r="U1384" t="s">
        <v>2495</v>
      </c>
      <c r="V1384" s="11" t="str">
        <f t="shared" si="42"/>
        <v>http://www.em.gov.bc.ca/mining/geolsurv/terrain&amp;soils/frbcguid.htm</v>
      </c>
      <c r="W1384" t="s">
        <v>2489</v>
      </c>
      <c r="X1384" s="11" t="str">
        <f t="shared" si="43"/>
        <v>http://www.em.gov.bc.ca/mining/geolsurv/terrain&amp;soils/frbcguid.htm</v>
      </c>
      <c r="Y1384" t="s">
        <v>58</v>
      </c>
      <c r="Z1384" t="s">
        <v>58</v>
      </c>
      <c r="AA1384" t="s">
        <v>58</v>
      </c>
      <c r="AC1384" t="s">
        <v>58</v>
      </c>
      <c r="AE1384" t="s">
        <v>58</v>
      </c>
      <c r="AG1384" t="s">
        <v>63</v>
      </c>
      <c r="AH1384" s="11" t="str">
        <f t="shared" si="41"/>
        <v>mailto: soilterrain@victoria1.gov.bc.ca</v>
      </c>
    </row>
    <row r="1385" spans="1:34">
      <c r="A1385" t="s">
        <v>3279</v>
      </c>
      <c r="B1385" t="s">
        <v>56</v>
      </c>
      <c r="C1385" s="10" t="s">
        <v>1037</v>
      </c>
      <c r="D1385" t="s">
        <v>58</v>
      </c>
      <c r="E1385" t="s">
        <v>2502</v>
      </c>
      <c r="F1385" t="s">
        <v>3280</v>
      </c>
      <c r="G1385">
        <v>50000</v>
      </c>
      <c r="H1385" t="s">
        <v>187</v>
      </c>
      <c r="I1385" t="s">
        <v>2504</v>
      </c>
      <c r="J1385" t="s">
        <v>58</v>
      </c>
      <c r="K1385" t="s">
        <v>58</v>
      </c>
      <c r="L1385" t="s">
        <v>61</v>
      </c>
      <c r="M1385" t="s">
        <v>58</v>
      </c>
      <c r="Q1385" t="s">
        <v>58</v>
      </c>
      <c r="R1385" s="11" t="str">
        <f>HYPERLINK("\\imagefiles.bcgov\imagery\scanned_maps\moe_terrain_maps\Scanned_T_maps_all\K07\K07-354","\\imagefiles.bcgov\imagery\scanned_maps\moe_terrain_maps\Scanned_T_maps_all\K07\K07-354")</f>
        <v>\\imagefiles.bcgov\imagery\scanned_maps\moe_terrain_maps\Scanned_T_maps_all\K07\K07-354</v>
      </c>
      <c r="S1385" t="s">
        <v>62</v>
      </c>
      <c r="T1385" s="11" t="str">
        <f>HYPERLINK("http://www.env.gov.bc.ca/esd/distdata/ecosystems/TEI_Scanned_Maps/K07/K07-354","http://www.env.gov.bc.ca/esd/distdata/ecosystems/TEI_Scanned_Maps/K07/K07-354")</f>
        <v>http://www.env.gov.bc.ca/esd/distdata/ecosystems/TEI_Scanned_Maps/K07/K07-354</v>
      </c>
      <c r="U1385" t="s">
        <v>2495</v>
      </c>
      <c r="V1385" s="11" t="str">
        <f t="shared" si="42"/>
        <v>http://www.em.gov.bc.ca/mining/geolsurv/terrain&amp;soils/frbcguid.htm</v>
      </c>
      <c r="W1385" t="s">
        <v>2489</v>
      </c>
      <c r="X1385" s="11" t="str">
        <f t="shared" si="43"/>
        <v>http://www.em.gov.bc.ca/mining/geolsurv/terrain&amp;soils/frbcguid.htm</v>
      </c>
      <c r="Y1385" t="s">
        <v>58</v>
      </c>
      <c r="Z1385" t="s">
        <v>58</v>
      </c>
      <c r="AA1385" t="s">
        <v>58</v>
      </c>
      <c r="AC1385" t="s">
        <v>58</v>
      </c>
      <c r="AE1385" t="s">
        <v>58</v>
      </c>
      <c r="AG1385" t="s">
        <v>63</v>
      </c>
      <c r="AH1385" s="11" t="str">
        <f t="shared" si="41"/>
        <v>mailto: soilterrain@victoria1.gov.bc.ca</v>
      </c>
    </row>
    <row r="1386" spans="1:34">
      <c r="A1386" t="s">
        <v>3281</v>
      </c>
      <c r="B1386" t="s">
        <v>56</v>
      </c>
      <c r="C1386" s="10" t="s">
        <v>1039</v>
      </c>
      <c r="D1386" t="s">
        <v>58</v>
      </c>
      <c r="E1386" t="s">
        <v>2502</v>
      </c>
      <c r="F1386" t="s">
        <v>3282</v>
      </c>
      <c r="G1386">
        <v>50000</v>
      </c>
      <c r="H1386" t="s">
        <v>187</v>
      </c>
      <c r="I1386" t="s">
        <v>2504</v>
      </c>
      <c r="J1386" t="s">
        <v>58</v>
      </c>
      <c r="K1386" t="s">
        <v>58</v>
      </c>
      <c r="L1386" t="s">
        <v>61</v>
      </c>
      <c r="M1386" t="s">
        <v>58</v>
      </c>
      <c r="Q1386" t="s">
        <v>58</v>
      </c>
      <c r="R1386" s="11" t="str">
        <f>HYPERLINK("\\imagefiles.bcgov\imagery\scanned_maps\moe_terrain_maps\Scanned_T_maps_all\K07\K07-356","\\imagefiles.bcgov\imagery\scanned_maps\moe_terrain_maps\Scanned_T_maps_all\K07\K07-356")</f>
        <v>\\imagefiles.bcgov\imagery\scanned_maps\moe_terrain_maps\Scanned_T_maps_all\K07\K07-356</v>
      </c>
      <c r="S1386" t="s">
        <v>62</v>
      </c>
      <c r="T1386" s="11" t="str">
        <f>HYPERLINK("http://www.env.gov.bc.ca/esd/distdata/ecosystems/TEI_Scanned_Maps/K07/K07-356","http://www.env.gov.bc.ca/esd/distdata/ecosystems/TEI_Scanned_Maps/K07/K07-356")</f>
        <v>http://www.env.gov.bc.ca/esd/distdata/ecosystems/TEI_Scanned_Maps/K07/K07-356</v>
      </c>
      <c r="U1386" t="s">
        <v>2495</v>
      </c>
      <c r="V1386" s="11" t="str">
        <f t="shared" si="42"/>
        <v>http://www.em.gov.bc.ca/mining/geolsurv/terrain&amp;soils/frbcguid.htm</v>
      </c>
      <c r="W1386" t="s">
        <v>2489</v>
      </c>
      <c r="X1386" s="11" t="str">
        <f t="shared" si="43"/>
        <v>http://www.em.gov.bc.ca/mining/geolsurv/terrain&amp;soils/frbcguid.htm</v>
      </c>
      <c r="Y1386" t="s">
        <v>58</v>
      </c>
      <c r="Z1386" t="s">
        <v>58</v>
      </c>
      <c r="AA1386" t="s">
        <v>58</v>
      </c>
      <c r="AC1386" t="s">
        <v>58</v>
      </c>
      <c r="AE1386" t="s">
        <v>58</v>
      </c>
      <c r="AG1386" t="s">
        <v>63</v>
      </c>
      <c r="AH1386" s="11" t="str">
        <f t="shared" si="41"/>
        <v>mailto: soilterrain@victoria1.gov.bc.ca</v>
      </c>
    </row>
    <row r="1387" spans="1:34">
      <c r="A1387" t="s">
        <v>3283</v>
      </c>
      <c r="B1387" t="s">
        <v>56</v>
      </c>
      <c r="C1387" s="10" t="s">
        <v>1043</v>
      </c>
      <c r="D1387" t="s">
        <v>58</v>
      </c>
      <c r="E1387" t="s">
        <v>2484</v>
      </c>
      <c r="F1387" t="s">
        <v>3284</v>
      </c>
      <c r="G1387">
        <v>50000</v>
      </c>
      <c r="H1387">
        <v>1974</v>
      </c>
      <c r="I1387" t="s">
        <v>2486</v>
      </c>
      <c r="J1387" t="s">
        <v>58</v>
      </c>
      <c r="K1387" t="s">
        <v>61</v>
      </c>
      <c r="L1387" t="s">
        <v>61</v>
      </c>
      <c r="M1387" t="s">
        <v>58</v>
      </c>
      <c r="Q1387" t="s">
        <v>58</v>
      </c>
      <c r="R1387" s="11" t="str">
        <f>HYPERLINK("\\imagefiles.bcgov\imagery\scanned_maps\moe_terrain_maps\Scanned_T_maps_all\K07\K07-398","\\imagefiles.bcgov\imagery\scanned_maps\moe_terrain_maps\Scanned_T_maps_all\K07\K07-398")</f>
        <v>\\imagefiles.bcgov\imagery\scanned_maps\moe_terrain_maps\Scanned_T_maps_all\K07\K07-398</v>
      </c>
      <c r="S1387" t="s">
        <v>62</v>
      </c>
      <c r="T1387" s="11" t="str">
        <f>HYPERLINK("http://www.env.gov.bc.ca/esd/distdata/ecosystems/TEI_Scanned_Maps/K07/K07-398","http://www.env.gov.bc.ca/esd/distdata/ecosystems/TEI_Scanned_Maps/K07/K07-398")</f>
        <v>http://www.env.gov.bc.ca/esd/distdata/ecosystems/TEI_Scanned_Maps/K07/K07-398</v>
      </c>
      <c r="U1387" t="s">
        <v>2487</v>
      </c>
      <c r="V1387" s="11" t="str">
        <f t="shared" ref="V1387:V1419" si="44">HYPERLINK("http://res.agr.ca/cansis/publications/surveys/bc/","http://res.agr.ca/cansis/publications/surveys/bc/")</f>
        <v>http://res.agr.ca/cansis/publications/surveys/bc/</v>
      </c>
      <c r="W1387" t="s">
        <v>2488</v>
      </c>
      <c r="X1387" s="11" t="str">
        <f t="shared" ref="X1387:X1402" si="45">HYPERLINK("http://res.agr.ca/cansis/publications/surveys/bc/","http://res.agr.ca/cansis/publications/surveys/bc/")</f>
        <v>http://res.agr.ca/cansis/publications/surveys/bc/</v>
      </c>
      <c r="Y1387" t="s">
        <v>2495</v>
      </c>
      <c r="Z1387" s="11" t="str">
        <f t="shared" ref="Z1387:Z1416" si="46">HYPERLINK("http://www.em.gov.bc.ca/mining/geolsurv/terrain&amp;soils/frbcguid.htm","http://www.em.gov.bc.ca/mining/geolsurv/terrain&amp;soils/frbcguid.htm")</f>
        <v>http://www.em.gov.bc.ca/mining/geolsurv/terrain&amp;soils/frbcguid.htm</v>
      </c>
      <c r="AA1387" t="s">
        <v>2489</v>
      </c>
      <c r="AB1387" s="11" t="str">
        <f t="shared" ref="AB1387:AB1402" si="47">HYPERLINK("http://www.em.gov.bc.ca/mining/geolsurv/terrain&amp;soils/frbcguid.htm","http://www.em.gov.bc.ca/mining/geolsurv/terrain&amp;soils/frbcguid.htm")</f>
        <v>http://www.em.gov.bc.ca/mining/geolsurv/terrain&amp;soils/frbcguid.htm</v>
      </c>
      <c r="AC1387" t="s">
        <v>3042</v>
      </c>
      <c r="AD1387" s="11" t="str">
        <f t="shared" ref="AD1387:AD1402" si="48">HYPERLINK("http://res.agr.ca/cansis/publications/surveys/bc/","http://res.agr.ca/cansis/publications/surveys/bc/")</f>
        <v>http://res.agr.ca/cansis/publications/surveys/bc/</v>
      </c>
      <c r="AE1387" t="s">
        <v>269</v>
      </c>
      <c r="AF1387" s="11" t="str">
        <f t="shared" ref="AF1387:AF1402" si="49">HYPERLINK("http://www.library.for.gov.bc.ca/#focus","http://www.library.for.gov.bc.ca/#focus")</f>
        <v>http://www.library.for.gov.bc.ca/#focus</v>
      </c>
      <c r="AG1387" t="s">
        <v>63</v>
      </c>
      <c r="AH1387" s="11" t="str">
        <f t="shared" si="41"/>
        <v>mailto: soilterrain@victoria1.gov.bc.ca</v>
      </c>
    </row>
    <row r="1388" spans="1:34">
      <c r="A1388" t="s">
        <v>3285</v>
      </c>
      <c r="B1388" t="s">
        <v>56</v>
      </c>
      <c r="C1388" s="10" t="s">
        <v>1046</v>
      </c>
      <c r="D1388" t="s">
        <v>58</v>
      </c>
      <c r="E1388" t="s">
        <v>2484</v>
      </c>
      <c r="F1388" t="s">
        <v>3286</v>
      </c>
      <c r="G1388">
        <v>50000</v>
      </c>
      <c r="H1388">
        <v>1980</v>
      </c>
      <c r="I1388" t="s">
        <v>2486</v>
      </c>
      <c r="J1388" t="s">
        <v>58</v>
      </c>
      <c r="K1388" t="s">
        <v>61</v>
      </c>
      <c r="L1388" t="s">
        <v>61</v>
      </c>
      <c r="M1388" t="s">
        <v>58</v>
      </c>
      <c r="Q1388" t="s">
        <v>58</v>
      </c>
      <c r="R1388" s="11" t="str">
        <f>HYPERLINK("\\imagefiles.bcgov\imagery\scanned_maps\moe_terrain_maps\Scanned_T_maps_all\K07\K07-402","\\imagefiles.bcgov\imagery\scanned_maps\moe_terrain_maps\Scanned_T_maps_all\K07\K07-402")</f>
        <v>\\imagefiles.bcgov\imagery\scanned_maps\moe_terrain_maps\Scanned_T_maps_all\K07\K07-402</v>
      </c>
      <c r="S1388" t="s">
        <v>62</v>
      </c>
      <c r="T1388" s="11" t="str">
        <f>HYPERLINK("http://www.env.gov.bc.ca/esd/distdata/ecosystems/TEI_Scanned_Maps/K07/K07-402","http://www.env.gov.bc.ca/esd/distdata/ecosystems/TEI_Scanned_Maps/K07/K07-402")</f>
        <v>http://www.env.gov.bc.ca/esd/distdata/ecosystems/TEI_Scanned_Maps/K07/K07-402</v>
      </c>
      <c r="U1388" t="s">
        <v>2487</v>
      </c>
      <c r="V1388" s="11" t="str">
        <f t="shared" si="44"/>
        <v>http://res.agr.ca/cansis/publications/surveys/bc/</v>
      </c>
      <c r="W1388" t="s">
        <v>2488</v>
      </c>
      <c r="X1388" s="11" t="str">
        <f t="shared" si="45"/>
        <v>http://res.agr.ca/cansis/publications/surveys/bc/</v>
      </c>
      <c r="Y1388" t="s">
        <v>2495</v>
      </c>
      <c r="Z1388" s="11" t="str">
        <f t="shared" si="46"/>
        <v>http://www.em.gov.bc.ca/mining/geolsurv/terrain&amp;soils/frbcguid.htm</v>
      </c>
      <c r="AA1388" t="s">
        <v>2489</v>
      </c>
      <c r="AB1388" s="11" t="str">
        <f t="shared" si="47"/>
        <v>http://www.em.gov.bc.ca/mining/geolsurv/terrain&amp;soils/frbcguid.htm</v>
      </c>
      <c r="AC1388" t="s">
        <v>3042</v>
      </c>
      <c r="AD1388" s="11" t="str">
        <f t="shared" si="48"/>
        <v>http://res.agr.ca/cansis/publications/surveys/bc/</v>
      </c>
      <c r="AE1388" t="s">
        <v>269</v>
      </c>
      <c r="AF1388" s="11" t="str">
        <f t="shared" si="49"/>
        <v>http://www.library.for.gov.bc.ca/#focus</v>
      </c>
      <c r="AG1388" t="s">
        <v>63</v>
      </c>
      <c r="AH1388" s="11" t="str">
        <f t="shared" si="41"/>
        <v>mailto: soilterrain@victoria1.gov.bc.ca</v>
      </c>
    </row>
    <row r="1389" spans="1:34">
      <c r="A1389" t="s">
        <v>3287</v>
      </c>
      <c r="B1389" t="s">
        <v>56</v>
      </c>
      <c r="C1389" s="10" t="s">
        <v>1048</v>
      </c>
      <c r="D1389" t="s">
        <v>58</v>
      </c>
      <c r="E1389" t="s">
        <v>2484</v>
      </c>
      <c r="F1389" t="s">
        <v>3288</v>
      </c>
      <c r="G1389">
        <v>50000</v>
      </c>
      <c r="H1389">
        <v>1979</v>
      </c>
      <c r="I1389" t="s">
        <v>2486</v>
      </c>
      <c r="J1389" t="s">
        <v>58</v>
      </c>
      <c r="K1389" t="s">
        <v>61</v>
      </c>
      <c r="L1389" t="s">
        <v>61</v>
      </c>
      <c r="M1389" t="s">
        <v>58</v>
      </c>
      <c r="Q1389" t="s">
        <v>58</v>
      </c>
      <c r="R1389" s="11" t="str">
        <f>HYPERLINK("\\imagefiles.bcgov\imagery\scanned_maps\moe_terrain_maps\Scanned_T_maps_all\K07\K07-405","\\imagefiles.bcgov\imagery\scanned_maps\moe_terrain_maps\Scanned_T_maps_all\K07\K07-405")</f>
        <v>\\imagefiles.bcgov\imagery\scanned_maps\moe_terrain_maps\Scanned_T_maps_all\K07\K07-405</v>
      </c>
      <c r="S1389" t="s">
        <v>62</v>
      </c>
      <c r="T1389" s="11" t="str">
        <f>HYPERLINK("http://www.env.gov.bc.ca/esd/distdata/ecosystems/TEI_Scanned_Maps/K07/K07-405","http://www.env.gov.bc.ca/esd/distdata/ecosystems/TEI_Scanned_Maps/K07/K07-405")</f>
        <v>http://www.env.gov.bc.ca/esd/distdata/ecosystems/TEI_Scanned_Maps/K07/K07-405</v>
      </c>
      <c r="U1389" t="s">
        <v>2487</v>
      </c>
      <c r="V1389" s="11" t="str">
        <f t="shared" si="44"/>
        <v>http://res.agr.ca/cansis/publications/surveys/bc/</v>
      </c>
      <c r="W1389" t="s">
        <v>2488</v>
      </c>
      <c r="X1389" s="11" t="str">
        <f t="shared" si="45"/>
        <v>http://res.agr.ca/cansis/publications/surveys/bc/</v>
      </c>
      <c r="Y1389" t="s">
        <v>2495</v>
      </c>
      <c r="Z1389" s="11" t="str">
        <f t="shared" si="46"/>
        <v>http://www.em.gov.bc.ca/mining/geolsurv/terrain&amp;soils/frbcguid.htm</v>
      </c>
      <c r="AA1389" t="s">
        <v>2489</v>
      </c>
      <c r="AB1389" s="11" t="str">
        <f t="shared" si="47"/>
        <v>http://www.em.gov.bc.ca/mining/geolsurv/terrain&amp;soils/frbcguid.htm</v>
      </c>
      <c r="AC1389" t="s">
        <v>3042</v>
      </c>
      <c r="AD1389" s="11" t="str">
        <f t="shared" si="48"/>
        <v>http://res.agr.ca/cansis/publications/surveys/bc/</v>
      </c>
      <c r="AE1389" t="s">
        <v>269</v>
      </c>
      <c r="AF1389" s="11" t="str">
        <f t="shared" si="49"/>
        <v>http://www.library.for.gov.bc.ca/#focus</v>
      </c>
      <c r="AG1389" t="s">
        <v>63</v>
      </c>
      <c r="AH1389" s="11" t="str">
        <f t="shared" si="41"/>
        <v>mailto: soilterrain@victoria1.gov.bc.ca</v>
      </c>
    </row>
    <row r="1390" spans="1:34">
      <c r="A1390" t="s">
        <v>3289</v>
      </c>
      <c r="B1390" t="s">
        <v>56</v>
      </c>
      <c r="C1390" s="10" t="s">
        <v>1050</v>
      </c>
      <c r="D1390" t="s">
        <v>58</v>
      </c>
      <c r="E1390" t="s">
        <v>2484</v>
      </c>
      <c r="F1390" t="s">
        <v>3290</v>
      </c>
      <c r="G1390">
        <v>50000</v>
      </c>
      <c r="H1390">
        <v>1978</v>
      </c>
      <c r="I1390" t="s">
        <v>2486</v>
      </c>
      <c r="J1390" t="s">
        <v>58</v>
      </c>
      <c r="K1390" t="s">
        <v>61</v>
      </c>
      <c r="L1390" t="s">
        <v>61</v>
      </c>
      <c r="M1390" t="s">
        <v>58</v>
      </c>
      <c r="Q1390" t="s">
        <v>58</v>
      </c>
      <c r="R1390" s="11" t="str">
        <f>HYPERLINK("\\imagefiles.bcgov\imagery\scanned_maps\moe_terrain_maps\Scanned_T_maps_all\K07\K07-408","\\imagefiles.bcgov\imagery\scanned_maps\moe_terrain_maps\Scanned_T_maps_all\K07\K07-408")</f>
        <v>\\imagefiles.bcgov\imagery\scanned_maps\moe_terrain_maps\Scanned_T_maps_all\K07\K07-408</v>
      </c>
      <c r="S1390" t="s">
        <v>62</v>
      </c>
      <c r="T1390" s="11" t="str">
        <f>HYPERLINK("http://www.env.gov.bc.ca/esd/distdata/ecosystems/TEI_Scanned_Maps/K07/K07-408","http://www.env.gov.bc.ca/esd/distdata/ecosystems/TEI_Scanned_Maps/K07/K07-408")</f>
        <v>http://www.env.gov.bc.ca/esd/distdata/ecosystems/TEI_Scanned_Maps/K07/K07-408</v>
      </c>
      <c r="U1390" t="s">
        <v>2487</v>
      </c>
      <c r="V1390" s="11" t="str">
        <f t="shared" si="44"/>
        <v>http://res.agr.ca/cansis/publications/surveys/bc/</v>
      </c>
      <c r="W1390" t="s">
        <v>2488</v>
      </c>
      <c r="X1390" s="11" t="str">
        <f t="shared" si="45"/>
        <v>http://res.agr.ca/cansis/publications/surveys/bc/</v>
      </c>
      <c r="Y1390" t="s">
        <v>2495</v>
      </c>
      <c r="Z1390" s="11" t="str">
        <f t="shared" si="46"/>
        <v>http://www.em.gov.bc.ca/mining/geolsurv/terrain&amp;soils/frbcguid.htm</v>
      </c>
      <c r="AA1390" t="s">
        <v>2489</v>
      </c>
      <c r="AB1390" s="11" t="str">
        <f t="shared" si="47"/>
        <v>http://www.em.gov.bc.ca/mining/geolsurv/terrain&amp;soils/frbcguid.htm</v>
      </c>
      <c r="AC1390" t="s">
        <v>3042</v>
      </c>
      <c r="AD1390" s="11" t="str">
        <f t="shared" si="48"/>
        <v>http://res.agr.ca/cansis/publications/surveys/bc/</v>
      </c>
      <c r="AE1390" t="s">
        <v>269</v>
      </c>
      <c r="AF1390" s="11" t="str">
        <f t="shared" si="49"/>
        <v>http://www.library.for.gov.bc.ca/#focus</v>
      </c>
      <c r="AG1390" t="s">
        <v>63</v>
      </c>
      <c r="AH1390" s="11" t="str">
        <f t="shared" si="41"/>
        <v>mailto: soilterrain@victoria1.gov.bc.ca</v>
      </c>
    </row>
    <row r="1391" spans="1:34">
      <c r="A1391" t="s">
        <v>3291</v>
      </c>
      <c r="B1391" t="s">
        <v>56</v>
      </c>
      <c r="C1391" s="10" t="s">
        <v>1052</v>
      </c>
      <c r="D1391" t="s">
        <v>58</v>
      </c>
      <c r="E1391" t="s">
        <v>2484</v>
      </c>
      <c r="F1391" t="s">
        <v>3292</v>
      </c>
      <c r="G1391">
        <v>50000</v>
      </c>
      <c r="H1391">
        <v>1980</v>
      </c>
      <c r="I1391" t="s">
        <v>2486</v>
      </c>
      <c r="J1391" t="s">
        <v>58</v>
      </c>
      <c r="K1391" t="s">
        <v>61</v>
      </c>
      <c r="L1391" t="s">
        <v>61</v>
      </c>
      <c r="M1391" t="s">
        <v>58</v>
      </c>
      <c r="Q1391" t="s">
        <v>58</v>
      </c>
      <c r="R1391" s="11" t="str">
        <f>HYPERLINK("\\imagefiles.bcgov\imagery\scanned_maps\moe_terrain_maps\Scanned_T_maps_all\K07\K07-411","\\imagefiles.bcgov\imagery\scanned_maps\moe_terrain_maps\Scanned_T_maps_all\K07\K07-411")</f>
        <v>\\imagefiles.bcgov\imagery\scanned_maps\moe_terrain_maps\Scanned_T_maps_all\K07\K07-411</v>
      </c>
      <c r="S1391" t="s">
        <v>62</v>
      </c>
      <c r="T1391" s="11" t="str">
        <f>HYPERLINK("http://www.env.gov.bc.ca/esd/distdata/ecosystems/TEI_Scanned_Maps/K07/K07-411","http://www.env.gov.bc.ca/esd/distdata/ecosystems/TEI_Scanned_Maps/K07/K07-411")</f>
        <v>http://www.env.gov.bc.ca/esd/distdata/ecosystems/TEI_Scanned_Maps/K07/K07-411</v>
      </c>
      <c r="U1391" t="s">
        <v>2487</v>
      </c>
      <c r="V1391" s="11" t="str">
        <f t="shared" si="44"/>
        <v>http://res.agr.ca/cansis/publications/surveys/bc/</v>
      </c>
      <c r="W1391" t="s">
        <v>2488</v>
      </c>
      <c r="X1391" s="11" t="str">
        <f t="shared" si="45"/>
        <v>http://res.agr.ca/cansis/publications/surveys/bc/</v>
      </c>
      <c r="Y1391" t="s">
        <v>2495</v>
      </c>
      <c r="Z1391" s="11" t="str">
        <f t="shared" si="46"/>
        <v>http://www.em.gov.bc.ca/mining/geolsurv/terrain&amp;soils/frbcguid.htm</v>
      </c>
      <c r="AA1391" t="s">
        <v>2489</v>
      </c>
      <c r="AB1391" s="11" t="str">
        <f t="shared" si="47"/>
        <v>http://www.em.gov.bc.ca/mining/geolsurv/terrain&amp;soils/frbcguid.htm</v>
      </c>
      <c r="AC1391" t="s">
        <v>3042</v>
      </c>
      <c r="AD1391" s="11" t="str">
        <f t="shared" si="48"/>
        <v>http://res.agr.ca/cansis/publications/surveys/bc/</v>
      </c>
      <c r="AE1391" t="s">
        <v>269</v>
      </c>
      <c r="AF1391" s="11" t="str">
        <f t="shared" si="49"/>
        <v>http://www.library.for.gov.bc.ca/#focus</v>
      </c>
      <c r="AG1391" t="s">
        <v>63</v>
      </c>
      <c r="AH1391" s="11" t="str">
        <f t="shared" si="41"/>
        <v>mailto: soilterrain@victoria1.gov.bc.ca</v>
      </c>
    </row>
    <row r="1392" spans="1:34">
      <c r="A1392" t="s">
        <v>3293</v>
      </c>
      <c r="B1392" t="s">
        <v>56</v>
      </c>
      <c r="C1392" s="10" t="s">
        <v>1054</v>
      </c>
      <c r="D1392" t="s">
        <v>58</v>
      </c>
      <c r="E1392" t="s">
        <v>2484</v>
      </c>
      <c r="F1392" t="s">
        <v>3294</v>
      </c>
      <c r="G1392">
        <v>50000</v>
      </c>
      <c r="H1392">
        <v>1976</v>
      </c>
      <c r="I1392" t="s">
        <v>2486</v>
      </c>
      <c r="J1392" t="s">
        <v>58</v>
      </c>
      <c r="K1392" t="s">
        <v>61</v>
      </c>
      <c r="L1392" t="s">
        <v>61</v>
      </c>
      <c r="M1392" t="s">
        <v>58</v>
      </c>
      <c r="Q1392" t="s">
        <v>58</v>
      </c>
      <c r="R1392" s="11" t="str">
        <f>HYPERLINK("\\imagefiles.bcgov\imagery\scanned_maps\moe_terrain_maps\Scanned_T_maps_all\K07\K07-414","\\imagefiles.bcgov\imagery\scanned_maps\moe_terrain_maps\Scanned_T_maps_all\K07\K07-414")</f>
        <v>\\imagefiles.bcgov\imagery\scanned_maps\moe_terrain_maps\Scanned_T_maps_all\K07\K07-414</v>
      </c>
      <c r="S1392" t="s">
        <v>62</v>
      </c>
      <c r="T1392" s="11" t="str">
        <f>HYPERLINK("http://www.env.gov.bc.ca/esd/distdata/ecosystems/TEI_Scanned_Maps/K07/K07-414","http://www.env.gov.bc.ca/esd/distdata/ecosystems/TEI_Scanned_Maps/K07/K07-414")</f>
        <v>http://www.env.gov.bc.ca/esd/distdata/ecosystems/TEI_Scanned_Maps/K07/K07-414</v>
      </c>
      <c r="U1392" t="s">
        <v>2487</v>
      </c>
      <c r="V1392" s="11" t="str">
        <f t="shared" si="44"/>
        <v>http://res.agr.ca/cansis/publications/surveys/bc/</v>
      </c>
      <c r="W1392" t="s">
        <v>2488</v>
      </c>
      <c r="X1392" s="11" t="str">
        <f t="shared" si="45"/>
        <v>http://res.agr.ca/cansis/publications/surveys/bc/</v>
      </c>
      <c r="Y1392" t="s">
        <v>2495</v>
      </c>
      <c r="Z1392" s="11" t="str">
        <f t="shared" si="46"/>
        <v>http://www.em.gov.bc.ca/mining/geolsurv/terrain&amp;soils/frbcguid.htm</v>
      </c>
      <c r="AA1392" t="s">
        <v>2489</v>
      </c>
      <c r="AB1392" s="11" t="str">
        <f t="shared" si="47"/>
        <v>http://www.em.gov.bc.ca/mining/geolsurv/terrain&amp;soils/frbcguid.htm</v>
      </c>
      <c r="AC1392" t="s">
        <v>3042</v>
      </c>
      <c r="AD1392" s="11" t="str">
        <f t="shared" si="48"/>
        <v>http://res.agr.ca/cansis/publications/surveys/bc/</v>
      </c>
      <c r="AE1392" t="s">
        <v>269</v>
      </c>
      <c r="AF1392" s="11" t="str">
        <f t="shared" si="49"/>
        <v>http://www.library.for.gov.bc.ca/#focus</v>
      </c>
      <c r="AG1392" t="s">
        <v>63</v>
      </c>
      <c r="AH1392" s="11" t="str">
        <f t="shared" si="41"/>
        <v>mailto: soilterrain@victoria1.gov.bc.ca</v>
      </c>
    </row>
    <row r="1393" spans="1:34">
      <c r="A1393" t="s">
        <v>3295</v>
      </c>
      <c r="B1393" t="s">
        <v>56</v>
      </c>
      <c r="C1393" s="10" t="s">
        <v>1056</v>
      </c>
      <c r="D1393" t="s">
        <v>58</v>
      </c>
      <c r="E1393" t="s">
        <v>2484</v>
      </c>
      <c r="F1393" t="s">
        <v>3296</v>
      </c>
      <c r="G1393">
        <v>50000</v>
      </c>
      <c r="H1393">
        <v>1976</v>
      </c>
      <c r="I1393" t="s">
        <v>2486</v>
      </c>
      <c r="J1393" t="s">
        <v>58</v>
      </c>
      <c r="K1393" t="s">
        <v>61</v>
      </c>
      <c r="L1393" t="s">
        <v>61</v>
      </c>
      <c r="M1393" t="s">
        <v>58</v>
      </c>
      <c r="Q1393" t="s">
        <v>58</v>
      </c>
      <c r="R1393" s="11" t="str">
        <f>HYPERLINK("\\imagefiles.bcgov\imagery\scanned_maps\moe_terrain_maps\Scanned_T_maps_all\K07\K07-417","\\imagefiles.bcgov\imagery\scanned_maps\moe_terrain_maps\Scanned_T_maps_all\K07\K07-417")</f>
        <v>\\imagefiles.bcgov\imagery\scanned_maps\moe_terrain_maps\Scanned_T_maps_all\K07\K07-417</v>
      </c>
      <c r="S1393" t="s">
        <v>62</v>
      </c>
      <c r="T1393" s="11" t="str">
        <f>HYPERLINK("http://www.env.gov.bc.ca/esd/distdata/ecosystems/TEI_Scanned_Maps/K07/K07-417","http://www.env.gov.bc.ca/esd/distdata/ecosystems/TEI_Scanned_Maps/K07/K07-417")</f>
        <v>http://www.env.gov.bc.ca/esd/distdata/ecosystems/TEI_Scanned_Maps/K07/K07-417</v>
      </c>
      <c r="U1393" t="s">
        <v>2487</v>
      </c>
      <c r="V1393" s="11" t="str">
        <f t="shared" si="44"/>
        <v>http://res.agr.ca/cansis/publications/surveys/bc/</v>
      </c>
      <c r="W1393" t="s">
        <v>2488</v>
      </c>
      <c r="X1393" s="11" t="str">
        <f t="shared" si="45"/>
        <v>http://res.agr.ca/cansis/publications/surveys/bc/</v>
      </c>
      <c r="Y1393" t="s">
        <v>2495</v>
      </c>
      <c r="Z1393" s="11" t="str">
        <f t="shared" si="46"/>
        <v>http://www.em.gov.bc.ca/mining/geolsurv/terrain&amp;soils/frbcguid.htm</v>
      </c>
      <c r="AA1393" t="s">
        <v>2489</v>
      </c>
      <c r="AB1393" s="11" t="str">
        <f t="shared" si="47"/>
        <v>http://www.em.gov.bc.ca/mining/geolsurv/terrain&amp;soils/frbcguid.htm</v>
      </c>
      <c r="AC1393" t="s">
        <v>3042</v>
      </c>
      <c r="AD1393" s="11" t="str">
        <f t="shared" si="48"/>
        <v>http://res.agr.ca/cansis/publications/surveys/bc/</v>
      </c>
      <c r="AE1393" t="s">
        <v>269</v>
      </c>
      <c r="AF1393" s="11" t="str">
        <f t="shared" si="49"/>
        <v>http://www.library.for.gov.bc.ca/#focus</v>
      </c>
      <c r="AG1393" t="s">
        <v>63</v>
      </c>
      <c r="AH1393" s="11" t="str">
        <f t="shared" si="41"/>
        <v>mailto: soilterrain@victoria1.gov.bc.ca</v>
      </c>
    </row>
    <row r="1394" spans="1:34">
      <c r="A1394" t="s">
        <v>3297</v>
      </c>
      <c r="B1394" t="s">
        <v>56</v>
      </c>
      <c r="C1394" s="10" t="s">
        <v>1058</v>
      </c>
      <c r="D1394" t="s">
        <v>58</v>
      </c>
      <c r="E1394" t="s">
        <v>2484</v>
      </c>
      <c r="F1394" t="s">
        <v>3298</v>
      </c>
      <c r="G1394">
        <v>50000</v>
      </c>
      <c r="H1394" t="s">
        <v>187</v>
      </c>
      <c r="I1394" t="s">
        <v>2486</v>
      </c>
      <c r="J1394" t="s">
        <v>58</v>
      </c>
      <c r="K1394" t="s">
        <v>61</v>
      </c>
      <c r="L1394" t="s">
        <v>61</v>
      </c>
      <c r="M1394" t="s">
        <v>58</v>
      </c>
      <c r="Q1394" t="s">
        <v>58</v>
      </c>
      <c r="R1394" s="11" t="str">
        <f>HYPERLINK("\\imagefiles.bcgov\imagery\scanned_maps\moe_terrain_maps\Scanned_T_maps_all\K07\K07-420","\\imagefiles.bcgov\imagery\scanned_maps\moe_terrain_maps\Scanned_T_maps_all\K07\K07-420")</f>
        <v>\\imagefiles.bcgov\imagery\scanned_maps\moe_terrain_maps\Scanned_T_maps_all\K07\K07-420</v>
      </c>
      <c r="S1394" t="s">
        <v>62</v>
      </c>
      <c r="T1394" s="11" t="str">
        <f>HYPERLINK("http://www.env.gov.bc.ca/esd/distdata/ecosystems/TEI_Scanned_Maps/K07/K07-420","http://www.env.gov.bc.ca/esd/distdata/ecosystems/TEI_Scanned_Maps/K07/K07-420")</f>
        <v>http://www.env.gov.bc.ca/esd/distdata/ecosystems/TEI_Scanned_Maps/K07/K07-420</v>
      </c>
      <c r="U1394" t="s">
        <v>2487</v>
      </c>
      <c r="V1394" s="11" t="str">
        <f t="shared" si="44"/>
        <v>http://res.agr.ca/cansis/publications/surveys/bc/</v>
      </c>
      <c r="W1394" t="s">
        <v>2488</v>
      </c>
      <c r="X1394" s="11" t="str">
        <f t="shared" si="45"/>
        <v>http://res.agr.ca/cansis/publications/surveys/bc/</v>
      </c>
      <c r="Y1394" t="s">
        <v>2495</v>
      </c>
      <c r="Z1394" s="11" t="str">
        <f t="shared" si="46"/>
        <v>http://www.em.gov.bc.ca/mining/geolsurv/terrain&amp;soils/frbcguid.htm</v>
      </c>
      <c r="AA1394" t="s">
        <v>2489</v>
      </c>
      <c r="AB1394" s="11" t="str">
        <f t="shared" si="47"/>
        <v>http://www.em.gov.bc.ca/mining/geolsurv/terrain&amp;soils/frbcguid.htm</v>
      </c>
      <c r="AC1394" t="s">
        <v>3042</v>
      </c>
      <c r="AD1394" s="11" t="str">
        <f t="shared" si="48"/>
        <v>http://res.agr.ca/cansis/publications/surveys/bc/</v>
      </c>
      <c r="AE1394" t="s">
        <v>269</v>
      </c>
      <c r="AF1394" s="11" t="str">
        <f t="shared" si="49"/>
        <v>http://www.library.for.gov.bc.ca/#focus</v>
      </c>
      <c r="AG1394" t="s">
        <v>63</v>
      </c>
      <c r="AH1394" s="11" t="str">
        <f t="shared" si="41"/>
        <v>mailto: soilterrain@victoria1.gov.bc.ca</v>
      </c>
    </row>
    <row r="1395" spans="1:34">
      <c r="A1395" t="s">
        <v>3299</v>
      </c>
      <c r="B1395" t="s">
        <v>56</v>
      </c>
      <c r="C1395" s="10" t="s">
        <v>1060</v>
      </c>
      <c r="D1395" t="s">
        <v>58</v>
      </c>
      <c r="E1395" t="s">
        <v>2484</v>
      </c>
      <c r="F1395" t="s">
        <v>3300</v>
      </c>
      <c r="G1395">
        <v>50000</v>
      </c>
      <c r="H1395" t="s">
        <v>187</v>
      </c>
      <c r="I1395" t="s">
        <v>2486</v>
      </c>
      <c r="J1395" t="s">
        <v>58</v>
      </c>
      <c r="K1395" t="s">
        <v>61</v>
      </c>
      <c r="L1395" t="s">
        <v>61</v>
      </c>
      <c r="M1395" t="s">
        <v>58</v>
      </c>
      <c r="Q1395" t="s">
        <v>58</v>
      </c>
      <c r="R1395" s="11" t="str">
        <f>HYPERLINK("\\imagefiles.bcgov\imagery\scanned_maps\moe_terrain_maps\Scanned_T_maps_all\K07\K07-423","\\imagefiles.bcgov\imagery\scanned_maps\moe_terrain_maps\Scanned_T_maps_all\K07\K07-423")</f>
        <v>\\imagefiles.bcgov\imagery\scanned_maps\moe_terrain_maps\Scanned_T_maps_all\K07\K07-423</v>
      </c>
      <c r="S1395" t="s">
        <v>62</v>
      </c>
      <c r="T1395" s="11" t="str">
        <f>HYPERLINK("http://www.env.gov.bc.ca/esd/distdata/ecosystems/TEI_Scanned_Maps/K07/K07-423","http://www.env.gov.bc.ca/esd/distdata/ecosystems/TEI_Scanned_Maps/K07/K07-423")</f>
        <v>http://www.env.gov.bc.ca/esd/distdata/ecosystems/TEI_Scanned_Maps/K07/K07-423</v>
      </c>
      <c r="U1395" t="s">
        <v>2487</v>
      </c>
      <c r="V1395" s="11" t="str">
        <f t="shared" si="44"/>
        <v>http://res.agr.ca/cansis/publications/surveys/bc/</v>
      </c>
      <c r="W1395" t="s">
        <v>2488</v>
      </c>
      <c r="X1395" s="11" t="str">
        <f t="shared" si="45"/>
        <v>http://res.agr.ca/cansis/publications/surveys/bc/</v>
      </c>
      <c r="Y1395" t="s">
        <v>2495</v>
      </c>
      <c r="Z1395" s="11" t="str">
        <f t="shared" si="46"/>
        <v>http://www.em.gov.bc.ca/mining/geolsurv/terrain&amp;soils/frbcguid.htm</v>
      </c>
      <c r="AA1395" t="s">
        <v>2489</v>
      </c>
      <c r="AB1395" s="11" t="str">
        <f t="shared" si="47"/>
        <v>http://www.em.gov.bc.ca/mining/geolsurv/terrain&amp;soils/frbcguid.htm</v>
      </c>
      <c r="AC1395" t="s">
        <v>3042</v>
      </c>
      <c r="AD1395" s="11" t="str">
        <f t="shared" si="48"/>
        <v>http://res.agr.ca/cansis/publications/surveys/bc/</v>
      </c>
      <c r="AE1395" t="s">
        <v>269</v>
      </c>
      <c r="AF1395" s="11" t="str">
        <f t="shared" si="49"/>
        <v>http://www.library.for.gov.bc.ca/#focus</v>
      </c>
      <c r="AG1395" t="s">
        <v>63</v>
      </c>
      <c r="AH1395" s="11" t="str">
        <f t="shared" si="41"/>
        <v>mailto: soilterrain@victoria1.gov.bc.ca</v>
      </c>
    </row>
    <row r="1396" spans="1:34">
      <c r="A1396" t="s">
        <v>3301</v>
      </c>
      <c r="B1396" t="s">
        <v>56</v>
      </c>
      <c r="C1396" s="10" t="s">
        <v>1062</v>
      </c>
      <c r="D1396" t="s">
        <v>58</v>
      </c>
      <c r="E1396" t="s">
        <v>2484</v>
      </c>
      <c r="F1396" t="s">
        <v>3302</v>
      </c>
      <c r="G1396">
        <v>50000</v>
      </c>
      <c r="H1396" t="s">
        <v>187</v>
      </c>
      <c r="I1396" t="s">
        <v>2486</v>
      </c>
      <c r="J1396" t="s">
        <v>58</v>
      </c>
      <c r="K1396" t="s">
        <v>61</v>
      </c>
      <c r="L1396" t="s">
        <v>61</v>
      </c>
      <c r="M1396" t="s">
        <v>58</v>
      </c>
      <c r="Q1396" t="s">
        <v>58</v>
      </c>
      <c r="R1396" s="11" t="str">
        <f>HYPERLINK("\\imagefiles.bcgov\imagery\scanned_maps\moe_terrain_maps\Scanned_T_maps_all\K07\K07-426","\\imagefiles.bcgov\imagery\scanned_maps\moe_terrain_maps\Scanned_T_maps_all\K07\K07-426")</f>
        <v>\\imagefiles.bcgov\imagery\scanned_maps\moe_terrain_maps\Scanned_T_maps_all\K07\K07-426</v>
      </c>
      <c r="S1396" t="s">
        <v>62</v>
      </c>
      <c r="T1396" s="11" t="str">
        <f>HYPERLINK("http://www.env.gov.bc.ca/esd/distdata/ecosystems/TEI_Scanned_Maps/K07/K07-426","http://www.env.gov.bc.ca/esd/distdata/ecosystems/TEI_Scanned_Maps/K07/K07-426")</f>
        <v>http://www.env.gov.bc.ca/esd/distdata/ecosystems/TEI_Scanned_Maps/K07/K07-426</v>
      </c>
      <c r="U1396" t="s">
        <v>2487</v>
      </c>
      <c r="V1396" s="11" t="str">
        <f t="shared" si="44"/>
        <v>http://res.agr.ca/cansis/publications/surveys/bc/</v>
      </c>
      <c r="W1396" t="s">
        <v>2488</v>
      </c>
      <c r="X1396" s="11" t="str">
        <f t="shared" si="45"/>
        <v>http://res.agr.ca/cansis/publications/surveys/bc/</v>
      </c>
      <c r="Y1396" t="s">
        <v>2495</v>
      </c>
      <c r="Z1396" s="11" t="str">
        <f t="shared" si="46"/>
        <v>http://www.em.gov.bc.ca/mining/geolsurv/terrain&amp;soils/frbcguid.htm</v>
      </c>
      <c r="AA1396" t="s">
        <v>2489</v>
      </c>
      <c r="AB1396" s="11" t="str">
        <f t="shared" si="47"/>
        <v>http://www.em.gov.bc.ca/mining/geolsurv/terrain&amp;soils/frbcguid.htm</v>
      </c>
      <c r="AC1396" t="s">
        <v>3042</v>
      </c>
      <c r="AD1396" s="11" t="str">
        <f t="shared" si="48"/>
        <v>http://res.agr.ca/cansis/publications/surveys/bc/</v>
      </c>
      <c r="AE1396" t="s">
        <v>269</v>
      </c>
      <c r="AF1396" s="11" t="str">
        <f t="shared" si="49"/>
        <v>http://www.library.for.gov.bc.ca/#focus</v>
      </c>
      <c r="AG1396" t="s">
        <v>63</v>
      </c>
      <c r="AH1396" s="11" t="str">
        <f t="shared" si="41"/>
        <v>mailto: soilterrain@victoria1.gov.bc.ca</v>
      </c>
    </row>
    <row r="1397" spans="1:34">
      <c r="A1397" t="s">
        <v>3303</v>
      </c>
      <c r="B1397" t="s">
        <v>56</v>
      </c>
      <c r="C1397" s="10" t="s">
        <v>1064</v>
      </c>
      <c r="D1397" t="s">
        <v>58</v>
      </c>
      <c r="E1397" t="s">
        <v>2484</v>
      </c>
      <c r="F1397" t="s">
        <v>3304</v>
      </c>
      <c r="G1397">
        <v>50000</v>
      </c>
      <c r="H1397">
        <v>1976</v>
      </c>
      <c r="I1397" t="s">
        <v>2486</v>
      </c>
      <c r="J1397" t="s">
        <v>58</v>
      </c>
      <c r="K1397" t="s">
        <v>61</v>
      </c>
      <c r="L1397" t="s">
        <v>61</v>
      </c>
      <c r="M1397" t="s">
        <v>58</v>
      </c>
      <c r="Q1397" t="s">
        <v>58</v>
      </c>
      <c r="R1397" s="11" t="str">
        <f>HYPERLINK("\\imagefiles.bcgov\imagery\scanned_maps\moe_terrain_maps\Scanned_T_maps_all\K07\K07-429","\\imagefiles.bcgov\imagery\scanned_maps\moe_terrain_maps\Scanned_T_maps_all\K07\K07-429")</f>
        <v>\\imagefiles.bcgov\imagery\scanned_maps\moe_terrain_maps\Scanned_T_maps_all\K07\K07-429</v>
      </c>
      <c r="S1397" t="s">
        <v>62</v>
      </c>
      <c r="T1397" s="11" t="str">
        <f>HYPERLINK("http://www.env.gov.bc.ca/esd/distdata/ecosystems/TEI_Scanned_Maps/K07/K07-429","http://www.env.gov.bc.ca/esd/distdata/ecosystems/TEI_Scanned_Maps/K07/K07-429")</f>
        <v>http://www.env.gov.bc.ca/esd/distdata/ecosystems/TEI_Scanned_Maps/K07/K07-429</v>
      </c>
      <c r="U1397" t="s">
        <v>2487</v>
      </c>
      <c r="V1397" s="11" t="str">
        <f t="shared" si="44"/>
        <v>http://res.agr.ca/cansis/publications/surveys/bc/</v>
      </c>
      <c r="W1397" t="s">
        <v>2488</v>
      </c>
      <c r="X1397" s="11" t="str">
        <f t="shared" si="45"/>
        <v>http://res.agr.ca/cansis/publications/surveys/bc/</v>
      </c>
      <c r="Y1397" t="s">
        <v>2495</v>
      </c>
      <c r="Z1397" s="11" t="str">
        <f t="shared" si="46"/>
        <v>http://www.em.gov.bc.ca/mining/geolsurv/terrain&amp;soils/frbcguid.htm</v>
      </c>
      <c r="AA1397" t="s">
        <v>2489</v>
      </c>
      <c r="AB1397" s="11" t="str">
        <f t="shared" si="47"/>
        <v>http://www.em.gov.bc.ca/mining/geolsurv/terrain&amp;soils/frbcguid.htm</v>
      </c>
      <c r="AC1397" t="s">
        <v>3042</v>
      </c>
      <c r="AD1397" s="11" t="str">
        <f t="shared" si="48"/>
        <v>http://res.agr.ca/cansis/publications/surveys/bc/</v>
      </c>
      <c r="AE1397" t="s">
        <v>269</v>
      </c>
      <c r="AF1397" s="11" t="str">
        <f t="shared" si="49"/>
        <v>http://www.library.for.gov.bc.ca/#focus</v>
      </c>
      <c r="AG1397" t="s">
        <v>63</v>
      </c>
      <c r="AH1397" s="11" t="str">
        <f t="shared" si="41"/>
        <v>mailto: soilterrain@victoria1.gov.bc.ca</v>
      </c>
    </row>
    <row r="1398" spans="1:34">
      <c r="A1398" t="s">
        <v>3305</v>
      </c>
      <c r="B1398" t="s">
        <v>56</v>
      </c>
      <c r="C1398" s="10" t="s">
        <v>1066</v>
      </c>
      <c r="D1398" t="s">
        <v>58</v>
      </c>
      <c r="E1398" t="s">
        <v>2484</v>
      </c>
      <c r="F1398" t="s">
        <v>3306</v>
      </c>
      <c r="G1398">
        <v>50000</v>
      </c>
      <c r="H1398">
        <v>1976</v>
      </c>
      <c r="I1398" t="s">
        <v>2486</v>
      </c>
      <c r="J1398" t="s">
        <v>58</v>
      </c>
      <c r="K1398" t="s">
        <v>61</v>
      </c>
      <c r="L1398" t="s">
        <v>61</v>
      </c>
      <c r="M1398" t="s">
        <v>58</v>
      </c>
      <c r="Q1398" t="s">
        <v>58</v>
      </c>
      <c r="R1398" s="11" t="str">
        <f>HYPERLINK("\\imagefiles.bcgov\imagery\scanned_maps\moe_terrain_maps\Scanned_T_maps_all\K07\K07-432","\\imagefiles.bcgov\imagery\scanned_maps\moe_terrain_maps\Scanned_T_maps_all\K07\K07-432")</f>
        <v>\\imagefiles.bcgov\imagery\scanned_maps\moe_terrain_maps\Scanned_T_maps_all\K07\K07-432</v>
      </c>
      <c r="S1398" t="s">
        <v>62</v>
      </c>
      <c r="T1398" s="11" t="str">
        <f>HYPERLINK("http://www.env.gov.bc.ca/esd/distdata/ecosystems/TEI_Scanned_Maps/K07/K07-432","http://www.env.gov.bc.ca/esd/distdata/ecosystems/TEI_Scanned_Maps/K07/K07-432")</f>
        <v>http://www.env.gov.bc.ca/esd/distdata/ecosystems/TEI_Scanned_Maps/K07/K07-432</v>
      </c>
      <c r="U1398" t="s">
        <v>2487</v>
      </c>
      <c r="V1398" s="11" t="str">
        <f t="shared" si="44"/>
        <v>http://res.agr.ca/cansis/publications/surveys/bc/</v>
      </c>
      <c r="W1398" t="s">
        <v>2488</v>
      </c>
      <c r="X1398" s="11" t="str">
        <f t="shared" si="45"/>
        <v>http://res.agr.ca/cansis/publications/surveys/bc/</v>
      </c>
      <c r="Y1398" t="s">
        <v>2495</v>
      </c>
      <c r="Z1398" s="11" t="str">
        <f t="shared" si="46"/>
        <v>http://www.em.gov.bc.ca/mining/geolsurv/terrain&amp;soils/frbcguid.htm</v>
      </c>
      <c r="AA1398" t="s">
        <v>2489</v>
      </c>
      <c r="AB1398" s="11" t="str">
        <f t="shared" si="47"/>
        <v>http://www.em.gov.bc.ca/mining/geolsurv/terrain&amp;soils/frbcguid.htm</v>
      </c>
      <c r="AC1398" t="s">
        <v>3042</v>
      </c>
      <c r="AD1398" s="11" t="str">
        <f t="shared" si="48"/>
        <v>http://res.agr.ca/cansis/publications/surveys/bc/</v>
      </c>
      <c r="AE1398" t="s">
        <v>269</v>
      </c>
      <c r="AF1398" s="11" t="str">
        <f t="shared" si="49"/>
        <v>http://www.library.for.gov.bc.ca/#focus</v>
      </c>
      <c r="AG1398" t="s">
        <v>63</v>
      </c>
      <c r="AH1398" s="11" t="str">
        <f t="shared" si="41"/>
        <v>mailto: soilterrain@victoria1.gov.bc.ca</v>
      </c>
    </row>
    <row r="1399" spans="1:34">
      <c r="A1399" t="s">
        <v>3307</v>
      </c>
      <c r="B1399" t="s">
        <v>56</v>
      </c>
      <c r="C1399" s="10" t="s">
        <v>1068</v>
      </c>
      <c r="D1399" t="s">
        <v>58</v>
      </c>
      <c r="E1399" t="s">
        <v>2484</v>
      </c>
      <c r="F1399" t="s">
        <v>3308</v>
      </c>
      <c r="G1399">
        <v>50000</v>
      </c>
      <c r="H1399" t="s">
        <v>187</v>
      </c>
      <c r="I1399" t="s">
        <v>2486</v>
      </c>
      <c r="J1399" t="s">
        <v>58</v>
      </c>
      <c r="K1399" t="s">
        <v>61</v>
      </c>
      <c r="L1399" t="s">
        <v>61</v>
      </c>
      <c r="M1399" t="s">
        <v>58</v>
      </c>
      <c r="Q1399" t="s">
        <v>58</v>
      </c>
      <c r="R1399" s="11" t="str">
        <f>HYPERLINK("\\imagefiles.bcgov\imagery\scanned_maps\moe_terrain_maps\Scanned_T_maps_all\K07\K07-435","\\imagefiles.bcgov\imagery\scanned_maps\moe_terrain_maps\Scanned_T_maps_all\K07\K07-435")</f>
        <v>\\imagefiles.bcgov\imagery\scanned_maps\moe_terrain_maps\Scanned_T_maps_all\K07\K07-435</v>
      </c>
      <c r="S1399" t="s">
        <v>62</v>
      </c>
      <c r="T1399" s="11" t="str">
        <f>HYPERLINK("http://www.env.gov.bc.ca/esd/distdata/ecosystems/TEI_Scanned_Maps/K07/K07-435","http://www.env.gov.bc.ca/esd/distdata/ecosystems/TEI_Scanned_Maps/K07/K07-435")</f>
        <v>http://www.env.gov.bc.ca/esd/distdata/ecosystems/TEI_Scanned_Maps/K07/K07-435</v>
      </c>
      <c r="U1399" t="s">
        <v>2487</v>
      </c>
      <c r="V1399" s="11" t="str">
        <f t="shared" si="44"/>
        <v>http://res.agr.ca/cansis/publications/surveys/bc/</v>
      </c>
      <c r="W1399" t="s">
        <v>2488</v>
      </c>
      <c r="X1399" s="11" t="str">
        <f t="shared" si="45"/>
        <v>http://res.agr.ca/cansis/publications/surveys/bc/</v>
      </c>
      <c r="Y1399" t="s">
        <v>2495</v>
      </c>
      <c r="Z1399" s="11" t="str">
        <f t="shared" si="46"/>
        <v>http://www.em.gov.bc.ca/mining/geolsurv/terrain&amp;soils/frbcguid.htm</v>
      </c>
      <c r="AA1399" t="s">
        <v>2489</v>
      </c>
      <c r="AB1399" s="11" t="str">
        <f t="shared" si="47"/>
        <v>http://www.em.gov.bc.ca/mining/geolsurv/terrain&amp;soils/frbcguid.htm</v>
      </c>
      <c r="AC1399" t="s">
        <v>3042</v>
      </c>
      <c r="AD1399" s="11" t="str">
        <f t="shared" si="48"/>
        <v>http://res.agr.ca/cansis/publications/surveys/bc/</v>
      </c>
      <c r="AE1399" t="s">
        <v>269</v>
      </c>
      <c r="AF1399" s="11" t="str">
        <f t="shared" si="49"/>
        <v>http://www.library.for.gov.bc.ca/#focus</v>
      </c>
      <c r="AG1399" t="s">
        <v>63</v>
      </c>
      <c r="AH1399" s="11" t="str">
        <f t="shared" si="41"/>
        <v>mailto: soilterrain@victoria1.gov.bc.ca</v>
      </c>
    </row>
    <row r="1400" spans="1:34">
      <c r="A1400" t="s">
        <v>3309</v>
      </c>
      <c r="B1400" t="s">
        <v>56</v>
      </c>
      <c r="C1400" s="10" t="s">
        <v>1070</v>
      </c>
      <c r="D1400" t="s">
        <v>58</v>
      </c>
      <c r="E1400" t="s">
        <v>2484</v>
      </c>
      <c r="F1400" t="s">
        <v>3310</v>
      </c>
      <c r="G1400">
        <v>50000</v>
      </c>
      <c r="H1400" t="s">
        <v>187</v>
      </c>
      <c r="I1400" t="s">
        <v>2486</v>
      </c>
      <c r="J1400" t="s">
        <v>58</v>
      </c>
      <c r="K1400" t="s">
        <v>61</v>
      </c>
      <c r="L1400" t="s">
        <v>61</v>
      </c>
      <c r="M1400" t="s">
        <v>58</v>
      </c>
      <c r="Q1400" t="s">
        <v>58</v>
      </c>
      <c r="R1400" s="11" t="str">
        <f>HYPERLINK("\\imagefiles.bcgov\imagery\scanned_maps\moe_terrain_maps\Scanned_T_maps_all\K07\K07-438","\\imagefiles.bcgov\imagery\scanned_maps\moe_terrain_maps\Scanned_T_maps_all\K07\K07-438")</f>
        <v>\\imagefiles.bcgov\imagery\scanned_maps\moe_terrain_maps\Scanned_T_maps_all\K07\K07-438</v>
      </c>
      <c r="S1400" t="s">
        <v>62</v>
      </c>
      <c r="T1400" s="11" t="str">
        <f>HYPERLINK("http://www.env.gov.bc.ca/esd/distdata/ecosystems/TEI_Scanned_Maps/K07/K07-438","http://www.env.gov.bc.ca/esd/distdata/ecosystems/TEI_Scanned_Maps/K07/K07-438")</f>
        <v>http://www.env.gov.bc.ca/esd/distdata/ecosystems/TEI_Scanned_Maps/K07/K07-438</v>
      </c>
      <c r="U1400" t="s">
        <v>2487</v>
      </c>
      <c r="V1400" s="11" t="str">
        <f t="shared" si="44"/>
        <v>http://res.agr.ca/cansis/publications/surveys/bc/</v>
      </c>
      <c r="W1400" t="s">
        <v>2488</v>
      </c>
      <c r="X1400" s="11" t="str">
        <f t="shared" si="45"/>
        <v>http://res.agr.ca/cansis/publications/surveys/bc/</v>
      </c>
      <c r="Y1400" t="s">
        <v>2495</v>
      </c>
      <c r="Z1400" s="11" t="str">
        <f t="shared" si="46"/>
        <v>http://www.em.gov.bc.ca/mining/geolsurv/terrain&amp;soils/frbcguid.htm</v>
      </c>
      <c r="AA1400" t="s">
        <v>2489</v>
      </c>
      <c r="AB1400" s="11" t="str">
        <f t="shared" si="47"/>
        <v>http://www.em.gov.bc.ca/mining/geolsurv/terrain&amp;soils/frbcguid.htm</v>
      </c>
      <c r="AC1400" t="s">
        <v>3042</v>
      </c>
      <c r="AD1400" s="11" t="str">
        <f t="shared" si="48"/>
        <v>http://res.agr.ca/cansis/publications/surveys/bc/</v>
      </c>
      <c r="AE1400" t="s">
        <v>269</v>
      </c>
      <c r="AF1400" s="11" t="str">
        <f t="shared" si="49"/>
        <v>http://www.library.for.gov.bc.ca/#focus</v>
      </c>
      <c r="AG1400" t="s">
        <v>63</v>
      </c>
      <c r="AH1400" s="11" t="str">
        <f t="shared" si="41"/>
        <v>mailto: soilterrain@victoria1.gov.bc.ca</v>
      </c>
    </row>
    <row r="1401" spans="1:34">
      <c r="A1401" t="s">
        <v>3311</v>
      </c>
      <c r="B1401" t="s">
        <v>56</v>
      </c>
      <c r="C1401" s="10" t="s">
        <v>68</v>
      </c>
      <c r="D1401" t="s">
        <v>58</v>
      </c>
      <c r="E1401" t="s">
        <v>2484</v>
      </c>
      <c r="F1401" t="s">
        <v>3312</v>
      </c>
      <c r="G1401">
        <v>50000</v>
      </c>
      <c r="H1401" t="s">
        <v>187</v>
      </c>
      <c r="I1401" t="s">
        <v>2486</v>
      </c>
      <c r="J1401" t="s">
        <v>58</v>
      </c>
      <c r="K1401" t="s">
        <v>61</v>
      </c>
      <c r="L1401" t="s">
        <v>61</v>
      </c>
      <c r="M1401" t="s">
        <v>58</v>
      </c>
      <c r="Q1401" t="s">
        <v>58</v>
      </c>
      <c r="R1401" s="11" t="str">
        <f>HYPERLINK("\\imagefiles.bcgov\imagery\scanned_maps\moe_terrain_maps\Scanned_T_maps_all\K07\K07-441","\\imagefiles.bcgov\imagery\scanned_maps\moe_terrain_maps\Scanned_T_maps_all\K07\K07-441")</f>
        <v>\\imagefiles.bcgov\imagery\scanned_maps\moe_terrain_maps\Scanned_T_maps_all\K07\K07-441</v>
      </c>
      <c r="S1401" t="s">
        <v>62</v>
      </c>
      <c r="T1401" s="11" t="str">
        <f>HYPERLINK("http://www.env.gov.bc.ca/esd/distdata/ecosystems/TEI_Scanned_Maps/K07/K07-441","http://www.env.gov.bc.ca/esd/distdata/ecosystems/TEI_Scanned_Maps/K07/K07-441")</f>
        <v>http://www.env.gov.bc.ca/esd/distdata/ecosystems/TEI_Scanned_Maps/K07/K07-441</v>
      </c>
      <c r="U1401" t="s">
        <v>2487</v>
      </c>
      <c r="V1401" s="11" t="str">
        <f t="shared" si="44"/>
        <v>http://res.agr.ca/cansis/publications/surveys/bc/</v>
      </c>
      <c r="W1401" t="s">
        <v>2488</v>
      </c>
      <c r="X1401" s="11" t="str">
        <f t="shared" si="45"/>
        <v>http://res.agr.ca/cansis/publications/surveys/bc/</v>
      </c>
      <c r="Y1401" t="s">
        <v>2495</v>
      </c>
      <c r="Z1401" s="11" t="str">
        <f t="shared" si="46"/>
        <v>http://www.em.gov.bc.ca/mining/geolsurv/terrain&amp;soils/frbcguid.htm</v>
      </c>
      <c r="AA1401" t="s">
        <v>2489</v>
      </c>
      <c r="AB1401" s="11" t="str">
        <f t="shared" si="47"/>
        <v>http://www.em.gov.bc.ca/mining/geolsurv/terrain&amp;soils/frbcguid.htm</v>
      </c>
      <c r="AC1401" t="s">
        <v>3042</v>
      </c>
      <c r="AD1401" s="11" t="str">
        <f t="shared" si="48"/>
        <v>http://res.agr.ca/cansis/publications/surveys/bc/</v>
      </c>
      <c r="AE1401" t="s">
        <v>269</v>
      </c>
      <c r="AF1401" s="11" t="str">
        <f t="shared" si="49"/>
        <v>http://www.library.for.gov.bc.ca/#focus</v>
      </c>
      <c r="AG1401" t="s">
        <v>63</v>
      </c>
      <c r="AH1401" s="11" t="str">
        <f t="shared" si="41"/>
        <v>mailto: soilterrain@victoria1.gov.bc.ca</v>
      </c>
    </row>
    <row r="1402" spans="1:34">
      <c r="A1402" t="s">
        <v>3313</v>
      </c>
      <c r="B1402" t="s">
        <v>56</v>
      </c>
      <c r="C1402" s="10" t="s">
        <v>74</v>
      </c>
      <c r="D1402" t="s">
        <v>58</v>
      </c>
      <c r="E1402" t="s">
        <v>2484</v>
      </c>
      <c r="F1402" t="s">
        <v>3314</v>
      </c>
      <c r="G1402">
        <v>50000</v>
      </c>
      <c r="H1402">
        <v>1974</v>
      </c>
      <c r="I1402" t="s">
        <v>2486</v>
      </c>
      <c r="J1402" t="s">
        <v>58</v>
      </c>
      <c r="K1402" t="s">
        <v>61</v>
      </c>
      <c r="L1402" t="s">
        <v>61</v>
      </c>
      <c r="M1402" t="s">
        <v>58</v>
      </c>
      <c r="Q1402" t="s">
        <v>58</v>
      </c>
      <c r="R1402" s="11" t="str">
        <f>HYPERLINK("\\imagefiles.bcgov\imagery\scanned_maps\moe_terrain_maps\Scanned_T_maps_all\K07\K07-444","\\imagefiles.bcgov\imagery\scanned_maps\moe_terrain_maps\Scanned_T_maps_all\K07\K07-444")</f>
        <v>\\imagefiles.bcgov\imagery\scanned_maps\moe_terrain_maps\Scanned_T_maps_all\K07\K07-444</v>
      </c>
      <c r="S1402" t="s">
        <v>62</v>
      </c>
      <c r="T1402" s="11" t="str">
        <f>HYPERLINK("http://www.env.gov.bc.ca/esd/distdata/ecosystems/TEI_Scanned_Maps/K07/K07-444","http://www.env.gov.bc.ca/esd/distdata/ecosystems/TEI_Scanned_Maps/K07/K07-444")</f>
        <v>http://www.env.gov.bc.ca/esd/distdata/ecosystems/TEI_Scanned_Maps/K07/K07-444</v>
      </c>
      <c r="U1402" t="s">
        <v>2487</v>
      </c>
      <c r="V1402" s="11" t="str">
        <f t="shared" si="44"/>
        <v>http://res.agr.ca/cansis/publications/surveys/bc/</v>
      </c>
      <c r="W1402" t="s">
        <v>2488</v>
      </c>
      <c r="X1402" s="11" t="str">
        <f t="shared" si="45"/>
        <v>http://res.agr.ca/cansis/publications/surveys/bc/</v>
      </c>
      <c r="Y1402" t="s">
        <v>2495</v>
      </c>
      <c r="Z1402" s="11" t="str">
        <f t="shared" si="46"/>
        <v>http://www.em.gov.bc.ca/mining/geolsurv/terrain&amp;soils/frbcguid.htm</v>
      </c>
      <c r="AA1402" t="s">
        <v>2489</v>
      </c>
      <c r="AB1402" s="11" t="str">
        <f t="shared" si="47"/>
        <v>http://www.em.gov.bc.ca/mining/geolsurv/terrain&amp;soils/frbcguid.htm</v>
      </c>
      <c r="AC1402" t="s">
        <v>3042</v>
      </c>
      <c r="AD1402" s="11" t="str">
        <f t="shared" si="48"/>
        <v>http://res.agr.ca/cansis/publications/surveys/bc/</v>
      </c>
      <c r="AE1402" t="s">
        <v>269</v>
      </c>
      <c r="AF1402" s="11" t="str">
        <f t="shared" si="49"/>
        <v>http://www.library.for.gov.bc.ca/#focus</v>
      </c>
      <c r="AG1402" t="s">
        <v>63</v>
      </c>
      <c r="AH1402" s="11" t="str">
        <f t="shared" si="41"/>
        <v>mailto: soilterrain@victoria1.gov.bc.ca</v>
      </c>
    </row>
    <row r="1403" spans="1:34">
      <c r="A1403" t="s">
        <v>3315</v>
      </c>
      <c r="B1403" t="s">
        <v>56</v>
      </c>
      <c r="C1403" s="10" t="s">
        <v>99</v>
      </c>
      <c r="D1403" t="s">
        <v>58</v>
      </c>
      <c r="E1403" t="s">
        <v>3024</v>
      </c>
      <c r="F1403" t="s">
        <v>3316</v>
      </c>
      <c r="G1403">
        <v>50000</v>
      </c>
      <c r="H1403">
        <v>1979</v>
      </c>
      <c r="I1403" t="s">
        <v>3026</v>
      </c>
      <c r="J1403" t="s">
        <v>58</v>
      </c>
      <c r="K1403" t="s">
        <v>58</v>
      </c>
      <c r="L1403" t="s">
        <v>61</v>
      </c>
      <c r="M1403" t="s">
        <v>58</v>
      </c>
      <c r="Q1403" t="s">
        <v>58</v>
      </c>
      <c r="R1403" s="11" t="str">
        <f>HYPERLINK("\\imagefiles.bcgov\imagery\scanned_maps\moe_terrain_maps\Scanned_T_maps_all\K07\K07-479","\\imagefiles.bcgov\imagery\scanned_maps\moe_terrain_maps\Scanned_T_maps_all\K07\K07-479")</f>
        <v>\\imagefiles.bcgov\imagery\scanned_maps\moe_terrain_maps\Scanned_T_maps_all\K07\K07-479</v>
      </c>
      <c r="S1403" t="s">
        <v>62</v>
      </c>
      <c r="T1403" s="11" t="str">
        <f>HYPERLINK("http://www.env.gov.bc.ca/esd/distdata/ecosystems/TEI_Scanned_Maps/K07/K07-479","http://www.env.gov.bc.ca/esd/distdata/ecosystems/TEI_Scanned_Maps/K07/K07-479")</f>
        <v>http://www.env.gov.bc.ca/esd/distdata/ecosystems/TEI_Scanned_Maps/K07/K07-479</v>
      </c>
      <c r="U1403" t="s">
        <v>2967</v>
      </c>
      <c r="V1403" s="11" t="str">
        <f t="shared" si="44"/>
        <v>http://res.agr.ca/cansis/publications/surveys/bc/</v>
      </c>
      <c r="W1403" t="s">
        <v>2495</v>
      </c>
      <c r="X1403" s="11" t="str">
        <f t="shared" ref="X1403:X1416" si="50">HYPERLINK("http://www.em.gov.bc.ca/mining/geolsurv/terrain&amp;soils/frbcguid.htm","http://www.em.gov.bc.ca/mining/geolsurv/terrain&amp;soils/frbcguid.htm")</f>
        <v>http://www.em.gov.bc.ca/mining/geolsurv/terrain&amp;soils/frbcguid.htm</v>
      </c>
      <c r="Y1403" t="s">
        <v>2489</v>
      </c>
      <c r="Z1403" s="11" t="str">
        <f t="shared" si="46"/>
        <v>http://www.em.gov.bc.ca/mining/geolsurv/terrain&amp;soils/frbcguid.htm</v>
      </c>
      <c r="AA1403" t="s">
        <v>2490</v>
      </c>
      <c r="AB1403" s="11" t="str">
        <f t="shared" ref="AB1403:AB1416" si="51">HYPERLINK("http://res.agr.ca/cansis/publications/surveys/bc/","http://res.agr.ca/cansis/publications/surveys/bc/")</f>
        <v>http://res.agr.ca/cansis/publications/surveys/bc/</v>
      </c>
      <c r="AC1403" t="s">
        <v>269</v>
      </c>
      <c r="AD1403" s="11" t="str">
        <f t="shared" ref="AD1403:AD1416" si="52">HYPERLINK("http://www.library.for.gov.bc.ca/#focus","http://www.library.for.gov.bc.ca/#focus")</f>
        <v>http://www.library.for.gov.bc.ca/#focus</v>
      </c>
      <c r="AE1403" t="s">
        <v>58</v>
      </c>
      <c r="AG1403" t="s">
        <v>63</v>
      </c>
      <c r="AH1403" s="11" t="str">
        <f t="shared" si="41"/>
        <v>mailto: soilterrain@victoria1.gov.bc.ca</v>
      </c>
    </row>
    <row r="1404" spans="1:34">
      <c r="A1404" t="s">
        <v>3317</v>
      </c>
      <c r="B1404" t="s">
        <v>56</v>
      </c>
      <c r="C1404" s="10" t="s">
        <v>104</v>
      </c>
      <c r="D1404" t="s">
        <v>58</v>
      </c>
      <c r="E1404" t="s">
        <v>3024</v>
      </c>
      <c r="F1404" t="s">
        <v>3318</v>
      </c>
      <c r="G1404">
        <v>50000</v>
      </c>
      <c r="H1404">
        <v>1978</v>
      </c>
      <c r="I1404" t="s">
        <v>3026</v>
      </c>
      <c r="J1404" t="s">
        <v>58</v>
      </c>
      <c r="K1404" t="s">
        <v>58</v>
      </c>
      <c r="L1404" t="s">
        <v>61</v>
      </c>
      <c r="M1404" t="s">
        <v>58</v>
      </c>
      <c r="Q1404" t="s">
        <v>58</v>
      </c>
      <c r="R1404" s="11" t="str">
        <f>HYPERLINK("\\imagefiles.bcgov\imagery\scanned_maps\moe_terrain_maps\Scanned_T_maps_all\K07\K07-481","\\imagefiles.bcgov\imagery\scanned_maps\moe_terrain_maps\Scanned_T_maps_all\K07\K07-481")</f>
        <v>\\imagefiles.bcgov\imagery\scanned_maps\moe_terrain_maps\Scanned_T_maps_all\K07\K07-481</v>
      </c>
      <c r="S1404" t="s">
        <v>62</v>
      </c>
      <c r="T1404" s="11" t="str">
        <f>HYPERLINK("http://www.env.gov.bc.ca/esd/distdata/ecosystems/TEI_Scanned_Maps/K07/K07-481","http://www.env.gov.bc.ca/esd/distdata/ecosystems/TEI_Scanned_Maps/K07/K07-481")</f>
        <v>http://www.env.gov.bc.ca/esd/distdata/ecosystems/TEI_Scanned_Maps/K07/K07-481</v>
      </c>
      <c r="U1404" t="s">
        <v>2967</v>
      </c>
      <c r="V1404" s="11" t="str">
        <f t="shared" si="44"/>
        <v>http://res.agr.ca/cansis/publications/surveys/bc/</v>
      </c>
      <c r="W1404" t="s">
        <v>2495</v>
      </c>
      <c r="X1404" s="11" t="str">
        <f t="shared" si="50"/>
        <v>http://www.em.gov.bc.ca/mining/geolsurv/terrain&amp;soils/frbcguid.htm</v>
      </c>
      <c r="Y1404" t="s">
        <v>2489</v>
      </c>
      <c r="Z1404" s="11" t="str">
        <f t="shared" si="46"/>
        <v>http://www.em.gov.bc.ca/mining/geolsurv/terrain&amp;soils/frbcguid.htm</v>
      </c>
      <c r="AA1404" t="s">
        <v>2490</v>
      </c>
      <c r="AB1404" s="11" t="str">
        <f t="shared" si="51"/>
        <v>http://res.agr.ca/cansis/publications/surveys/bc/</v>
      </c>
      <c r="AC1404" t="s">
        <v>269</v>
      </c>
      <c r="AD1404" s="11" t="str">
        <f t="shared" si="52"/>
        <v>http://www.library.for.gov.bc.ca/#focus</v>
      </c>
      <c r="AE1404" t="s">
        <v>58</v>
      </c>
      <c r="AG1404" t="s">
        <v>63</v>
      </c>
      <c r="AH1404" s="11" t="str">
        <f t="shared" si="41"/>
        <v>mailto: soilterrain@victoria1.gov.bc.ca</v>
      </c>
    </row>
    <row r="1405" spans="1:34">
      <c r="A1405" t="s">
        <v>3319</v>
      </c>
      <c r="B1405" t="s">
        <v>56</v>
      </c>
      <c r="C1405" s="10" t="s">
        <v>107</v>
      </c>
      <c r="D1405" t="s">
        <v>58</v>
      </c>
      <c r="E1405" t="s">
        <v>3024</v>
      </c>
      <c r="F1405" t="s">
        <v>3320</v>
      </c>
      <c r="G1405">
        <v>50000</v>
      </c>
      <c r="H1405">
        <v>1980</v>
      </c>
      <c r="I1405" t="s">
        <v>3026</v>
      </c>
      <c r="J1405" t="s">
        <v>58</v>
      </c>
      <c r="K1405" t="s">
        <v>58</v>
      </c>
      <c r="L1405" t="s">
        <v>61</v>
      </c>
      <c r="M1405" t="s">
        <v>58</v>
      </c>
      <c r="Q1405" t="s">
        <v>58</v>
      </c>
      <c r="R1405" s="11" t="str">
        <f>HYPERLINK("\\imagefiles.bcgov\imagery\scanned_maps\moe_terrain_maps\Scanned_T_maps_all\K07\K07-483","\\imagefiles.bcgov\imagery\scanned_maps\moe_terrain_maps\Scanned_T_maps_all\K07\K07-483")</f>
        <v>\\imagefiles.bcgov\imagery\scanned_maps\moe_terrain_maps\Scanned_T_maps_all\K07\K07-483</v>
      </c>
      <c r="S1405" t="s">
        <v>62</v>
      </c>
      <c r="T1405" s="11" t="str">
        <f>HYPERLINK("http://www.env.gov.bc.ca/esd/distdata/ecosystems/TEI_Scanned_Maps/K07/K07-483","http://www.env.gov.bc.ca/esd/distdata/ecosystems/TEI_Scanned_Maps/K07/K07-483")</f>
        <v>http://www.env.gov.bc.ca/esd/distdata/ecosystems/TEI_Scanned_Maps/K07/K07-483</v>
      </c>
      <c r="U1405" t="s">
        <v>2967</v>
      </c>
      <c r="V1405" s="11" t="str">
        <f t="shared" si="44"/>
        <v>http://res.agr.ca/cansis/publications/surveys/bc/</v>
      </c>
      <c r="W1405" t="s">
        <v>2495</v>
      </c>
      <c r="X1405" s="11" t="str">
        <f t="shared" si="50"/>
        <v>http://www.em.gov.bc.ca/mining/geolsurv/terrain&amp;soils/frbcguid.htm</v>
      </c>
      <c r="Y1405" t="s">
        <v>2489</v>
      </c>
      <c r="Z1405" s="11" t="str">
        <f t="shared" si="46"/>
        <v>http://www.em.gov.bc.ca/mining/geolsurv/terrain&amp;soils/frbcguid.htm</v>
      </c>
      <c r="AA1405" t="s">
        <v>2490</v>
      </c>
      <c r="AB1405" s="11" t="str">
        <f t="shared" si="51"/>
        <v>http://res.agr.ca/cansis/publications/surveys/bc/</v>
      </c>
      <c r="AC1405" t="s">
        <v>269</v>
      </c>
      <c r="AD1405" s="11" t="str">
        <f t="shared" si="52"/>
        <v>http://www.library.for.gov.bc.ca/#focus</v>
      </c>
      <c r="AE1405" t="s">
        <v>58</v>
      </c>
      <c r="AG1405" t="s">
        <v>63</v>
      </c>
      <c r="AH1405" s="11" t="str">
        <f t="shared" si="41"/>
        <v>mailto: soilterrain@victoria1.gov.bc.ca</v>
      </c>
    </row>
    <row r="1406" spans="1:34">
      <c r="A1406" t="s">
        <v>3321</v>
      </c>
      <c r="B1406" t="s">
        <v>56</v>
      </c>
      <c r="C1406" s="10" t="s">
        <v>110</v>
      </c>
      <c r="D1406" t="s">
        <v>58</v>
      </c>
      <c r="E1406" t="s">
        <v>3024</v>
      </c>
      <c r="F1406" t="s">
        <v>3322</v>
      </c>
      <c r="G1406">
        <v>50000</v>
      </c>
      <c r="H1406">
        <v>1976</v>
      </c>
      <c r="I1406" t="s">
        <v>3026</v>
      </c>
      <c r="J1406" t="s">
        <v>58</v>
      </c>
      <c r="K1406" t="s">
        <v>58</v>
      </c>
      <c r="L1406" t="s">
        <v>61</v>
      </c>
      <c r="M1406" t="s">
        <v>58</v>
      </c>
      <c r="Q1406" t="s">
        <v>58</v>
      </c>
      <c r="R1406" s="11" t="str">
        <f>HYPERLINK("\\imagefiles.bcgov\imagery\scanned_maps\moe_terrain_maps\Scanned_T_maps_all\K07\K07-485","\\imagefiles.bcgov\imagery\scanned_maps\moe_terrain_maps\Scanned_T_maps_all\K07\K07-485")</f>
        <v>\\imagefiles.bcgov\imagery\scanned_maps\moe_terrain_maps\Scanned_T_maps_all\K07\K07-485</v>
      </c>
      <c r="S1406" t="s">
        <v>62</v>
      </c>
      <c r="T1406" s="11" t="str">
        <f>HYPERLINK("http://www.env.gov.bc.ca/esd/distdata/ecosystems/TEI_Scanned_Maps/K07/K07-485","http://www.env.gov.bc.ca/esd/distdata/ecosystems/TEI_Scanned_Maps/K07/K07-485")</f>
        <v>http://www.env.gov.bc.ca/esd/distdata/ecosystems/TEI_Scanned_Maps/K07/K07-485</v>
      </c>
      <c r="U1406" t="s">
        <v>2967</v>
      </c>
      <c r="V1406" s="11" t="str">
        <f t="shared" si="44"/>
        <v>http://res.agr.ca/cansis/publications/surveys/bc/</v>
      </c>
      <c r="W1406" t="s">
        <v>2495</v>
      </c>
      <c r="X1406" s="11" t="str">
        <f t="shared" si="50"/>
        <v>http://www.em.gov.bc.ca/mining/geolsurv/terrain&amp;soils/frbcguid.htm</v>
      </c>
      <c r="Y1406" t="s">
        <v>2489</v>
      </c>
      <c r="Z1406" s="11" t="str">
        <f t="shared" si="46"/>
        <v>http://www.em.gov.bc.ca/mining/geolsurv/terrain&amp;soils/frbcguid.htm</v>
      </c>
      <c r="AA1406" t="s">
        <v>2490</v>
      </c>
      <c r="AB1406" s="11" t="str">
        <f t="shared" si="51"/>
        <v>http://res.agr.ca/cansis/publications/surveys/bc/</v>
      </c>
      <c r="AC1406" t="s">
        <v>269</v>
      </c>
      <c r="AD1406" s="11" t="str">
        <f t="shared" si="52"/>
        <v>http://www.library.for.gov.bc.ca/#focus</v>
      </c>
      <c r="AE1406" t="s">
        <v>58</v>
      </c>
      <c r="AG1406" t="s">
        <v>63</v>
      </c>
      <c r="AH1406" s="11" t="str">
        <f t="shared" si="41"/>
        <v>mailto: soilterrain@victoria1.gov.bc.ca</v>
      </c>
    </row>
    <row r="1407" spans="1:34">
      <c r="A1407" t="s">
        <v>3323</v>
      </c>
      <c r="B1407" t="s">
        <v>56</v>
      </c>
      <c r="C1407" s="10" t="s">
        <v>113</v>
      </c>
      <c r="D1407" t="s">
        <v>58</v>
      </c>
      <c r="E1407" t="s">
        <v>3024</v>
      </c>
      <c r="F1407" t="s">
        <v>3324</v>
      </c>
      <c r="G1407">
        <v>50000</v>
      </c>
      <c r="H1407">
        <v>1971</v>
      </c>
      <c r="I1407" t="s">
        <v>3026</v>
      </c>
      <c r="J1407" t="s">
        <v>58</v>
      </c>
      <c r="K1407" t="s">
        <v>58</v>
      </c>
      <c r="L1407" t="s">
        <v>61</v>
      </c>
      <c r="M1407" t="s">
        <v>58</v>
      </c>
      <c r="Q1407" t="s">
        <v>58</v>
      </c>
      <c r="R1407" s="11" t="str">
        <f>HYPERLINK("\\imagefiles.bcgov\imagery\scanned_maps\moe_terrain_maps\Scanned_T_maps_all\K07\K07-487","\\imagefiles.bcgov\imagery\scanned_maps\moe_terrain_maps\Scanned_T_maps_all\K07\K07-487")</f>
        <v>\\imagefiles.bcgov\imagery\scanned_maps\moe_terrain_maps\Scanned_T_maps_all\K07\K07-487</v>
      </c>
      <c r="S1407" t="s">
        <v>62</v>
      </c>
      <c r="T1407" s="11" t="str">
        <f>HYPERLINK("http://www.env.gov.bc.ca/esd/distdata/ecosystems/TEI_Scanned_Maps/K07/K07-487","http://www.env.gov.bc.ca/esd/distdata/ecosystems/TEI_Scanned_Maps/K07/K07-487")</f>
        <v>http://www.env.gov.bc.ca/esd/distdata/ecosystems/TEI_Scanned_Maps/K07/K07-487</v>
      </c>
      <c r="U1407" t="s">
        <v>2967</v>
      </c>
      <c r="V1407" s="11" t="str">
        <f t="shared" si="44"/>
        <v>http://res.agr.ca/cansis/publications/surveys/bc/</v>
      </c>
      <c r="W1407" t="s">
        <v>2495</v>
      </c>
      <c r="X1407" s="11" t="str">
        <f t="shared" si="50"/>
        <v>http://www.em.gov.bc.ca/mining/geolsurv/terrain&amp;soils/frbcguid.htm</v>
      </c>
      <c r="Y1407" t="s">
        <v>2489</v>
      </c>
      <c r="Z1407" s="11" t="str">
        <f t="shared" si="46"/>
        <v>http://www.em.gov.bc.ca/mining/geolsurv/terrain&amp;soils/frbcguid.htm</v>
      </c>
      <c r="AA1407" t="s">
        <v>2490</v>
      </c>
      <c r="AB1407" s="11" t="str">
        <f t="shared" si="51"/>
        <v>http://res.agr.ca/cansis/publications/surveys/bc/</v>
      </c>
      <c r="AC1407" t="s">
        <v>269</v>
      </c>
      <c r="AD1407" s="11" t="str">
        <f t="shared" si="52"/>
        <v>http://www.library.for.gov.bc.ca/#focus</v>
      </c>
      <c r="AE1407" t="s">
        <v>58</v>
      </c>
      <c r="AG1407" t="s">
        <v>63</v>
      </c>
      <c r="AH1407" s="11" t="str">
        <f t="shared" si="41"/>
        <v>mailto: soilterrain@victoria1.gov.bc.ca</v>
      </c>
    </row>
    <row r="1408" spans="1:34">
      <c r="A1408" t="s">
        <v>3325</v>
      </c>
      <c r="B1408" t="s">
        <v>56</v>
      </c>
      <c r="C1408" s="10" t="s">
        <v>116</v>
      </c>
      <c r="D1408" t="s">
        <v>58</v>
      </c>
      <c r="E1408" t="s">
        <v>3024</v>
      </c>
      <c r="F1408" t="s">
        <v>3326</v>
      </c>
      <c r="G1408">
        <v>50000</v>
      </c>
      <c r="H1408">
        <v>1975</v>
      </c>
      <c r="I1408" t="s">
        <v>3026</v>
      </c>
      <c r="J1408" t="s">
        <v>58</v>
      </c>
      <c r="K1408" t="s">
        <v>58</v>
      </c>
      <c r="L1408" t="s">
        <v>61</v>
      </c>
      <c r="M1408" t="s">
        <v>58</v>
      </c>
      <c r="Q1408" t="s">
        <v>58</v>
      </c>
      <c r="R1408" s="11" t="str">
        <f>HYPERLINK("\\imagefiles.bcgov\imagery\scanned_maps\moe_terrain_maps\Scanned_T_maps_all\K07\K07-489","\\imagefiles.bcgov\imagery\scanned_maps\moe_terrain_maps\Scanned_T_maps_all\K07\K07-489")</f>
        <v>\\imagefiles.bcgov\imagery\scanned_maps\moe_terrain_maps\Scanned_T_maps_all\K07\K07-489</v>
      </c>
      <c r="S1408" t="s">
        <v>62</v>
      </c>
      <c r="T1408" s="11" t="str">
        <f>HYPERLINK("http://www.env.gov.bc.ca/esd/distdata/ecosystems/TEI_Scanned_Maps/K07/K07-489","http://www.env.gov.bc.ca/esd/distdata/ecosystems/TEI_Scanned_Maps/K07/K07-489")</f>
        <v>http://www.env.gov.bc.ca/esd/distdata/ecosystems/TEI_Scanned_Maps/K07/K07-489</v>
      </c>
      <c r="U1408" t="s">
        <v>2967</v>
      </c>
      <c r="V1408" s="11" t="str">
        <f t="shared" si="44"/>
        <v>http://res.agr.ca/cansis/publications/surveys/bc/</v>
      </c>
      <c r="W1408" t="s">
        <v>2495</v>
      </c>
      <c r="X1408" s="11" t="str">
        <f t="shared" si="50"/>
        <v>http://www.em.gov.bc.ca/mining/geolsurv/terrain&amp;soils/frbcguid.htm</v>
      </c>
      <c r="Y1408" t="s">
        <v>2489</v>
      </c>
      <c r="Z1408" s="11" t="str">
        <f t="shared" si="46"/>
        <v>http://www.em.gov.bc.ca/mining/geolsurv/terrain&amp;soils/frbcguid.htm</v>
      </c>
      <c r="AA1408" t="s">
        <v>2490</v>
      </c>
      <c r="AB1408" s="11" t="str">
        <f t="shared" si="51"/>
        <v>http://res.agr.ca/cansis/publications/surveys/bc/</v>
      </c>
      <c r="AC1408" t="s">
        <v>269</v>
      </c>
      <c r="AD1408" s="11" t="str">
        <f t="shared" si="52"/>
        <v>http://www.library.for.gov.bc.ca/#focus</v>
      </c>
      <c r="AE1408" t="s">
        <v>58</v>
      </c>
      <c r="AG1408" t="s">
        <v>63</v>
      </c>
      <c r="AH1408" s="11" t="str">
        <f t="shared" si="41"/>
        <v>mailto: soilterrain@victoria1.gov.bc.ca</v>
      </c>
    </row>
    <row r="1409" spans="1:34">
      <c r="A1409" t="s">
        <v>3327</v>
      </c>
      <c r="B1409" t="s">
        <v>56</v>
      </c>
      <c r="C1409" s="10" t="s">
        <v>1082</v>
      </c>
      <c r="D1409" t="s">
        <v>58</v>
      </c>
      <c r="E1409" t="s">
        <v>3024</v>
      </c>
      <c r="F1409" t="s">
        <v>3328</v>
      </c>
      <c r="G1409">
        <v>50000</v>
      </c>
      <c r="H1409">
        <v>1968</v>
      </c>
      <c r="I1409" t="s">
        <v>3026</v>
      </c>
      <c r="J1409" t="s">
        <v>58</v>
      </c>
      <c r="K1409" t="s">
        <v>58</v>
      </c>
      <c r="L1409" t="s">
        <v>61</v>
      </c>
      <c r="M1409" t="s">
        <v>58</v>
      </c>
      <c r="Q1409" t="s">
        <v>58</v>
      </c>
      <c r="R1409" s="11" t="str">
        <f>HYPERLINK("\\imagefiles.bcgov\imagery\scanned_maps\moe_terrain_maps\Scanned_T_maps_all\K07\K07-491","\\imagefiles.bcgov\imagery\scanned_maps\moe_terrain_maps\Scanned_T_maps_all\K07\K07-491")</f>
        <v>\\imagefiles.bcgov\imagery\scanned_maps\moe_terrain_maps\Scanned_T_maps_all\K07\K07-491</v>
      </c>
      <c r="S1409" t="s">
        <v>62</v>
      </c>
      <c r="T1409" s="11" t="str">
        <f>HYPERLINK("http://www.env.gov.bc.ca/esd/distdata/ecosystems/TEI_Scanned_Maps/K07/K07-491","http://www.env.gov.bc.ca/esd/distdata/ecosystems/TEI_Scanned_Maps/K07/K07-491")</f>
        <v>http://www.env.gov.bc.ca/esd/distdata/ecosystems/TEI_Scanned_Maps/K07/K07-491</v>
      </c>
      <c r="U1409" t="s">
        <v>2967</v>
      </c>
      <c r="V1409" s="11" t="str">
        <f t="shared" si="44"/>
        <v>http://res.agr.ca/cansis/publications/surveys/bc/</v>
      </c>
      <c r="W1409" t="s">
        <v>2495</v>
      </c>
      <c r="X1409" s="11" t="str">
        <f t="shared" si="50"/>
        <v>http://www.em.gov.bc.ca/mining/geolsurv/terrain&amp;soils/frbcguid.htm</v>
      </c>
      <c r="Y1409" t="s">
        <v>2489</v>
      </c>
      <c r="Z1409" s="11" t="str">
        <f t="shared" si="46"/>
        <v>http://www.em.gov.bc.ca/mining/geolsurv/terrain&amp;soils/frbcguid.htm</v>
      </c>
      <c r="AA1409" t="s">
        <v>2490</v>
      </c>
      <c r="AB1409" s="11" t="str">
        <f t="shared" si="51"/>
        <v>http://res.agr.ca/cansis/publications/surveys/bc/</v>
      </c>
      <c r="AC1409" t="s">
        <v>269</v>
      </c>
      <c r="AD1409" s="11" t="str">
        <f t="shared" si="52"/>
        <v>http://www.library.for.gov.bc.ca/#focus</v>
      </c>
      <c r="AE1409" t="s">
        <v>58</v>
      </c>
      <c r="AG1409" t="s">
        <v>63</v>
      </c>
      <c r="AH1409" s="11" t="str">
        <f t="shared" si="41"/>
        <v>mailto: soilterrain@victoria1.gov.bc.ca</v>
      </c>
    </row>
    <row r="1410" spans="1:34">
      <c r="A1410" t="s">
        <v>3329</v>
      </c>
      <c r="B1410" t="s">
        <v>56</v>
      </c>
      <c r="C1410" s="10" t="s">
        <v>1084</v>
      </c>
      <c r="D1410" t="s">
        <v>58</v>
      </c>
      <c r="E1410" t="s">
        <v>3024</v>
      </c>
      <c r="F1410" t="s">
        <v>3330</v>
      </c>
      <c r="G1410">
        <v>50000</v>
      </c>
      <c r="H1410">
        <v>1973</v>
      </c>
      <c r="I1410" t="s">
        <v>3026</v>
      </c>
      <c r="J1410" t="s">
        <v>58</v>
      </c>
      <c r="K1410" t="s">
        <v>58</v>
      </c>
      <c r="L1410" t="s">
        <v>61</v>
      </c>
      <c r="M1410" t="s">
        <v>58</v>
      </c>
      <c r="Q1410" t="s">
        <v>58</v>
      </c>
      <c r="R1410" s="11" t="str">
        <f>HYPERLINK("\\imagefiles.bcgov\imagery\scanned_maps\moe_terrain_maps\Scanned_T_maps_all\K07\K07-492","\\imagefiles.bcgov\imagery\scanned_maps\moe_terrain_maps\Scanned_T_maps_all\K07\K07-492")</f>
        <v>\\imagefiles.bcgov\imagery\scanned_maps\moe_terrain_maps\Scanned_T_maps_all\K07\K07-492</v>
      </c>
      <c r="S1410" t="s">
        <v>62</v>
      </c>
      <c r="T1410" s="11" t="str">
        <f>HYPERLINK("http://www.env.gov.bc.ca/esd/distdata/ecosystems/TEI_Scanned_Maps/K07/K07-492","http://www.env.gov.bc.ca/esd/distdata/ecosystems/TEI_Scanned_Maps/K07/K07-492")</f>
        <v>http://www.env.gov.bc.ca/esd/distdata/ecosystems/TEI_Scanned_Maps/K07/K07-492</v>
      </c>
      <c r="U1410" t="s">
        <v>2967</v>
      </c>
      <c r="V1410" s="11" t="str">
        <f t="shared" si="44"/>
        <v>http://res.agr.ca/cansis/publications/surveys/bc/</v>
      </c>
      <c r="W1410" t="s">
        <v>2495</v>
      </c>
      <c r="X1410" s="11" t="str">
        <f t="shared" si="50"/>
        <v>http://www.em.gov.bc.ca/mining/geolsurv/terrain&amp;soils/frbcguid.htm</v>
      </c>
      <c r="Y1410" t="s">
        <v>2489</v>
      </c>
      <c r="Z1410" s="11" t="str">
        <f t="shared" si="46"/>
        <v>http://www.em.gov.bc.ca/mining/geolsurv/terrain&amp;soils/frbcguid.htm</v>
      </c>
      <c r="AA1410" t="s">
        <v>2490</v>
      </c>
      <c r="AB1410" s="11" t="str">
        <f t="shared" si="51"/>
        <v>http://res.agr.ca/cansis/publications/surveys/bc/</v>
      </c>
      <c r="AC1410" t="s">
        <v>269</v>
      </c>
      <c r="AD1410" s="11" t="str">
        <f t="shared" si="52"/>
        <v>http://www.library.for.gov.bc.ca/#focus</v>
      </c>
      <c r="AE1410" t="s">
        <v>58</v>
      </c>
      <c r="AG1410" t="s">
        <v>63</v>
      </c>
      <c r="AH1410" s="11" t="str">
        <f t="shared" ref="AH1410:AH1473" si="53">HYPERLINK("mailto: soilterrain@victoria1.gov.bc.ca","mailto: soilterrain@victoria1.gov.bc.ca")</f>
        <v>mailto: soilterrain@victoria1.gov.bc.ca</v>
      </c>
    </row>
    <row r="1411" spans="1:34">
      <c r="A1411" t="s">
        <v>3331</v>
      </c>
      <c r="B1411" t="s">
        <v>56</v>
      </c>
      <c r="C1411" s="10" t="s">
        <v>1086</v>
      </c>
      <c r="D1411" t="s">
        <v>58</v>
      </c>
      <c r="E1411" t="s">
        <v>3024</v>
      </c>
      <c r="F1411" t="s">
        <v>3332</v>
      </c>
      <c r="G1411">
        <v>50000</v>
      </c>
      <c r="H1411">
        <v>1981</v>
      </c>
      <c r="I1411" t="s">
        <v>3026</v>
      </c>
      <c r="J1411" t="s">
        <v>58</v>
      </c>
      <c r="K1411" t="s">
        <v>58</v>
      </c>
      <c r="L1411" t="s">
        <v>61</v>
      </c>
      <c r="M1411" t="s">
        <v>58</v>
      </c>
      <c r="Q1411" t="s">
        <v>58</v>
      </c>
      <c r="R1411" s="11" t="str">
        <f>HYPERLINK("\\imagefiles.bcgov\imagery\scanned_maps\moe_terrain_maps\Scanned_T_maps_all\K07\K07-495","\\imagefiles.bcgov\imagery\scanned_maps\moe_terrain_maps\Scanned_T_maps_all\K07\K07-495")</f>
        <v>\\imagefiles.bcgov\imagery\scanned_maps\moe_terrain_maps\Scanned_T_maps_all\K07\K07-495</v>
      </c>
      <c r="S1411" t="s">
        <v>62</v>
      </c>
      <c r="T1411" s="11" t="str">
        <f>HYPERLINK("http://www.env.gov.bc.ca/esd/distdata/ecosystems/TEI_Scanned_Maps/K07/K07-495","http://www.env.gov.bc.ca/esd/distdata/ecosystems/TEI_Scanned_Maps/K07/K07-495")</f>
        <v>http://www.env.gov.bc.ca/esd/distdata/ecosystems/TEI_Scanned_Maps/K07/K07-495</v>
      </c>
      <c r="U1411" t="s">
        <v>2967</v>
      </c>
      <c r="V1411" s="11" t="str">
        <f t="shared" si="44"/>
        <v>http://res.agr.ca/cansis/publications/surveys/bc/</v>
      </c>
      <c r="W1411" t="s">
        <v>2495</v>
      </c>
      <c r="X1411" s="11" t="str">
        <f t="shared" si="50"/>
        <v>http://www.em.gov.bc.ca/mining/geolsurv/terrain&amp;soils/frbcguid.htm</v>
      </c>
      <c r="Y1411" t="s">
        <v>2489</v>
      </c>
      <c r="Z1411" s="11" t="str">
        <f t="shared" si="46"/>
        <v>http://www.em.gov.bc.ca/mining/geolsurv/terrain&amp;soils/frbcguid.htm</v>
      </c>
      <c r="AA1411" t="s">
        <v>2490</v>
      </c>
      <c r="AB1411" s="11" t="str">
        <f t="shared" si="51"/>
        <v>http://res.agr.ca/cansis/publications/surveys/bc/</v>
      </c>
      <c r="AC1411" t="s">
        <v>269</v>
      </c>
      <c r="AD1411" s="11" t="str">
        <f t="shared" si="52"/>
        <v>http://www.library.for.gov.bc.ca/#focus</v>
      </c>
      <c r="AE1411" t="s">
        <v>58</v>
      </c>
      <c r="AG1411" t="s">
        <v>63</v>
      </c>
      <c r="AH1411" s="11" t="str">
        <f t="shared" si="53"/>
        <v>mailto: soilterrain@victoria1.gov.bc.ca</v>
      </c>
    </row>
    <row r="1412" spans="1:34">
      <c r="A1412" t="s">
        <v>3333</v>
      </c>
      <c r="B1412" t="s">
        <v>56</v>
      </c>
      <c r="C1412" s="10" t="s">
        <v>1088</v>
      </c>
      <c r="D1412" t="s">
        <v>58</v>
      </c>
      <c r="E1412" t="s">
        <v>3024</v>
      </c>
      <c r="F1412" t="s">
        <v>3334</v>
      </c>
      <c r="G1412">
        <v>50000</v>
      </c>
      <c r="H1412">
        <v>1968</v>
      </c>
      <c r="I1412" t="s">
        <v>3026</v>
      </c>
      <c r="J1412" t="s">
        <v>58</v>
      </c>
      <c r="K1412" t="s">
        <v>58</v>
      </c>
      <c r="L1412" t="s">
        <v>61</v>
      </c>
      <c r="M1412" t="s">
        <v>58</v>
      </c>
      <c r="Q1412" t="s">
        <v>58</v>
      </c>
      <c r="R1412" s="11" t="str">
        <f>HYPERLINK("\\imagefiles.bcgov\imagery\scanned_maps\moe_terrain_maps\Scanned_T_maps_all\K07\K07-497","\\imagefiles.bcgov\imagery\scanned_maps\moe_terrain_maps\Scanned_T_maps_all\K07\K07-497")</f>
        <v>\\imagefiles.bcgov\imagery\scanned_maps\moe_terrain_maps\Scanned_T_maps_all\K07\K07-497</v>
      </c>
      <c r="S1412" t="s">
        <v>62</v>
      </c>
      <c r="T1412" s="11" t="str">
        <f>HYPERLINK("http://www.env.gov.bc.ca/esd/distdata/ecosystems/TEI_Scanned_Maps/K07/K07-497","http://www.env.gov.bc.ca/esd/distdata/ecosystems/TEI_Scanned_Maps/K07/K07-497")</f>
        <v>http://www.env.gov.bc.ca/esd/distdata/ecosystems/TEI_Scanned_Maps/K07/K07-497</v>
      </c>
      <c r="U1412" t="s">
        <v>2967</v>
      </c>
      <c r="V1412" s="11" t="str">
        <f t="shared" si="44"/>
        <v>http://res.agr.ca/cansis/publications/surveys/bc/</v>
      </c>
      <c r="W1412" t="s">
        <v>2495</v>
      </c>
      <c r="X1412" s="11" t="str">
        <f t="shared" si="50"/>
        <v>http://www.em.gov.bc.ca/mining/geolsurv/terrain&amp;soils/frbcguid.htm</v>
      </c>
      <c r="Y1412" t="s">
        <v>2489</v>
      </c>
      <c r="Z1412" s="11" t="str">
        <f t="shared" si="46"/>
        <v>http://www.em.gov.bc.ca/mining/geolsurv/terrain&amp;soils/frbcguid.htm</v>
      </c>
      <c r="AA1412" t="s">
        <v>2490</v>
      </c>
      <c r="AB1412" s="11" t="str">
        <f t="shared" si="51"/>
        <v>http://res.agr.ca/cansis/publications/surveys/bc/</v>
      </c>
      <c r="AC1412" t="s">
        <v>269</v>
      </c>
      <c r="AD1412" s="11" t="str">
        <f t="shared" si="52"/>
        <v>http://www.library.for.gov.bc.ca/#focus</v>
      </c>
      <c r="AE1412" t="s">
        <v>58</v>
      </c>
      <c r="AG1412" t="s">
        <v>63</v>
      </c>
      <c r="AH1412" s="11" t="str">
        <f t="shared" si="53"/>
        <v>mailto: soilterrain@victoria1.gov.bc.ca</v>
      </c>
    </row>
    <row r="1413" spans="1:34">
      <c r="A1413" t="s">
        <v>3335</v>
      </c>
      <c r="B1413" t="s">
        <v>56</v>
      </c>
      <c r="C1413" s="10" t="s">
        <v>1090</v>
      </c>
      <c r="D1413" t="s">
        <v>58</v>
      </c>
      <c r="E1413" t="s">
        <v>3024</v>
      </c>
      <c r="F1413" t="s">
        <v>3336</v>
      </c>
      <c r="G1413">
        <v>50000</v>
      </c>
      <c r="H1413">
        <v>1983</v>
      </c>
      <c r="I1413" t="s">
        <v>3026</v>
      </c>
      <c r="J1413" t="s">
        <v>58</v>
      </c>
      <c r="K1413" t="s">
        <v>58</v>
      </c>
      <c r="L1413" t="s">
        <v>61</v>
      </c>
      <c r="M1413" t="s">
        <v>58</v>
      </c>
      <c r="Q1413" t="s">
        <v>58</v>
      </c>
      <c r="R1413" s="11" t="str">
        <f>HYPERLINK("\\imagefiles.bcgov\imagery\scanned_maps\moe_terrain_maps\Scanned_T_maps_all\K07\K07-499","\\imagefiles.bcgov\imagery\scanned_maps\moe_terrain_maps\Scanned_T_maps_all\K07\K07-499")</f>
        <v>\\imagefiles.bcgov\imagery\scanned_maps\moe_terrain_maps\Scanned_T_maps_all\K07\K07-499</v>
      </c>
      <c r="S1413" t="s">
        <v>62</v>
      </c>
      <c r="T1413" s="11" t="str">
        <f>HYPERLINK("http://www.env.gov.bc.ca/esd/distdata/ecosystems/TEI_Scanned_Maps/K07/K07-499","http://www.env.gov.bc.ca/esd/distdata/ecosystems/TEI_Scanned_Maps/K07/K07-499")</f>
        <v>http://www.env.gov.bc.ca/esd/distdata/ecosystems/TEI_Scanned_Maps/K07/K07-499</v>
      </c>
      <c r="U1413" t="s">
        <v>2967</v>
      </c>
      <c r="V1413" s="11" t="str">
        <f t="shared" si="44"/>
        <v>http://res.agr.ca/cansis/publications/surveys/bc/</v>
      </c>
      <c r="W1413" t="s">
        <v>2495</v>
      </c>
      <c r="X1413" s="11" t="str">
        <f t="shared" si="50"/>
        <v>http://www.em.gov.bc.ca/mining/geolsurv/terrain&amp;soils/frbcguid.htm</v>
      </c>
      <c r="Y1413" t="s">
        <v>2489</v>
      </c>
      <c r="Z1413" s="11" t="str">
        <f t="shared" si="46"/>
        <v>http://www.em.gov.bc.ca/mining/geolsurv/terrain&amp;soils/frbcguid.htm</v>
      </c>
      <c r="AA1413" t="s">
        <v>2490</v>
      </c>
      <c r="AB1413" s="11" t="str">
        <f t="shared" si="51"/>
        <v>http://res.agr.ca/cansis/publications/surveys/bc/</v>
      </c>
      <c r="AC1413" t="s">
        <v>269</v>
      </c>
      <c r="AD1413" s="11" t="str">
        <f t="shared" si="52"/>
        <v>http://www.library.for.gov.bc.ca/#focus</v>
      </c>
      <c r="AE1413" t="s">
        <v>58</v>
      </c>
      <c r="AG1413" t="s">
        <v>63</v>
      </c>
      <c r="AH1413" s="11" t="str">
        <f t="shared" si="53"/>
        <v>mailto: soilterrain@victoria1.gov.bc.ca</v>
      </c>
    </row>
    <row r="1414" spans="1:34">
      <c r="A1414" t="s">
        <v>3337</v>
      </c>
      <c r="B1414" t="s">
        <v>56</v>
      </c>
      <c r="C1414" s="10" t="s">
        <v>130</v>
      </c>
      <c r="D1414" t="s">
        <v>58</v>
      </c>
      <c r="E1414" t="s">
        <v>3024</v>
      </c>
      <c r="F1414" t="s">
        <v>3338</v>
      </c>
      <c r="G1414">
        <v>50000</v>
      </c>
      <c r="H1414">
        <v>1968</v>
      </c>
      <c r="I1414" t="s">
        <v>3026</v>
      </c>
      <c r="J1414" t="s">
        <v>58</v>
      </c>
      <c r="K1414" t="s">
        <v>58</v>
      </c>
      <c r="L1414" t="s">
        <v>61</v>
      </c>
      <c r="M1414" t="s">
        <v>58</v>
      </c>
      <c r="Q1414" t="s">
        <v>58</v>
      </c>
      <c r="R1414" s="11" t="str">
        <f>HYPERLINK("\\imagefiles.bcgov\imagery\scanned_maps\moe_terrain_maps\Scanned_T_maps_all\K07\K07-501","\\imagefiles.bcgov\imagery\scanned_maps\moe_terrain_maps\Scanned_T_maps_all\K07\K07-501")</f>
        <v>\\imagefiles.bcgov\imagery\scanned_maps\moe_terrain_maps\Scanned_T_maps_all\K07\K07-501</v>
      </c>
      <c r="S1414" t="s">
        <v>62</v>
      </c>
      <c r="T1414" s="11" t="str">
        <f>HYPERLINK("http://www.env.gov.bc.ca/esd/distdata/ecosystems/TEI_Scanned_Maps/K07/K07-501","http://www.env.gov.bc.ca/esd/distdata/ecosystems/TEI_Scanned_Maps/K07/K07-501")</f>
        <v>http://www.env.gov.bc.ca/esd/distdata/ecosystems/TEI_Scanned_Maps/K07/K07-501</v>
      </c>
      <c r="U1414" t="s">
        <v>2967</v>
      </c>
      <c r="V1414" s="11" t="str">
        <f t="shared" si="44"/>
        <v>http://res.agr.ca/cansis/publications/surveys/bc/</v>
      </c>
      <c r="W1414" t="s">
        <v>2495</v>
      </c>
      <c r="X1414" s="11" t="str">
        <f t="shared" si="50"/>
        <v>http://www.em.gov.bc.ca/mining/geolsurv/terrain&amp;soils/frbcguid.htm</v>
      </c>
      <c r="Y1414" t="s">
        <v>2489</v>
      </c>
      <c r="Z1414" s="11" t="str">
        <f t="shared" si="46"/>
        <v>http://www.em.gov.bc.ca/mining/geolsurv/terrain&amp;soils/frbcguid.htm</v>
      </c>
      <c r="AA1414" t="s">
        <v>2490</v>
      </c>
      <c r="AB1414" s="11" t="str">
        <f t="shared" si="51"/>
        <v>http://res.agr.ca/cansis/publications/surveys/bc/</v>
      </c>
      <c r="AC1414" t="s">
        <v>269</v>
      </c>
      <c r="AD1414" s="11" t="str">
        <f t="shared" si="52"/>
        <v>http://www.library.for.gov.bc.ca/#focus</v>
      </c>
      <c r="AE1414" t="s">
        <v>58</v>
      </c>
      <c r="AG1414" t="s">
        <v>63</v>
      </c>
      <c r="AH1414" s="11" t="str">
        <f t="shared" si="53"/>
        <v>mailto: soilterrain@victoria1.gov.bc.ca</v>
      </c>
    </row>
    <row r="1415" spans="1:34">
      <c r="A1415" t="s">
        <v>3339</v>
      </c>
      <c r="B1415" t="s">
        <v>56</v>
      </c>
      <c r="C1415" s="10" t="s">
        <v>1093</v>
      </c>
      <c r="D1415" t="s">
        <v>58</v>
      </c>
      <c r="E1415" t="s">
        <v>3024</v>
      </c>
      <c r="F1415" t="s">
        <v>3340</v>
      </c>
      <c r="G1415">
        <v>50000</v>
      </c>
      <c r="H1415">
        <v>1973</v>
      </c>
      <c r="I1415" t="s">
        <v>3026</v>
      </c>
      <c r="J1415" t="s">
        <v>58</v>
      </c>
      <c r="K1415" t="s">
        <v>58</v>
      </c>
      <c r="L1415" t="s">
        <v>61</v>
      </c>
      <c r="M1415" t="s">
        <v>58</v>
      </c>
      <c r="Q1415" t="s">
        <v>58</v>
      </c>
      <c r="R1415" s="11" t="str">
        <f>HYPERLINK("\\imagefiles.bcgov\imagery\scanned_maps\moe_terrain_maps\Scanned_T_maps_all\K07\K07-503","\\imagefiles.bcgov\imagery\scanned_maps\moe_terrain_maps\Scanned_T_maps_all\K07\K07-503")</f>
        <v>\\imagefiles.bcgov\imagery\scanned_maps\moe_terrain_maps\Scanned_T_maps_all\K07\K07-503</v>
      </c>
      <c r="S1415" t="s">
        <v>62</v>
      </c>
      <c r="T1415" s="11" t="str">
        <f>HYPERLINK("http://www.env.gov.bc.ca/esd/distdata/ecosystems/TEI_Scanned_Maps/K07/K07-503","http://www.env.gov.bc.ca/esd/distdata/ecosystems/TEI_Scanned_Maps/K07/K07-503")</f>
        <v>http://www.env.gov.bc.ca/esd/distdata/ecosystems/TEI_Scanned_Maps/K07/K07-503</v>
      </c>
      <c r="U1415" t="s">
        <v>2967</v>
      </c>
      <c r="V1415" s="11" t="str">
        <f t="shared" si="44"/>
        <v>http://res.agr.ca/cansis/publications/surveys/bc/</v>
      </c>
      <c r="W1415" t="s">
        <v>2495</v>
      </c>
      <c r="X1415" s="11" t="str">
        <f t="shared" si="50"/>
        <v>http://www.em.gov.bc.ca/mining/geolsurv/terrain&amp;soils/frbcguid.htm</v>
      </c>
      <c r="Y1415" t="s">
        <v>2489</v>
      </c>
      <c r="Z1415" s="11" t="str">
        <f t="shared" si="46"/>
        <v>http://www.em.gov.bc.ca/mining/geolsurv/terrain&amp;soils/frbcguid.htm</v>
      </c>
      <c r="AA1415" t="s">
        <v>2490</v>
      </c>
      <c r="AB1415" s="11" t="str">
        <f t="shared" si="51"/>
        <v>http://res.agr.ca/cansis/publications/surveys/bc/</v>
      </c>
      <c r="AC1415" t="s">
        <v>269</v>
      </c>
      <c r="AD1415" s="11" t="str">
        <f t="shared" si="52"/>
        <v>http://www.library.for.gov.bc.ca/#focus</v>
      </c>
      <c r="AE1415" t="s">
        <v>58</v>
      </c>
      <c r="AG1415" t="s">
        <v>63</v>
      </c>
      <c r="AH1415" s="11" t="str">
        <f t="shared" si="53"/>
        <v>mailto: soilterrain@victoria1.gov.bc.ca</v>
      </c>
    </row>
    <row r="1416" spans="1:34">
      <c r="A1416" t="s">
        <v>3341</v>
      </c>
      <c r="B1416" t="s">
        <v>56</v>
      </c>
      <c r="C1416" s="10" t="s">
        <v>1095</v>
      </c>
      <c r="D1416" t="s">
        <v>58</v>
      </c>
      <c r="E1416" t="s">
        <v>3024</v>
      </c>
      <c r="F1416" t="s">
        <v>3342</v>
      </c>
      <c r="G1416">
        <v>50000</v>
      </c>
      <c r="H1416">
        <v>1978</v>
      </c>
      <c r="I1416" t="s">
        <v>3026</v>
      </c>
      <c r="J1416" t="s">
        <v>58</v>
      </c>
      <c r="K1416" t="s">
        <v>58</v>
      </c>
      <c r="L1416" t="s">
        <v>61</v>
      </c>
      <c r="M1416" t="s">
        <v>58</v>
      </c>
      <c r="Q1416" t="s">
        <v>58</v>
      </c>
      <c r="R1416" s="11" t="str">
        <f>HYPERLINK("\\imagefiles.bcgov\imagery\scanned_maps\moe_terrain_maps\Scanned_T_maps_all\K07\K07-505","\\imagefiles.bcgov\imagery\scanned_maps\moe_terrain_maps\Scanned_T_maps_all\K07\K07-505")</f>
        <v>\\imagefiles.bcgov\imagery\scanned_maps\moe_terrain_maps\Scanned_T_maps_all\K07\K07-505</v>
      </c>
      <c r="S1416" t="s">
        <v>62</v>
      </c>
      <c r="T1416" s="11" t="str">
        <f>HYPERLINK("http://www.env.gov.bc.ca/esd/distdata/ecosystems/TEI_Scanned_Maps/K07/K07-505","http://www.env.gov.bc.ca/esd/distdata/ecosystems/TEI_Scanned_Maps/K07/K07-505")</f>
        <v>http://www.env.gov.bc.ca/esd/distdata/ecosystems/TEI_Scanned_Maps/K07/K07-505</v>
      </c>
      <c r="U1416" t="s">
        <v>2967</v>
      </c>
      <c r="V1416" s="11" t="str">
        <f t="shared" si="44"/>
        <v>http://res.agr.ca/cansis/publications/surveys/bc/</v>
      </c>
      <c r="W1416" t="s">
        <v>2495</v>
      </c>
      <c r="X1416" s="11" t="str">
        <f t="shared" si="50"/>
        <v>http://www.em.gov.bc.ca/mining/geolsurv/terrain&amp;soils/frbcguid.htm</v>
      </c>
      <c r="Y1416" t="s">
        <v>2489</v>
      </c>
      <c r="Z1416" s="11" t="str">
        <f t="shared" si="46"/>
        <v>http://www.em.gov.bc.ca/mining/geolsurv/terrain&amp;soils/frbcguid.htm</v>
      </c>
      <c r="AA1416" t="s">
        <v>2490</v>
      </c>
      <c r="AB1416" s="11" t="str">
        <f t="shared" si="51"/>
        <v>http://res.agr.ca/cansis/publications/surveys/bc/</v>
      </c>
      <c r="AC1416" t="s">
        <v>269</v>
      </c>
      <c r="AD1416" s="11" t="str">
        <f t="shared" si="52"/>
        <v>http://www.library.for.gov.bc.ca/#focus</v>
      </c>
      <c r="AE1416" t="s">
        <v>58</v>
      </c>
      <c r="AG1416" t="s">
        <v>63</v>
      </c>
      <c r="AH1416" s="11" t="str">
        <f t="shared" si="53"/>
        <v>mailto: soilterrain@victoria1.gov.bc.ca</v>
      </c>
    </row>
    <row r="1417" spans="1:34">
      <c r="A1417" t="s">
        <v>3343</v>
      </c>
      <c r="B1417" t="s">
        <v>56</v>
      </c>
      <c r="C1417" s="10" t="s">
        <v>1066</v>
      </c>
      <c r="D1417" t="s">
        <v>58</v>
      </c>
      <c r="E1417" t="s">
        <v>497</v>
      </c>
      <c r="F1417" t="s">
        <v>3344</v>
      </c>
      <c r="G1417">
        <v>50000</v>
      </c>
      <c r="H1417">
        <v>1981</v>
      </c>
      <c r="I1417" t="s">
        <v>2486</v>
      </c>
      <c r="J1417" t="s">
        <v>58</v>
      </c>
      <c r="K1417" t="s">
        <v>58</v>
      </c>
      <c r="L1417" t="s">
        <v>58</v>
      </c>
      <c r="M1417" t="s">
        <v>58</v>
      </c>
      <c r="N1417" t="s">
        <v>61</v>
      </c>
      <c r="Q1417" t="s">
        <v>58</v>
      </c>
      <c r="R1417" s="11" t="str">
        <f>HYPERLINK("\\imagefiles.bcgov\imagery\scanned_maps\moe_terrain_maps\Scanned_T_maps_all\K07\K07-5070","\\imagefiles.bcgov\imagery\scanned_maps\moe_terrain_maps\Scanned_T_maps_all\K07\K07-5070")</f>
        <v>\\imagefiles.bcgov\imagery\scanned_maps\moe_terrain_maps\Scanned_T_maps_all\K07\K07-5070</v>
      </c>
      <c r="S1417" t="s">
        <v>62</v>
      </c>
      <c r="T1417" s="11" t="str">
        <f>HYPERLINK("http://www.env.gov.bc.ca/esd/distdata/ecosystems/TEI_Scanned_Maps/K07/K07-5070","http://www.env.gov.bc.ca/esd/distdata/ecosystems/TEI_Scanned_Maps/K07/K07-5070")</f>
        <v>http://www.env.gov.bc.ca/esd/distdata/ecosystems/TEI_Scanned_Maps/K07/K07-5070</v>
      </c>
      <c r="U1417" t="s">
        <v>2490</v>
      </c>
      <c r="V1417" s="11" t="str">
        <f t="shared" si="44"/>
        <v>http://res.agr.ca/cansis/publications/surveys/bc/</v>
      </c>
      <c r="W1417" t="s">
        <v>269</v>
      </c>
      <c r="X1417" s="11" t="str">
        <f>HYPERLINK("http://www.library.for.gov.bc.ca/#focus","http://www.library.for.gov.bc.ca/#focus")</f>
        <v>http://www.library.for.gov.bc.ca/#focus</v>
      </c>
      <c r="Y1417" t="s">
        <v>3053</v>
      </c>
      <c r="Z1417" s="11" t="str">
        <f>HYPERLINK("http://www.prsss.ca/","http://www.prsss.ca/")</f>
        <v>http://www.prsss.ca/</v>
      </c>
      <c r="AA1417" t="s">
        <v>58</v>
      </c>
      <c r="AC1417" t="s">
        <v>58</v>
      </c>
      <c r="AE1417" t="s">
        <v>58</v>
      </c>
      <c r="AG1417" t="s">
        <v>63</v>
      </c>
      <c r="AH1417" s="11" t="str">
        <f t="shared" si="53"/>
        <v>mailto: soilterrain@victoria1.gov.bc.ca</v>
      </c>
    </row>
    <row r="1418" spans="1:34">
      <c r="A1418" t="s">
        <v>3345</v>
      </c>
      <c r="B1418" t="s">
        <v>56</v>
      </c>
      <c r="C1418" s="10" t="s">
        <v>1098</v>
      </c>
      <c r="D1418" t="s">
        <v>58</v>
      </c>
      <c r="E1418" t="s">
        <v>3024</v>
      </c>
      <c r="F1418" t="s">
        <v>3346</v>
      </c>
      <c r="G1418">
        <v>50000</v>
      </c>
      <c r="H1418" t="s">
        <v>187</v>
      </c>
      <c r="I1418" t="s">
        <v>3026</v>
      </c>
      <c r="J1418" t="s">
        <v>58</v>
      </c>
      <c r="K1418" t="s">
        <v>58</v>
      </c>
      <c r="L1418" t="s">
        <v>61</v>
      </c>
      <c r="M1418" t="s">
        <v>58</v>
      </c>
      <c r="Q1418" t="s">
        <v>58</v>
      </c>
      <c r="R1418" s="11" t="str">
        <f>HYPERLINK("\\imagefiles.bcgov\imagery\scanned_maps\moe_terrain_maps\Scanned_T_maps_all\K08\K08-525","\\imagefiles.bcgov\imagery\scanned_maps\moe_terrain_maps\Scanned_T_maps_all\K08\K08-525")</f>
        <v>\\imagefiles.bcgov\imagery\scanned_maps\moe_terrain_maps\Scanned_T_maps_all\K08\K08-525</v>
      </c>
      <c r="S1418" t="s">
        <v>62</v>
      </c>
      <c r="T1418" s="11" t="str">
        <f>HYPERLINK("http://www.env.gov.bc.ca/esd/distdata/ecosystems/TEI_Scanned_Maps/K08/K08-525","http://www.env.gov.bc.ca/esd/distdata/ecosystems/TEI_Scanned_Maps/K08/K08-525")</f>
        <v>http://www.env.gov.bc.ca/esd/distdata/ecosystems/TEI_Scanned_Maps/K08/K08-525</v>
      </c>
      <c r="U1418" t="s">
        <v>2967</v>
      </c>
      <c r="V1418" s="11" t="str">
        <f t="shared" si="44"/>
        <v>http://res.agr.ca/cansis/publications/surveys/bc/</v>
      </c>
      <c r="W1418" t="s">
        <v>2495</v>
      </c>
      <c r="X1418" s="11" t="str">
        <f t="shared" ref="X1418:X1423" si="54">HYPERLINK("http://www.em.gov.bc.ca/mining/geolsurv/terrain&amp;soils/frbcguid.htm","http://www.em.gov.bc.ca/mining/geolsurv/terrain&amp;soils/frbcguid.htm")</f>
        <v>http://www.em.gov.bc.ca/mining/geolsurv/terrain&amp;soils/frbcguid.htm</v>
      </c>
      <c r="Y1418" t="s">
        <v>2489</v>
      </c>
      <c r="Z1418" s="11" t="str">
        <f>HYPERLINK("http://www.em.gov.bc.ca/mining/geolsurv/terrain&amp;soils/frbcguid.htm","http://www.em.gov.bc.ca/mining/geolsurv/terrain&amp;soils/frbcguid.htm")</f>
        <v>http://www.em.gov.bc.ca/mining/geolsurv/terrain&amp;soils/frbcguid.htm</v>
      </c>
      <c r="AA1418" t="s">
        <v>2490</v>
      </c>
      <c r="AB1418" s="11" t="str">
        <f>HYPERLINK("http://res.agr.ca/cansis/publications/surveys/bc/","http://res.agr.ca/cansis/publications/surveys/bc/")</f>
        <v>http://res.agr.ca/cansis/publications/surveys/bc/</v>
      </c>
      <c r="AC1418" t="s">
        <v>269</v>
      </c>
      <c r="AD1418" s="11" t="str">
        <f>HYPERLINK("http://www.library.for.gov.bc.ca/#focus","http://www.library.for.gov.bc.ca/#focus")</f>
        <v>http://www.library.for.gov.bc.ca/#focus</v>
      </c>
      <c r="AE1418" t="s">
        <v>58</v>
      </c>
      <c r="AG1418" t="s">
        <v>63</v>
      </c>
      <c r="AH1418" s="11" t="str">
        <f t="shared" si="53"/>
        <v>mailto: soilterrain@victoria1.gov.bc.ca</v>
      </c>
    </row>
    <row r="1419" spans="1:34">
      <c r="A1419" t="s">
        <v>3347</v>
      </c>
      <c r="B1419" t="s">
        <v>56</v>
      </c>
      <c r="C1419" s="10" t="s">
        <v>1100</v>
      </c>
      <c r="D1419" t="s">
        <v>58</v>
      </c>
      <c r="E1419" t="s">
        <v>3024</v>
      </c>
      <c r="F1419" t="s">
        <v>3348</v>
      </c>
      <c r="G1419">
        <v>50000</v>
      </c>
      <c r="H1419">
        <v>1968</v>
      </c>
      <c r="I1419" t="s">
        <v>3026</v>
      </c>
      <c r="J1419" t="s">
        <v>58</v>
      </c>
      <c r="K1419" t="s">
        <v>58</v>
      </c>
      <c r="L1419" t="s">
        <v>61</v>
      </c>
      <c r="M1419" t="s">
        <v>58</v>
      </c>
      <c r="Q1419" t="s">
        <v>58</v>
      </c>
      <c r="R1419" s="11" t="str">
        <f>HYPERLINK("\\imagefiles.bcgov\imagery\scanned_maps\moe_terrain_maps\Scanned_T_maps_all\K08\K08-527","\\imagefiles.bcgov\imagery\scanned_maps\moe_terrain_maps\Scanned_T_maps_all\K08\K08-527")</f>
        <v>\\imagefiles.bcgov\imagery\scanned_maps\moe_terrain_maps\Scanned_T_maps_all\K08\K08-527</v>
      </c>
      <c r="S1419" t="s">
        <v>62</v>
      </c>
      <c r="T1419" s="11" t="str">
        <f>HYPERLINK("http://www.env.gov.bc.ca/esd/distdata/ecosystems/TEI_Scanned_Maps/K08/K08-527","http://www.env.gov.bc.ca/esd/distdata/ecosystems/TEI_Scanned_Maps/K08/K08-527")</f>
        <v>http://www.env.gov.bc.ca/esd/distdata/ecosystems/TEI_Scanned_Maps/K08/K08-527</v>
      </c>
      <c r="U1419" t="s">
        <v>2967</v>
      </c>
      <c r="V1419" s="11" t="str">
        <f t="shared" si="44"/>
        <v>http://res.agr.ca/cansis/publications/surveys/bc/</v>
      </c>
      <c r="W1419" t="s">
        <v>2495</v>
      </c>
      <c r="X1419" s="11" t="str">
        <f t="shared" si="54"/>
        <v>http://www.em.gov.bc.ca/mining/geolsurv/terrain&amp;soils/frbcguid.htm</v>
      </c>
      <c r="Y1419" t="s">
        <v>2489</v>
      </c>
      <c r="Z1419" s="11" t="str">
        <f>HYPERLINK("http://www.em.gov.bc.ca/mining/geolsurv/terrain&amp;soils/frbcguid.htm","http://www.em.gov.bc.ca/mining/geolsurv/terrain&amp;soils/frbcguid.htm")</f>
        <v>http://www.em.gov.bc.ca/mining/geolsurv/terrain&amp;soils/frbcguid.htm</v>
      </c>
      <c r="AA1419" t="s">
        <v>2490</v>
      </c>
      <c r="AB1419" s="11" t="str">
        <f>HYPERLINK("http://res.agr.ca/cansis/publications/surveys/bc/","http://res.agr.ca/cansis/publications/surveys/bc/")</f>
        <v>http://res.agr.ca/cansis/publications/surveys/bc/</v>
      </c>
      <c r="AC1419" t="s">
        <v>269</v>
      </c>
      <c r="AD1419" s="11" t="str">
        <f>HYPERLINK("http://www.library.for.gov.bc.ca/#focus","http://www.library.for.gov.bc.ca/#focus")</f>
        <v>http://www.library.for.gov.bc.ca/#focus</v>
      </c>
      <c r="AE1419" t="s">
        <v>58</v>
      </c>
      <c r="AG1419" t="s">
        <v>63</v>
      </c>
      <c r="AH1419" s="11" t="str">
        <f t="shared" si="53"/>
        <v>mailto: soilterrain@victoria1.gov.bc.ca</v>
      </c>
    </row>
    <row r="1420" spans="1:34">
      <c r="A1420" t="s">
        <v>3349</v>
      </c>
      <c r="B1420" t="s">
        <v>56</v>
      </c>
      <c r="C1420" s="10" t="s">
        <v>1151</v>
      </c>
      <c r="D1420" t="s">
        <v>58</v>
      </c>
      <c r="E1420" t="s">
        <v>3350</v>
      </c>
      <c r="F1420" t="s">
        <v>3351</v>
      </c>
      <c r="G1420">
        <v>50000</v>
      </c>
      <c r="H1420">
        <v>1973</v>
      </c>
      <c r="I1420" t="s">
        <v>3352</v>
      </c>
      <c r="J1420" t="s">
        <v>58</v>
      </c>
      <c r="K1420" t="s">
        <v>58</v>
      </c>
      <c r="L1420" t="s">
        <v>61</v>
      </c>
      <c r="M1420" t="s">
        <v>58</v>
      </c>
      <c r="Q1420" t="s">
        <v>58</v>
      </c>
      <c r="R1420" s="11" t="str">
        <f>HYPERLINK("\\imagefiles.bcgov\imagery\scanned_maps\moe_terrain_maps\Scanned_T_maps_all\K08\K08-760","\\imagefiles.bcgov\imagery\scanned_maps\moe_terrain_maps\Scanned_T_maps_all\K08\K08-760")</f>
        <v>\\imagefiles.bcgov\imagery\scanned_maps\moe_terrain_maps\Scanned_T_maps_all\K08\K08-760</v>
      </c>
      <c r="S1420" t="s">
        <v>62</v>
      </c>
      <c r="T1420" s="11" t="str">
        <f>HYPERLINK("http://www.env.gov.bc.ca/esd/distdata/ecosystems/TEI_Scanned_Maps/K08/K08-760","http://www.env.gov.bc.ca/esd/distdata/ecosystems/TEI_Scanned_Maps/K08/K08-760")</f>
        <v>http://www.env.gov.bc.ca/esd/distdata/ecosystems/TEI_Scanned_Maps/K08/K08-760</v>
      </c>
      <c r="U1420" t="s">
        <v>3353</v>
      </c>
      <c r="V1420" s="11" t="str">
        <f>HYPERLINK("http://www.env.gov.bc.ca/esd/distdata/ecosystems/Soil_Data/CAPAMP/","http://www.env.gov.bc.ca/esd/distdata/ecosystems/Soil_Data/CAPAMP/")</f>
        <v>http://www.env.gov.bc.ca/esd/distdata/ecosystems/Soil_Data/CAPAMP/</v>
      </c>
      <c r="W1420" t="s">
        <v>2489</v>
      </c>
      <c r="X1420" s="11" t="str">
        <f t="shared" si="54"/>
        <v>http://www.em.gov.bc.ca/mining/geolsurv/terrain&amp;soils/frbcguid.htm</v>
      </c>
      <c r="Y1420" t="s">
        <v>58</v>
      </c>
      <c r="Z1420" t="s">
        <v>58</v>
      </c>
      <c r="AA1420" t="s">
        <v>58</v>
      </c>
      <c r="AC1420" t="s">
        <v>58</v>
      </c>
      <c r="AE1420" t="s">
        <v>58</v>
      </c>
      <c r="AG1420" t="s">
        <v>63</v>
      </c>
      <c r="AH1420" s="11" t="str">
        <f t="shared" si="53"/>
        <v>mailto: soilterrain@victoria1.gov.bc.ca</v>
      </c>
    </row>
    <row r="1421" spans="1:34">
      <c r="A1421" t="s">
        <v>3354</v>
      </c>
      <c r="B1421" t="s">
        <v>56</v>
      </c>
      <c r="C1421" s="10" t="s">
        <v>1155</v>
      </c>
      <c r="D1421" t="s">
        <v>58</v>
      </c>
      <c r="E1421" t="s">
        <v>3350</v>
      </c>
      <c r="F1421" t="s">
        <v>3355</v>
      </c>
      <c r="G1421">
        <v>50000</v>
      </c>
      <c r="H1421">
        <v>1973</v>
      </c>
      <c r="I1421" t="s">
        <v>3352</v>
      </c>
      <c r="J1421" t="s">
        <v>58</v>
      </c>
      <c r="K1421" t="s">
        <v>58</v>
      </c>
      <c r="L1421" t="s">
        <v>61</v>
      </c>
      <c r="M1421" t="s">
        <v>58</v>
      </c>
      <c r="Q1421" t="s">
        <v>58</v>
      </c>
      <c r="R1421" s="11" t="str">
        <f>HYPERLINK("\\imagefiles.bcgov\imagery\scanned_maps\moe_terrain_maps\Scanned_T_maps_all\K08\K08-764","\\imagefiles.bcgov\imagery\scanned_maps\moe_terrain_maps\Scanned_T_maps_all\K08\K08-764")</f>
        <v>\\imagefiles.bcgov\imagery\scanned_maps\moe_terrain_maps\Scanned_T_maps_all\K08\K08-764</v>
      </c>
      <c r="S1421" t="s">
        <v>62</v>
      </c>
      <c r="T1421" s="11" t="str">
        <f>HYPERLINK("http://www.env.gov.bc.ca/esd/distdata/ecosystems/TEI_Scanned_Maps/K08/K08-764","http://www.env.gov.bc.ca/esd/distdata/ecosystems/TEI_Scanned_Maps/K08/K08-764")</f>
        <v>http://www.env.gov.bc.ca/esd/distdata/ecosystems/TEI_Scanned_Maps/K08/K08-764</v>
      </c>
      <c r="U1421" t="s">
        <v>3353</v>
      </c>
      <c r="V1421" s="11" t="str">
        <f>HYPERLINK("http://www.env.gov.bc.ca/esd/distdata/ecosystems/Soil_Data/CAPAMP/","http://www.env.gov.bc.ca/esd/distdata/ecosystems/Soil_Data/CAPAMP/")</f>
        <v>http://www.env.gov.bc.ca/esd/distdata/ecosystems/Soil_Data/CAPAMP/</v>
      </c>
      <c r="W1421" t="s">
        <v>2489</v>
      </c>
      <c r="X1421" s="11" t="str">
        <f t="shared" si="54"/>
        <v>http://www.em.gov.bc.ca/mining/geolsurv/terrain&amp;soils/frbcguid.htm</v>
      </c>
      <c r="Y1421" t="s">
        <v>58</v>
      </c>
      <c r="Z1421" t="s">
        <v>58</v>
      </c>
      <c r="AA1421" t="s">
        <v>58</v>
      </c>
      <c r="AC1421" t="s">
        <v>58</v>
      </c>
      <c r="AE1421" t="s">
        <v>58</v>
      </c>
      <c r="AG1421" t="s">
        <v>63</v>
      </c>
      <c r="AH1421" s="11" t="str">
        <f t="shared" si="53"/>
        <v>mailto: soilterrain@victoria1.gov.bc.ca</v>
      </c>
    </row>
    <row r="1422" spans="1:34">
      <c r="A1422" t="s">
        <v>3356</v>
      </c>
      <c r="B1422" t="s">
        <v>56</v>
      </c>
      <c r="C1422" s="10" t="s">
        <v>3357</v>
      </c>
      <c r="D1422" t="s">
        <v>58</v>
      </c>
      <c r="E1422" t="s">
        <v>3063</v>
      </c>
      <c r="F1422" t="s">
        <v>3358</v>
      </c>
      <c r="G1422">
        <v>50000</v>
      </c>
      <c r="H1422">
        <v>1987</v>
      </c>
      <c r="I1422" t="s">
        <v>3060</v>
      </c>
      <c r="J1422" t="s">
        <v>58</v>
      </c>
      <c r="K1422" t="s">
        <v>58</v>
      </c>
      <c r="L1422" t="s">
        <v>61</v>
      </c>
      <c r="M1422" t="s">
        <v>58</v>
      </c>
      <c r="Q1422" t="s">
        <v>58</v>
      </c>
      <c r="R1422" s="11" t="str">
        <f>HYPERLINK("\\imagefiles.bcgov\imagery\scanned_maps\moe_terrain_maps\Scanned_T_maps_all\K09\K09-1082","\\imagefiles.bcgov\imagery\scanned_maps\moe_terrain_maps\Scanned_T_maps_all\K09\K09-1082")</f>
        <v>\\imagefiles.bcgov\imagery\scanned_maps\moe_terrain_maps\Scanned_T_maps_all\K09\K09-1082</v>
      </c>
      <c r="S1422" t="s">
        <v>62</v>
      </c>
      <c r="T1422" s="11" t="str">
        <f>HYPERLINK("http://www.env.gov.bc.ca/esd/distdata/ecosystems/TEI_Scanned_Maps/K09/K09-1082","http://www.env.gov.bc.ca/esd/distdata/ecosystems/TEI_Scanned_Maps/K09/K09-1082")</f>
        <v>http://www.env.gov.bc.ca/esd/distdata/ecosystems/TEI_Scanned_Maps/K09/K09-1082</v>
      </c>
      <c r="U1422" t="s">
        <v>2487</v>
      </c>
      <c r="V1422" s="11" t="str">
        <f>HYPERLINK("http://res.agr.ca/cansis/publications/surveys/bc/","http://res.agr.ca/cansis/publications/surveys/bc/")</f>
        <v>http://res.agr.ca/cansis/publications/surveys/bc/</v>
      </c>
      <c r="W1422" t="s">
        <v>2495</v>
      </c>
      <c r="X1422" s="11" t="str">
        <f t="shared" si="54"/>
        <v>http://www.em.gov.bc.ca/mining/geolsurv/terrain&amp;soils/frbcguid.htm</v>
      </c>
      <c r="Y1422" t="s">
        <v>2489</v>
      </c>
      <c r="Z1422" s="11" t="str">
        <f>HYPERLINK("http://www.em.gov.bc.ca/mining/geolsurv/terrain&amp;soils/frbcguid.htm","http://www.em.gov.bc.ca/mining/geolsurv/terrain&amp;soils/frbcguid.htm")</f>
        <v>http://www.em.gov.bc.ca/mining/geolsurv/terrain&amp;soils/frbcguid.htm</v>
      </c>
      <c r="AA1422" t="s">
        <v>269</v>
      </c>
      <c r="AB1422" s="11" t="str">
        <f>HYPERLINK("http://www.library.for.gov.bc.ca/#focus","http://www.library.for.gov.bc.ca/#focus")</f>
        <v>http://www.library.for.gov.bc.ca/#focus</v>
      </c>
      <c r="AC1422" t="s">
        <v>2500</v>
      </c>
      <c r="AD1422" s="11" t="str">
        <f>HYPERLINK("http://www.crownpub.bc.ca/","http://www.crownpub.bc.ca/")</f>
        <v>http://www.crownpub.bc.ca/</v>
      </c>
      <c r="AE1422" t="s">
        <v>58</v>
      </c>
      <c r="AG1422" t="s">
        <v>63</v>
      </c>
      <c r="AH1422" s="11" t="str">
        <f t="shared" si="53"/>
        <v>mailto: soilterrain@victoria1.gov.bc.ca</v>
      </c>
    </row>
    <row r="1423" spans="1:34">
      <c r="A1423" t="s">
        <v>3359</v>
      </c>
      <c r="B1423" t="s">
        <v>56</v>
      </c>
      <c r="C1423" s="10" t="s">
        <v>580</v>
      </c>
      <c r="D1423" t="s">
        <v>58</v>
      </c>
      <c r="E1423" t="s">
        <v>3058</v>
      </c>
      <c r="F1423" t="s">
        <v>3360</v>
      </c>
      <c r="G1423">
        <v>50000</v>
      </c>
      <c r="H1423">
        <v>1988</v>
      </c>
      <c r="I1423" t="s">
        <v>3060</v>
      </c>
      <c r="J1423" t="s">
        <v>58</v>
      </c>
      <c r="K1423" t="s">
        <v>58</v>
      </c>
      <c r="L1423" t="s">
        <v>61</v>
      </c>
      <c r="M1423" t="s">
        <v>58</v>
      </c>
      <c r="Q1423" t="s">
        <v>58</v>
      </c>
      <c r="R1423" s="11" t="str">
        <f>HYPERLINK("\\imagefiles.bcgov\imagery\scanned_maps\moe_terrain_maps\Scanned_T_maps_all\K09\K09-1305","\\imagefiles.bcgov\imagery\scanned_maps\moe_terrain_maps\Scanned_T_maps_all\K09\K09-1305")</f>
        <v>\\imagefiles.bcgov\imagery\scanned_maps\moe_terrain_maps\Scanned_T_maps_all\K09\K09-1305</v>
      </c>
      <c r="S1423" t="s">
        <v>62</v>
      </c>
      <c r="T1423" s="11" t="str">
        <f>HYPERLINK("http://www.env.gov.bc.ca/esd/distdata/ecosystems/TEI_Scanned_Maps/K09/K09-1305","http://www.env.gov.bc.ca/esd/distdata/ecosystems/TEI_Scanned_Maps/K09/K09-1305")</f>
        <v>http://www.env.gov.bc.ca/esd/distdata/ecosystems/TEI_Scanned_Maps/K09/K09-1305</v>
      </c>
      <c r="U1423" t="s">
        <v>2487</v>
      </c>
      <c r="V1423" s="11" t="str">
        <f>HYPERLINK("http://res.agr.ca/cansis/publications/surveys/bc/","http://res.agr.ca/cansis/publications/surveys/bc/")</f>
        <v>http://res.agr.ca/cansis/publications/surveys/bc/</v>
      </c>
      <c r="W1423" t="s">
        <v>2495</v>
      </c>
      <c r="X1423" s="11" t="str">
        <f t="shared" si="54"/>
        <v>http://www.em.gov.bc.ca/mining/geolsurv/terrain&amp;soils/frbcguid.htm</v>
      </c>
      <c r="Y1423" t="s">
        <v>2489</v>
      </c>
      <c r="Z1423" s="11" t="str">
        <f>HYPERLINK("http://www.em.gov.bc.ca/mining/geolsurv/terrain&amp;soils/frbcguid.htm","http://www.em.gov.bc.ca/mining/geolsurv/terrain&amp;soils/frbcguid.htm")</f>
        <v>http://www.em.gov.bc.ca/mining/geolsurv/terrain&amp;soils/frbcguid.htm</v>
      </c>
      <c r="AA1423" t="s">
        <v>269</v>
      </c>
      <c r="AB1423" s="11" t="str">
        <f>HYPERLINK("http://www.library.for.gov.bc.ca/#focus","http://www.library.for.gov.bc.ca/#focus")</f>
        <v>http://www.library.for.gov.bc.ca/#focus</v>
      </c>
      <c r="AC1423" t="s">
        <v>2500</v>
      </c>
      <c r="AD1423" s="11" t="str">
        <f>HYPERLINK("http://www.crownpub.bc.ca/","http://www.crownpub.bc.ca/")</f>
        <v>http://www.crownpub.bc.ca/</v>
      </c>
      <c r="AE1423" t="s">
        <v>58</v>
      </c>
      <c r="AG1423" t="s">
        <v>63</v>
      </c>
      <c r="AH1423" s="11" t="str">
        <f t="shared" si="53"/>
        <v>mailto: soilterrain@victoria1.gov.bc.ca</v>
      </c>
    </row>
    <row r="1424" spans="1:34">
      <c r="A1424" t="s">
        <v>3361</v>
      </c>
      <c r="B1424" t="s">
        <v>56</v>
      </c>
      <c r="C1424" s="10" t="s">
        <v>3362</v>
      </c>
      <c r="D1424" t="s">
        <v>58</v>
      </c>
      <c r="E1424" t="s">
        <v>2931</v>
      </c>
      <c r="F1424" t="s">
        <v>3363</v>
      </c>
      <c r="G1424">
        <v>50000</v>
      </c>
      <c r="H1424">
        <v>1988</v>
      </c>
      <c r="I1424" t="s">
        <v>58</v>
      </c>
      <c r="J1424" t="s">
        <v>58</v>
      </c>
      <c r="K1424" t="s">
        <v>61</v>
      </c>
      <c r="L1424" t="s">
        <v>61</v>
      </c>
      <c r="M1424" t="s">
        <v>58</v>
      </c>
      <c r="Q1424" t="s">
        <v>58</v>
      </c>
      <c r="R1424" s="11" t="str">
        <f>HYPERLINK("\\imagefiles.bcgov\imagery\scanned_maps\moe_terrain_maps\Scanned_T_maps_all\K10\K10-1925","\\imagefiles.bcgov\imagery\scanned_maps\moe_terrain_maps\Scanned_T_maps_all\K10\K10-1925")</f>
        <v>\\imagefiles.bcgov\imagery\scanned_maps\moe_terrain_maps\Scanned_T_maps_all\K10\K10-1925</v>
      </c>
      <c r="S1424" t="s">
        <v>62</v>
      </c>
      <c r="T1424" s="11" t="str">
        <f>HYPERLINK("http://www.env.gov.bc.ca/esd/distdata/ecosystems/TEI_Scanned_Maps/K10/K10-1925","http://www.env.gov.bc.ca/esd/distdata/ecosystems/TEI_Scanned_Maps/K10/K10-1925")</f>
        <v>http://www.env.gov.bc.ca/esd/distdata/ecosystems/TEI_Scanned_Maps/K10/K10-1925</v>
      </c>
      <c r="U1424" t="s">
        <v>58</v>
      </c>
      <c r="V1424" t="s">
        <v>58</v>
      </c>
      <c r="W1424" t="s">
        <v>58</v>
      </c>
      <c r="X1424" t="s">
        <v>58</v>
      </c>
      <c r="Y1424" t="s">
        <v>58</v>
      </c>
      <c r="Z1424" t="s">
        <v>58</v>
      </c>
      <c r="AA1424" t="s">
        <v>58</v>
      </c>
      <c r="AC1424" t="s">
        <v>58</v>
      </c>
      <c r="AE1424" t="s">
        <v>58</v>
      </c>
      <c r="AG1424" t="s">
        <v>63</v>
      </c>
      <c r="AH1424" s="11" t="str">
        <f t="shared" si="53"/>
        <v>mailto: soilterrain@victoria1.gov.bc.ca</v>
      </c>
    </row>
    <row r="1425" spans="1:34">
      <c r="A1425" t="s">
        <v>3364</v>
      </c>
      <c r="B1425" t="s">
        <v>56</v>
      </c>
      <c r="C1425" s="10" t="s">
        <v>1377</v>
      </c>
      <c r="D1425" t="s">
        <v>58</v>
      </c>
      <c r="E1425" t="s">
        <v>3365</v>
      </c>
      <c r="F1425" t="s">
        <v>3366</v>
      </c>
      <c r="G1425">
        <v>50000</v>
      </c>
      <c r="H1425">
        <v>1988</v>
      </c>
      <c r="I1425" t="s">
        <v>2494</v>
      </c>
      <c r="J1425" t="s">
        <v>58</v>
      </c>
      <c r="K1425" t="s">
        <v>61</v>
      </c>
      <c r="L1425" t="s">
        <v>61</v>
      </c>
      <c r="M1425" t="s">
        <v>58</v>
      </c>
      <c r="Q1425" t="s">
        <v>58</v>
      </c>
      <c r="R1425" s="11" t="str">
        <f>HYPERLINK("\\imagefiles.bcgov\imagery\scanned_maps\moe_terrain_maps\Scanned_T_maps_all\K10\K10-1958","\\imagefiles.bcgov\imagery\scanned_maps\moe_terrain_maps\Scanned_T_maps_all\K10\K10-1958")</f>
        <v>\\imagefiles.bcgov\imagery\scanned_maps\moe_terrain_maps\Scanned_T_maps_all\K10\K10-1958</v>
      </c>
      <c r="S1425" t="s">
        <v>62</v>
      </c>
      <c r="T1425" s="11" t="str">
        <f>HYPERLINK("http://www.env.gov.bc.ca/esd/distdata/ecosystems/TEI_Scanned_Maps/K10/K10-1958","http://www.env.gov.bc.ca/esd/distdata/ecosystems/TEI_Scanned_Maps/K10/K10-1958")</f>
        <v>http://www.env.gov.bc.ca/esd/distdata/ecosystems/TEI_Scanned_Maps/K10/K10-1958</v>
      </c>
      <c r="U1425" t="s">
        <v>2487</v>
      </c>
      <c r="V1425" s="11" t="str">
        <f t="shared" ref="V1425:V1438" si="55">HYPERLINK("http://res.agr.ca/cansis/publications/surveys/bc/","http://res.agr.ca/cansis/publications/surveys/bc/")</f>
        <v>http://res.agr.ca/cansis/publications/surveys/bc/</v>
      </c>
      <c r="W1425" t="s">
        <v>2495</v>
      </c>
      <c r="X1425" s="11" t="str">
        <f t="shared" ref="X1425:X1436" si="56">HYPERLINK("http://www.em.gov.bc.ca/mining/geolsurv/terrain&amp;soils/frbcguid.htm","http://www.em.gov.bc.ca/mining/geolsurv/terrain&amp;soils/frbcguid.htm")</f>
        <v>http://www.em.gov.bc.ca/mining/geolsurv/terrain&amp;soils/frbcguid.htm</v>
      </c>
      <c r="Y1425" t="s">
        <v>2489</v>
      </c>
      <c r="Z1425" s="11" t="str">
        <f>HYPERLINK("http://www.em.gov.bc.ca/mining/geolsurv/terrain&amp;soils/frbcguid.htm","http://www.em.gov.bc.ca/mining/geolsurv/terrain&amp;soils/frbcguid.htm")</f>
        <v>http://www.em.gov.bc.ca/mining/geolsurv/terrain&amp;soils/frbcguid.htm</v>
      </c>
      <c r="AA1425" t="s">
        <v>269</v>
      </c>
      <c r="AB1425" s="11" t="str">
        <f>HYPERLINK("http://www.library.for.gov.bc.ca/#focus","http://www.library.for.gov.bc.ca/#focus")</f>
        <v>http://www.library.for.gov.bc.ca/#focus</v>
      </c>
      <c r="AC1425" t="s">
        <v>58</v>
      </c>
      <c r="AD1425" s="11" t="str">
        <f>HYPERLINK("http://www.env.gov.bc.ca/soils/project/report.html","http://www.env.gov.bc.ca/soils/project/report.html")</f>
        <v>http://www.env.gov.bc.ca/soils/project/report.html</v>
      </c>
      <c r="AE1425" t="s">
        <v>58</v>
      </c>
      <c r="AG1425" t="s">
        <v>63</v>
      </c>
      <c r="AH1425" s="11" t="str">
        <f t="shared" si="53"/>
        <v>mailto: soilterrain@victoria1.gov.bc.ca</v>
      </c>
    </row>
    <row r="1426" spans="1:34">
      <c r="A1426" t="s">
        <v>3367</v>
      </c>
      <c r="B1426" t="s">
        <v>56</v>
      </c>
      <c r="C1426" s="10" t="s">
        <v>1434</v>
      </c>
      <c r="D1426" t="s">
        <v>58</v>
      </c>
      <c r="E1426" t="s">
        <v>3119</v>
      </c>
      <c r="F1426" t="s">
        <v>3368</v>
      </c>
      <c r="G1426">
        <v>50000</v>
      </c>
      <c r="H1426">
        <v>1979</v>
      </c>
      <c r="I1426" t="s">
        <v>3121</v>
      </c>
      <c r="J1426" t="s">
        <v>58</v>
      </c>
      <c r="K1426" t="s">
        <v>61</v>
      </c>
      <c r="L1426" t="s">
        <v>61</v>
      </c>
      <c r="M1426" t="s">
        <v>58</v>
      </c>
      <c r="Q1426" t="s">
        <v>58</v>
      </c>
      <c r="R1426" s="11" t="str">
        <f>HYPERLINK("\\imagefiles.bcgov\imagery\scanned_maps\moe_terrain_maps\Scanned_T_maps_all\K11\K11-2099","\\imagefiles.bcgov\imagery\scanned_maps\moe_terrain_maps\Scanned_T_maps_all\K11\K11-2099")</f>
        <v>\\imagefiles.bcgov\imagery\scanned_maps\moe_terrain_maps\Scanned_T_maps_all\K11\K11-2099</v>
      </c>
      <c r="S1426" t="s">
        <v>62</v>
      </c>
      <c r="T1426" s="11" t="str">
        <f>HYPERLINK("http://www.env.gov.bc.ca/esd/distdata/ecosystems/TEI_Scanned_Maps/K11/K11-2099","http://www.env.gov.bc.ca/esd/distdata/ecosystems/TEI_Scanned_Maps/K11/K11-2099")</f>
        <v>http://www.env.gov.bc.ca/esd/distdata/ecosystems/TEI_Scanned_Maps/K11/K11-2099</v>
      </c>
      <c r="U1426" t="s">
        <v>2487</v>
      </c>
      <c r="V1426" s="11" t="str">
        <f t="shared" si="55"/>
        <v>http://res.agr.ca/cansis/publications/surveys/bc/</v>
      </c>
      <c r="W1426" t="s">
        <v>2495</v>
      </c>
      <c r="X1426" s="11" t="str">
        <f t="shared" si="56"/>
        <v>http://www.em.gov.bc.ca/mining/geolsurv/terrain&amp;soils/frbcguid.htm</v>
      </c>
      <c r="Y1426" t="s">
        <v>2489</v>
      </c>
      <c r="Z1426" s="11" t="str">
        <f>HYPERLINK("http://www.em.gov.bc.ca/mining/geolsurv/terrain&amp;soils/frbcguid.htm","http://www.em.gov.bc.ca/mining/geolsurv/terrain&amp;soils/frbcguid.htm")</f>
        <v>http://www.em.gov.bc.ca/mining/geolsurv/terrain&amp;soils/frbcguid.htm</v>
      </c>
      <c r="AA1426" t="s">
        <v>269</v>
      </c>
      <c r="AB1426" s="11" t="str">
        <f>HYPERLINK("http://www.library.for.gov.bc.ca/#focus","http://www.library.for.gov.bc.ca/#focus")</f>
        <v>http://www.library.for.gov.bc.ca/#focus</v>
      </c>
      <c r="AC1426" t="s">
        <v>3053</v>
      </c>
      <c r="AD1426" s="11" t="str">
        <f>HYPERLINK("http://www.prsss.ca/","http://www.prsss.ca/")</f>
        <v>http://www.prsss.ca/</v>
      </c>
      <c r="AE1426" t="s">
        <v>58</v>
      </c>
      <c r="AG1426" t="s">
        <v>63</v>
      </c>
      <c r="AH1426" s="11" t="str">
        <f t="shared" si="53"/>
        <v>mailto: soilterrain@victoria1.gov.bc.ca</v>
      </c>
    </row>
    <row r="1427" spans="1:34">
      <c r="A1427" t="s">
        <v>3369</v>
      </c>
      <c r="B1427" t="s">
        <v>56</v>
      </c>
      <c r="C1427" s="10" t="s">
        <v>1458</v>
      </c>
      <c r="D1427" t="s">
        <v>58</v>
      </c>
      <c r="E1427" t="s">
        <v>3125</v>
      </c>
      <c r="F1427" t="s">
        <v>3370</v>
      </c>
      <c r="G1427">
        <v>50000</v>
      </c>
      <c r="H1427">
        <v>1979</v>
      </c>
      <c r="I1427" t="s">
        <v>3127</v>
      </c>
      <c r="J1427" t="s">
        <v>58</v>
      </c>
      <c r="K1427" t="s">
        <v>61</v>
      </c>
      <c r="L1427" t="s">
        <v>61</v>
      </c>
      <c r="M1427" t="s">
        <v>58</v>
      </c>
      <c r="Q1427" t="s">
        <v>58</v>
      </c>
      <c r="R1427" s="11" t="str">
        <f>HYPERLINK("\\imagefiles.bcgov\imagery\scanned_maps\moe_terrain_maps\Scanned_T_maps_all\K11\K11-2155","\\imagefiles.bcgov\imagery\scanned_maps\moe_terrain_maps\Scanned_T_maps_all\K11\K11-2155")</f>
        <v>\\imagefiles.bcgov\imagery\scanned_maps\moe_terrain_maps\Scanned_T_maps_all\K11\K11-2155</v>
      </c>
      <c r="S1427" t="s">
        <v>62</v>
      </c>
      <c r="T1427" s="11" t="str">
        <f>HYPERLINK("http://www.env.gov.bc.ca/esd/distdata/ecosystems/TEI_Scanned_Maps/K11/K11-2155","http://www.env.gov.bc.ca/esd/distdata/ecosystems/TEI_Scanned_Maps/K11/K11-2155")</f>
        <v>http://www.env.gov.bc.ca/esd/distdata/ecosystems/TEI_Scanned_Maps/K11/K11-2155</v>
      </c>
      <c r="U1427" t="s">
        <v>2487</v>
      </c>
      <c r="V1427" s="11" t="str">
        <f t="shared" si="55"/>
        <v>http://res.agr.ca/cansis/publications/surveys/bc/</v>
      </c>
      <c r="W1427" t="s">
        <v>2495</v>
      </c>
      <c r="X1427" s="11" t="str">
        <f t="shared" si="56"/>
        <v>http://www.em.gov.bc.ca/mining/geolsurv/terrain&amp;soils/frbcguid.htm</v>
      </c>
      <c r="Y1427" t="s">
        <v>269</v>
      </c>
      <c r="Z1427" s="11" t="str">
        <f>HYPERLINK("http://www.library.for.gov.bc.ca/#focus","http://www.library.for.gov.bc.ca/#focus")</f>
        <v>http://www.library.for.gov.bc.ca/#focus</v>
      </c>
      <c r="AA1427" t="s">
        <v>3053</v>
      </c>
      <c r="AB1427" s="11" t="str">
        <f>HYPERLINK("http://www.prsss.ca/","http://www.prsss.ca/")</f>
        <v>http://www.prsss.ca/</v>
      </c>
      <c r="AC1427" t="s">
        <v>58</v>
      </c>
      <c r="AE1427" t="s">
        <v>58</v>
      </c>
      <c r="AG1427" t="s">
        <v>63</v>
      </c>
      <c r="AH1427" s="11" t="str">
        <f t="shared" si="53"/>
        <v>mailto: soilterrain@victoria1.gov.bc.ca</v>
      </c>
    </row>
    <row r="1428" spans="1:34">
      <c r="A1428" t="s">
        <v>3371</v>
      </c>
      <c r="B1428" t="s">
        <v>56</v>
      </c>
      <c r="C1428" s="10" t="s">
        <v>543</v>
      </c>
      <c r="D1428" t="s">
        <v>58</v>
      </c>
      <c r="E1428" t="s">
        <v>3024</v>
      </c>
      <c r="F1428" t="s">
        <v>3372</v>
      </c>
      <c r="G1428">
        <v>50000</v>
      </c>
      <c r="H1428">
        <v>1978</v>
      </c>
      <c r="I1428" t="s">
        <v>3026</v>
      </c>
      <c r="J1428" t="s">
        <v>58</v>
      </c>
      <c r="K1428" t="s">
        <v>58</v>
      </c>
      <c r="L1428" t="s">
        <v>61</v>
      </c>
      <c r="M1428" t="s">
        <v>58</v>
      </c>
      <c r="Q1428" t="s">
        <v>58</v>
      </c>
      <c r="R1428" s="11" t="str">
        <f>HYPERLINK("\\imagefiles.bcgov\imagery\scanned_maps\moe_terrain_maps\Scanned_T_maps_all\K08\K08-529","\\imagefiles.bcgov\imagery\scanned_maps\moe_terrain_maps\Scanned_T_maps_all\K08\K08-529")</f>
        <v>\\imagefiles.bcgov\imagery\scanned_maps\moe_terrain_maps\Scanned_T_maps_all\K08\K08-529</v>
      </c>
      <c r="S1428" t="s">
        <v>62</v>
      </c>
      <c r="T1428" s="11" t="str">
        <f>HYPERLINK("http://www.env.gov.bc.ca/esd/distdata/ecosystems/TEI_Scanned_Maps/K08/K08-529","http://www.env.gov.bc.ca/esd/distdata/ecosystems/TEI_Scanned_Maps/K08/K08-529")</f>
        <v>http://www.env.gov.bc.ca/esd/distdata/ecosystems/TEI_Scanned_Maps/K08/K08-529</v>
      </c>
      <c r="U1428" t="s">
        <v>2967</v>
      </c>
      <c r="V1428" s="11" t="str">
        <f t="shared" si="55"/>
        <v>http://res.agr.ca/cansis/publications/surveys/bc/</v>
      </c>
      <c r="W1428" t="s">
        <v>2495</v>
      </c>
      <c r="X1428" s="11" t="str">
        <f t="shared" si="56"/>
        <v>http://www.em.gov.bc.ca/mining/geolsurv/terrain&amp;soils/frbcguid.htm</v>
      </c>
      <c r="Y1428" t="s">
        <v>2489</v>
      </c>
      <c r="Z1428" s="11" t="str">
        <f t="shared" ref="Z1428:Z1438" si="57">HYPERLINK("http://www.em.gov.bc.ca/mining/geolsurv/terrain&amp;soils/frbcguid.htm","http://www.em.gov.bc.ca/mining/geolsurv/terrain&amp;soils/frbcguid.htm")</f>
        <v>http://www.em.gov.bc.ca/mining/geolsurv/terrain&amp;soils/frbcguid.htm</v>
      </c>
      <c r="AA1428" t="s">
        <v>2490</v>
      </c>
      <c r="AB1428" s="11" t="str">
        <f t="shared" ref="AB1428:AB1436" si="58">HYPERLINK("http://res.agr.ca/cansis/publications/surveys/bc/","http://res.agr.ca/cansis/publications/surveys/bc/")</f>
        <v>http://res.agr.ca/cansis/publications/surveys/bc/</v>
      </c>
      <c r="AC1428" t="s">
        <v>269</v>
      </c>
      <c r="AD1428" s="11" t="str">
        <f t="shared" ref="AD1428:AD1436" si="59">HYPERLINK("http://www.library.for.gov.bc.ca/#focus","http://www.library.for.gov.bc.ca/#focus")</f>
        <v>http://www.library.for.gov.bc.ca/#focus</v>
      </c>
      <c r="AE1428" t="s">
        <v>58</v>
      </c>
      <c r="AG1428" t="s">
        <v>63</v>
      </c>
      <c r="AH1428" s="11" t="str">
        <f t="shared" si="53"/>
        <v>mailto: soilterrain@victoria1.gov.bc.ca</v>
      </c>
    </row>
    <row r="1429" spans="1:34">
      <c r="A1429" t="s">
        <v>3373</v>
      </c>
      <c r="B1429" t="s">
        <v>56</v>
      </c>
      <c r="C1429" s="10" t="s">
        <v>540</v>
      </c>
      <c r="D1429" t="s">
        <v>58</v>
      </c>
      <c r="E1429" t="s">
        <v>3024</v>
      </c>
      <c r="F1429" t="s">
        <v>3374</v>
      </c>
      <c r="G1429">
        <v>50000</v>
      </c>
      <c r="H1429" t="s">
        <v>187</v>
      </c>
      <c r="I1429" t="s">
        <v>3026</v>
      </c>
      <c r="J1429" t="s">
        <v>58</v>
      </c>
      <c r="K1429" t="s">
        <v>58</v>
      </c>
      <c r="L1429" t="s">
        <v>61</v>
      </c>
      <c r="M1429" t="s">
        <v>58</v>
      </c>
      <c r="Q1429" t="s">
        <v>58</v>
      </c>
      <c r="R1429" s="11" t="str">
        <f>HYPERLINK("\\imagefiles.bcgov\imagery\scanned_maps\moe_terrain_maps\Scanned_T_maps_all\K08\K08-531","\\imagefiles.bcgov\imagery\scanned_maps\moe_terrain_maps\Scanned_T_maps_all\K08\K08-531")</f>
        <v>\\imagefiles.bcgov\imagery\scanned_maps\moe_terrain_maps\Scanned_T_maps_all\K08\K08-531</v>
      </c>
      <c r="S1429" t="s">
        <v>62</v>
      </c>
      <c r="T1429" s="11" t="str">
        <f>HYPERLINK("http://www.env.gov.bc.ca/esd/distdata/ecosystems/TEI_Scanned_Maps/K08/K08-531","http://www.env.gov.bc.ca/esd/distdata/ecosystems/TEI_Scanned_Maps/K08/K08-531")</f>
        <v>http://www.env.gov.bc.ca/esd/distdata/ecosystems/TEI_Scanned_Maps/K08/K08-531</v>
      </c>
      <c r="U1429" t="s">
        <v>2967</v>
      </c>
      <c r="V1429" s="11" t="str">
        <f t="shared" si="55"/>
        <v>http://res.agr.ca/cansis/publications/surveys/bc/</v>
      </c>
      <c r="W1429" t="s">
        <v>2495</v>
      </c>
      <c r="X1429" s="11" t="str">
        <f t="shared" si="56"/>
        <v>http://www.em.gov.bc.ca/mining/geolsurv/terrain&amp;soils/frbcguid.htm</v>
      </c>
      <c r="Y1429" t="s">
        <v>2489</v>
      </c>
      <c r="Z1429" s="11" t="str">
        <f t="shared" si="57"/>
        <v>http://www.em.gov.bc.ca/mining/geolsurv/terrain&amp;soils/frbcguid.htm</v>
      </c>
      <c r="AA1429" t="s">
        <v>2490</v>
      </c>
      <c r="AB1429" s="11" t="str">
        <f t="shared" si="58"/>
        <v>http://res.agr.ca/cansis/publications/surveys/bc/</v>
      </c>
      <c r="AC1429" t="s">
        <v>269</v>
      </c>
      <c r="AD1429" s="11" t="str">
        <f t="shared" si="59"/>
        <v>http://www.library.for.gov.bc.ca/#focus</v>
      </c>
      <c r="AE1429" t="s">
        <v>58</v>
      </c>
      <c r="AG1429" t="s">
        <v>63</v>
      </c>
      <c r="AH1429" s="11" t="str">
        <f t="shared" si="53"/>
        <v>mailto: soilterrain@victoria1.gov.bc.ca</v>
      </c>
    </row>
    <row r="1430" spans="1:34">
      <c r="A1430" t="s">
        <v>3375</v>
      </c>
      <c r="B1430" t="s">
        <v>56</v>
      </c>
      <c r="C1430" s="10" t="s">
        <v>1104</v>
      </c>
      <c r="D1430" t="s">
        <v>58</v>
      </c>
      <c r="E1430" t="s">
        <v>3024</v>
      </c>
      <c r="F1430" t="s">
        <v>3376</v>
      </c>
      <c r="G1430">
        <v>50000</v>
      </c>
      <c r="H1430">
        <v>1981</v>
      </c>
      <c r="I1430" t="s">
        <v>3026</v>
      </c>
      <c r="J1430" t="s">
        <v>58</v>
      </c>
      <c r="K1430" t="s">
        <v>58</v>
      </c>
      <c r="L1430" t="s">
        <v>61</v>
      </c>
      <c r="M1430" t="s">
        <v>58</v>
      </c>
      <c r="Q1430" t="s">
        <v>58</v>
      </c>
      <c r="R1430" s="11" t="str">
        <f>HYPERLINK("\\imagefiles.bcgov\imagery\scanned_maps\moe_terrain_maps\Scanned_T_maps_all\K08\K08-533","\\imagefiles.bcgov\imagery\scanned_maps\moe_terrain_maps\Scanned_T_maps_all\K08\K08-533")</f>
        <v>\\imagefiles.bcgov\imagery\scanned_maps\moe_terrain_maps\Scanned_T_maps_all\K08\K08-533</v>
      </c>
      <c r="S1430" t="s">
        <v>62</v>
      </c>
      <c r="T1430" s="11" t="str">
        <f>HYPERLINK("http://www.env.gov.bc.ca/esd/distdata/ecosystems/TEI_Scanned_Maps/K08/K08-533","http://www.env.gov.bc.ca/esd/distdata/ecosystems/TEI_Scanned_Maps/K08/K08-533")</f>
        <v>http://www.env.gov.bc.ca/esd/distdata/ecosystems/TEI_Scanned_Maps/K08/K08-533</v>
      </c>
      <c r="U1430" t="s">
        <v>2967</v>
      </c>
      <c r="V1430" s="11" t="str">
        <f t="shared" si="55"/>
        <v>http://res.agr.ca/cansis/publications/surveys/bc/</v>
      </c>
      <c r="W1430" t="s">
        <v>2495</v>
      </c>
      <c r="X1430" s="11" t="str">
        <f t="shared" si="56"/>
        <v>http://www.em.gov.bc.ca/mining/geolsurv/terrain&amp;soils/frbcguid.htm</v>
      </c>
      <c r="Y1430" t="s">
        <v>2489</v>
      </c>
      <c r="Z1430" s="11" t="str">
        <f t="shared" si="57"/>
        <v>http://www.em.gov.bc.ca/mining/geolsurv/terrain&amp;soils/frbcguid.htm</v>
      </c>
      <c r="AA1430" t="s">
        <v>2490</v>
      </c>
      <c r="AB1430" s="11" t="str">
        <f t="shared" si="58"/>
        <v>http://res.agr.ca/cansis/publications/surveys/bc/</v>
      </c>
      <c r="AC1430" t="s">
        <v>269</v>
      </c>
      <c r="AD1430" s="11" t="str">
        <f t="shared" si="59"/>
        <v>http://www.library.for.gov.bc.ca/#focus</v>
      </c>
      <c r="AE1430" t="s">
        <v>58</v>
      </c>
      <c r="AG1430" t="s">
        <v>63</v>
      </c>
      <c r="AH1430" s="11" t="str">
        <f t="shared" si="53"/>
        <v>mailto: soilterrain@victoria1.gov.bc.ca</v>
      </c>
    </row>
    <row r="1431" spans="1:34">
      <c r="A1431" t="s">
        <v>3377</v>
      </c>
      <c r="B1431" t="s">
        <v>56</v>
      </c>
      <c r="C1431" s="10" t="s">
        <v>1106</v>
      </c>
      <c r="D1431" t="s">
        <v>58</v>
      </c>
      <c r="E1431" t="s">
        <v>3024</v>
      </c>
      <c r="F1431" t="s">
        <v>3378</v>
      </c>
      <c r="G1431">
        <v>50000</v>
      </c>
      <c r="H1431">
        <v>1981</v>
      </c>
      <c r="I1431" t="s">
        <v>3026</v>
      </c>
      <c r="J1431" t="s">
        <v>58</v>
      </c>
      <c r="K1431" t="s">
        <v>58</v>
      </c>
      <c r="L1431" t="s">
        <v>61</v>
      </c>
      <c r="M1431" t="s">
        <v>58</v>
      </c>
      <c r="Q1431" t="s">
        <v>58</v>
      </c>
      <c r="R1431" s="11" t="str">
        <f>HYPERLINK("\\imagefiles.bcgov\imagery\scanned_maps\moe_terrain_maps\Scanned_T_maps_all\K08\K08-534","\\imagefiles.bcgov\imagery\scanned_maps\moe_terrain_maps\Scanned_T_maps_all\K08\K08-534")</f>
        <v>\\imagefiles.bcgov\imagery\scanned_maps\moe_terrain_maps\Scanned_T_maps_all\K08\K08-534</v>
      </c>
      <c r="S1431" t="s">
        <v>62</v>
      </c>
      <c r="T1431" s="11" t="str">
        <f>HYPERLINK("http://www.env.gov.bc.ca/esd/distdata/ecosystems/TEI_Scanned_Maps/K08/K08-534","http://www.env.gov.bc.ca/esd/distdata/ecosystems/TEI_Scanned_Maps/K08/K08-534")</f>
        <v>http://www.env.gov.bc.ca/esd/distdata/ecosystems/TEI_Scanned_Maps/K08/K08-534</v>
      </c>
      <c r="U1431" t="s">
        <v>2967</v>
      </c>
      <c r="V1431" s="11" t="str">
        <f t="shared" si="55"/>
        <v>http://res.agr.ca/cansis/publications/surveys/bc/</v>
      </c>
      <c r="W1431" t="s">
        <v>2495</v>
      </c>
      <c r="X1431" s="11" t="str">
        <f t="shared" si="56"/>
        <v>http://www.em.gov.bc.ca/mining/geolsurv/terrain&amp;soils/frbcguid.htm</v>
      </c>
      <c r="Y1431" t="s">
        <v>2489</v>
      </c>
      <c r="Z1431" s="11" t="str">
        <f t="shared" si="57"/>
        <v>http://www.em.gov.bc.ca/mining/geolsurv/terrain&amp;soils/frbcguid.htm</v>
      </c>
      <c r="AA1431" t="s">
        <v>2490</v>
      </c>
      <c r="AB1431" s="11" t="str">
        <f t="shared" si="58"/>
        <v>http://res.agr.ca/cansis/publications/surveys/bc/</v>
      </c>
      <c r="AC1431" t="s">
        <v>269</v>
      </c>
      <c r="AD1431" s="11" t="str">
        <f t="shared" si="59"/>
        <v>http://www.library.for.gov.bc.ca/#focus</v>
      </c>
      <c r="AE1431" t="s">
        <v>58</v>
      </c>
      <c r="AG1431" t="s">
        <v>63</v>
      </c>
      <c r="AH1431" s="11" t="str">
        <f t="shared" si="53"/>
        <v>mailto: soilterrain@victoria1.gov.bc.ca</v>
      </c>
    </row>
    <row r="1432" spans="1:34">
      <c r="A1432" t="s">
        <v>3379</v>
      </c>
      <c r="B1432" t="s">
        <v>56</v>
      </c>
      <c r="C1432" s="10" t="s">
        <v>1108</v>
      </c>
      <c r="D1432" t="s">
        <v>61</v>
      </c>
      <c r="E1432" t="s">
        <v>3024</v>
      </c>
      <c r="F1432" t="s">
        <v>3380</v>
      </c>
      <c r="G1432">
        <v>50000</v>
      </c>
      <c r="H1432">
        <v>1981</v>
      </c>
      <c r="I1432" t="s">
        <v>3026</v>
      </c>
      <c r="J1432" t="s">
        <v>58</v>
      </c>
      <c r="K1432" t="s">
        <v>58</v>
      </c>
      <c r="L1432" t="s">
        <v>61</v>
      </c>
      <c r="M1432" t="s">
        <v>58</v>
      </c>
      <c r="Q1432" t="s">
        <v>58</v>
      </c>
      <c r="R1432" s="11" t="str">
        <f>HYPERLINK("\\imagefiles.bcgov\imagery\scanned_maps\moe_terrain_maps\Scanned_T_maps_all\K08\K08-537","\\imagefiles.bcgov\imagery\scanned_maps\moe_terrain_maps\Scanned_T_maps_all\K08\K08-537")</f>
        <v>\\imagefiles.bcgov\imagery\scanned_maps\moe_terrain_maps\Scanned_T_maps_all\K08\K08-537</v>
      </c>
      <c r="S1432" t="s">
        <v>62</v>
      </c>
      <c r="T1432" s="11" t="str">
        <f>HYPERLINK("http://www.env.gov.bc.ca/esd/distdata/ecosystems/TEI_Scanned_Maps/K08/K08-537","http://www.env.gov.bc.ca/esd/distdata/ecosystems/TEI_Scanned_Maps/K08/K08-537")</f>
        <v>http://www.env.gov.bc.ca/esd/distdata/ecosystems/TEI_Scanned_Maps/K08/K08-537</v>
      </c>
      <c r="U1432" t="s">
        <v>2967</v>
      </c>
      <c r="V1432" s="11" t="str">
        <f t="shared" si="55"/>
        <v>http://res.agr.ca/cansis/publications/surveys/bc/</v>
      </c>
      <c r="W1432" t="s">
        <v>2495</v>
      </c>
      <c r="X1432" s="11" t="str">
        <f t="shared" si="56"/>
        <v>http://www.em.gov.bc.ca/mining/geolsurv/terrain&amp;soils/frbcguid.htm</v>
      </c>
      <c r="Y1432" t="s">
        <v>2489</v>
      </c>
      <c r="Z1432" s="11" t="str">
        <f t="shared" si="57"/>
        <v>http://www.em.gov.bc.ca/mining/geolsurv/terrain&amp;soils/frbcguid.htm</v>
      </c>
      <c r="AA1432" t="s">
        <v>2490</v>
      </c>
      <c r="AB1432" s="11" t="str">
        <f t="shared" si="58"/>
        <v>http://res.agr.ca/cansis/publications/surveys/bc/</v>
      </c>
      <c r="AC1432" t="s">
        <v>269</v>
      </c>
      <c r="AD1432" s="11" t="str">
        <f t="shared" si="59"/>
        <v>http://www.library.for.gov.bc.ca/#focus</v>
      </c>
      <c r="AE1432" t="s">
        <v>58</v>
      </c>
      <c r="AG1432" t="s">
        <v>63</v>
      </c>
      <c r="AH1432" s="11" t="str">
        <f t="shared" si="53"/>
        <v>mailto: soilterrain@victoria1.gov.bc.ca</v>
      </c>
    </row>
    <row r="1433" spans="1:34">
      <c r="A1433" t="s">
        <v>3381</v>
      </c>
      <c r="B1433" t="s">
        <v>56</v>
      </c>
      <c r="C1433" s="10" t="s">
        <v>1110</v>
      </c>
      <c r="D1433" t="s">
        <v>58</v>
      </c>
      <c r="E1433" t="s">
        <v>3024</v>
      </c>
      <c r="F1433" t="s">
        <v>3382</v>
      </c>
      <c r="G1433">
        <v>50000</v>
      </c>
      <c r="H1433">
        <v>1981</v>
      </c>
      <c r="I1433" t="s">
        <v>3026</v>
      </c>
      <c r="J1433" t="s">
        <v>58</v>
      </c>
      <c r="K1433" t="s">
        <v>58</v>
      </c>
      <c r="L1433" t="s">
        <v>61</v>
      </c>
      <c r="M1433" t="s">
        <v>58</v>
      </c>
      <c r="Q1433" t="s">
        <v>58</v>
      </c>
      <c r="R1433" s="11" t="str">
        <f>HYPERLINK("\\imagefiles.bcgov\imagery\scanned_maps\moe_terrain_maps\Scanned_T_maps_all\K08\K08-539","\\imagefiles.bcgov\imagery\scanned_maps\moe_terrain_maps\Scanned_T_maps_all\K08\K08-539")</f>
        <v>\\imagefiles.bcgov\imagery\scanned_maps\moe_terrain_maps\Scanned_T_maps_all\K08\K08-539</v>
      </c>
      <c r="S1433" t="s">
        <v>62</v>
      </c>
      <c r="T1433" s="11" t="str">
        <f>HYPERLINK("http://www.env.gov.bc.ca/esd/distdata/ecosystems/TEI_Scanned_Maps/K08/K08-539","http://www.env.gov.bc.ca/esd/distdata/ecosystems/TEI_Scanned_Maps/K08/K08-539")</f>
        <v>http://www.env.gov.bc.ca/esd/distdata/ecosystems/TEI_Scanned_Maps/K08/K08-539</v>
      </c>
      <c r="U1433" t="s">
        <v>2967</v>
      </c>
      <c r="V1433" s="11" t="str">
        <f t="shared" si="55"/>
        <v>http://res.agr.ca/cansis/publications/surveys/bc/</v>
      </c>
      <c r="W1433" t="s">
        <v>2495</v>
      </c>
      <c r="X1433" s="11" t="str">
        <f t="shared" si="56"/>
        <v>http://www.em.gov.bc.ca/mining/geolsurv/terrain&amp;soils/frbcguid.htm</v>
      </c>
      <c r="Y1433" t="s">
        <v>2489</v>
      </c>
      <c r="Z1433" s="11" t="str">
        <f t="shared" si="57"/>
        <v>http://www.em.gov.bc.ca/mining/geolsurv/terrain&amp;soils/frbcguid.htm</v>
      </c>
      <c r="AA1433" t="s">
        <v>2490</v>
      </c>
      <c r="AB1433" s="11" t="str">
        <f t="shared" si="58"/>
        <v>http://res.agr.ca/cansis/publications/surveys/bc/</v>
      </c>
      <c r="AC1433" t="s">
        <v>269</v>
      </c>
      <c r="AD1433" s="11" t="str">
        <f t="shared" si="59"/>
        <v>http://www.library.for.gov.bc.ca/#focus</v>
      </c>
      <c r="AE1433" t="s">
        <v>58</v>
      </c>
      <c r="AG1433" t="s">
        <v>63</v>
      </c>
      <c r="AH1433" s="11" t="str">
        <f t="shared" si="53"/>
        <v>mailto: soilterrain@victoria1.gov.bc.ca</v>
      </c>
    </row>
    <row r="1434" spans="1:34">
      <c r="A1434" t="s">
        <v>3383</v>
      </c>
      <c r="B1434" t="s">
        <v>56</v>
      </c>
      <c r="C1434" s="10" t="s">
        <v>1112</v>
      </c>
      <c r="D1434" t="s">
        <v>58</v>
      </c>
      <c r="E1434" t="s">
        <v>3024</v>
      </c>
      <c r="F1434" t="s">
        <v>3384</v>
      </c>
      <c r="G1434">
        <v>50000</v>
      </c>
      <c r="H1434">
        <v>1981</v>
      </c>
      <c r="I1434" t="s">
        <v>3026</v>
      </c>
      <c r="J1434" t="s">
        <v>58</v>
      </c>
      <c r="K1434" t="s">
        <v>58</v>
      </c>
      <c r="L1434" t="s">
        <v>61</v>
      </c>
      <c r="M1434" t="s">
        <v>58</v>
      </c>
      <c r="Q1434" t="s">
        <v>58</v>
      </c>
      <c r="R1434" s="11" t="str">
        <f>HYPERLINK("\\imagefiles.bcgov\imagery\scanned_maps\moe_terrain_maps\Scanned_T_maps_all\K08\K08-541","\\imagefiles.bcgov\imagery\scanned_maps\moe_terrain_maps\Scanned_T_maps_all\K08\K08-541")</f>
        <v>\\imagefiles.bcgov\imagery\scanned_maps\moe_terrain_maps\Scanned_T_maps_all\K08\K08-541</v>
      </c>
      <c r="S1434" t="s">
        <v>62</v>
      </c>
      <c r="T1434" s="11" t="str">
        <f>HYPERLINK("http://www.env.gov.bc.ca/esd/distdata/ecosystems/TEI_Scanned_Maps/K08/K08-541","http://www.env.gov.bc.ca/esd/distdata/ecosystems/TEI_Scanned_Maps/K08/K08-541")</f>
        <v>http://www.env.gov.bc.ca/esd/distdata/ecosystems/TEI_Scanned_Maps/K08/K08-541</v>
      </c>
      <c r="U1434" t="s">
        <v>2967</v>
      </c>
      <c r="V1434" s="11" t="str">
        <f t="shared" si="55"/>
        <v>http://res.agr.ca/cansis/publications/surveys/bc/</v>
      </c>
      <c r="W1434" t="s">
        <v>2495</v>
      </c>
      <c r="X1434" s="11" t="str">
        <f t="shared" si="56"/>
        <v>http://www.em.gov.bc.ca/mining/geolsurv/terrain&amp;soils/frbcguid.htm</v>
      </c>
      <c r="Y1434" t="s">
        <v>2489</v>
      </c>
      <c r="Z1434" s="11" t="str">
        <f t="shared" si="57"/>
        <v>http://www.em.gov.bc.ca/mining/geolsurv/terrain&amp;soils/frbcguid.htm</v>
      </c>
      <c r="AA1434" t="s">
        <v>2490</v>
      </c>
      <c r="AB1434" s="11" t="str">
        <f t="shared" si="58"/>
        <v>http://res.agr.ca/cansis/publications/surveys/bc/</v>
      </c>
      <c r="AC1434" t="s">
        <v>269</v>
      </c>
      <c r="AD1434" s="11" t="str">
        <f t="shared" si="59"/>
        <v>http://www.library.for.gov.bc.ca/#focus</v>
      </c>
      <c r="AE1434" t="s">
        <v>58</v>
      </c>
      <c r="AG1434" t="s">
        <v>63</v>
      </c>
      <c r="AH1434" s="11" t="str">
        <f t="shared" si="53"/>
        <v>mailto: soilterrain@victoria1.gov.bc.ca</v>
      </c>
    </row>
    <row r="1435" spans="1:34">
      <c r="A1435" t="s">
        <v>3385</v>
      </c>
      <c r="B1435" t="s">
        <v>56</v>
      </c>
      <c r="C1435" s="10" t="s">
        <v>496</v>
      </c>
      <c r="D1435" t="s">
        <v>58</v>
      </c>
      <c r="E1435" t="s">
        <v>3024</v>
      </c>
      <c r="F1435" t="s">
        <v>3386</v>
      </c>
      <c r="G1435">
        <v>50000</v>
      </c>
      <c r="H1435">
        <v>1981</v>
      </c>
      <c r="I1435" t="s">
        <v>3026</v>
      </c>
      <c r="J1435" t="s">
        <v>58</v>
      </c>
      <c r="K1435" t="s">
        <v>58</v>
      </c>
      <c r="L1435" t="s">
        <v>61</v>
      </c>
      <c r="M1435" t="s">
        <v>58</v>
      </c>
      <c r="Q1435" t="s">
        <v>58</v>
      </c>
      <c r="R1435" s="11" t="str">
        <f>HYPERLINK("\\imagefiles.bcgov\imagery\scanned_maps\moe_terrain_maps\Scanned_T_maps_all\K08\K08-543","\\imagefiles.bcgov\imagery\scanned_maps\moe_terrain_maps\Scanned_T_maps_all\K08\K08-543")</f>
        <v>\\imagefiles.bcgov\imagery\scanned_maps\moe_terrain_maps\Scanned_T_maps_all\K08\K08-543</v>
      </c>
      <c r="S1435" t="s">
        <v>62</v>
      </c>
      <c r="T1435" s="11" t="str">
        <f>HYPERLINK("http://www.env.gov.bc.ca/esd/distdata/ecosystems/TEI_Scanned_Maps/K08/K08-543","http://www.env.gov.bc.ca/esd/distdata/ecosystems/TEI_Scanned_Maps/K08/K08-543")</f>
        <v>http://www.env.gov.bc.ca/esd/distdata/ecosystems/TEI_Scanned_Maps/K08/K08-543</v>
      </c>
      <c r="U1435" t="s">
        <v>2967</v>
      </c>
      <c r="V1435" s="11" t="str">
        <f t="shared" si="55"/>
        <v>http://res.agr.ca/cansis/publications/surveys/bc/</v>
      </c>
      <c r="W1435" t="s">
        <v>2495</v>
      </c>
      <c r="X1435" s="11" t="str">
        <f t="shared" si="56"/>
        <v>http://www.em.gov.bc.ca/mining/geolsurv/terrain&amp;soils/frbcguid.htm</v>
      </c>
      <c r="Y1435" t="s">
        <v>2489</v>
      </c>
      <c r="Z1435" s="11" t="str">
        <f t="shared" si="57"/>
        <v>http://www.em.gov.bc.ca/mining/geolsurv/terrain&amp;soils/frbcguid.htm</v>
      </c>
      <c r="AA1435" t="s">
        <v>2490</v>
      </c>
      <c r="AB1435" s="11" t="str">
        <f t="shared" si="58"/>
        <v>http://res.agr.ca/cansis/publications/surveys/bc/</v>
      </c>
      <c r="AC1435" t="s">
        <v>269</v>
      </c>
      <c r="AD1435" s="11" t="str">
        <f t="shared" si="59"/>
        <v>http://www.library.for.gov.bc.ca/#focus</v>
      </c>
      <c r="AE1435" t="s">
        <v>58</v>
      </c>
      <c r="AG1435" t="s">
        <v>63</v>
      </c>
      <c r="AH1435" s="11" t="str">
        <f t="shared" si="53"/>
        <v>mailto: soilterrain@victoria1.gov.bc.ca</v>
      </c>
    </row>
    <row r="1436" spans="1:34">
      <c r="A1436" t="s">
        <v>3387</v>
      </c>
      <c r="B1436" t="s">
        <v>56</v>
      </c>
      <c r="C1436" s="10" t="s">
        <v>500</v>
      </c>
      <c r="D1436" t="s">
        <v>61</v>
      </c>
      <c r="E1436" t="s">
        <v>3024</v>
      </c>
      <c r="F1436" t="s">
        <v>3388</v>
      </c>
      <c r="G1436">
        <v>50000</v>
      </c>
      <c r="H1436">
        <v>1981</v>
      </c>
      <c r="I1436" t="s">
        <v>3026</v>
      </c>
      <c r="J1436" t="s">
        <v>58</v>
      </c>
      <c r="K1436" t="s">
        <v>58</v>
      </c>
      <c r="L1436" t="s">
        <v>61</v>
      </c>
      <c r="M1436" t="s">
        <v>58</v>
      </c>
      <c r="Q1436" t="s">
        <v>58</v>
      </c>
      <c r="R1436" s="11" t="str">
        <f>HYPERLINK("\\imagefiles.bcgov\imagery\scanned_maps\moe_terrain_maps\Scanned_T_maps_all\K08\K08-545","\\imagefiles.bcgov\imagery\scanned_maps\moe_terrain_maps\Scanned_T_maps_all\K08\K08-545")</f>
        <v>\\imagefiles.bcgov\imagery\scanned_maps\moe_terrain_maps\Scanned_T_maps_all\K08\K08-545</v>
      </c>
      <c r="S1436" t="s">
        <v>62</v>
      </c>
      <c r="T1436" s="11" t="str">
        <f>HYPERLINK("http://www.env.gov.bc.ca/esd/distdata/ecosystems/TEI_Scanned_Maps/K08/K08-545","http://www.env.gov.bc.ca/esd/distdata/ecosystems/TEI_Scanned_Maps/K08/K08-545")</f>
        <v>http://www.env.gov.bc.ca/esd/distdata/ecosystems/TEI_Scanned_Maps/K08/K08-545</v>
      </c>
      <c r="U1436" t="s">
        <v>2967</v>
      </c>
      <c r="V1436" s="11" t="str">
        <f t="shared" si="55"/>
        <v>http://res.agr.ca/cansis/publications/surveys/bc/</v>
      </c>
      <c r="W1436" t="s">
        <v>2495</v>
      </c>
      <c r="X1436" s="11" t="str">
        <f t="shared" si="56"/>
        <v>http://www.em.gov.bc.ca/mining/geolsurv/terrain&amp;soils/frbcguid.htm</v>
      </c>
      <c r="Y1436" t="s">
        <v>2489</v>
      </c>
      <c r="Z1436" s="11" t="str">
        <f t="shared" si="57"/>
        <v>http://www.em.gov.bc.ca/mining/geolsurv/terrain&amp;soils/frbcguid.htm</v>
      </c>
      <c r="AA1436" t="s">
        <v>2490</v>
      </c>
      <c r="AB1436" s="11" t="str">
        <f t="shared" si="58"/>
        <v>http://res.agr.ca/cansis/publications/surveys/bc/</v>
      </c>
      <c r="AC1436" t="s">
        <v>269</v>
      </c>
      <c r="AD1436" s="11" t="str">
        <f t="shared" si="59"/>
        <v>http://www.library.for.gov.bc.ca/#focus</v>
      </c>
      <c r="AE1436" t="s">
        <v>58</v>
      </c>
      <c r="AG1436" t="s">
        <v>63</v>
      </c>
      <c r="AH1436" s="11" t="str">
        <f t="shared" si="53"/>
        <v>mailto: soilterrain@victoria1.gov.bc.ca</v>
      </c>
    </row>
    <row r="1437" spans="1:34">
      <c r="A1437" t="s">
        <v>3389</v>
      </c>
      <c r="B1437" t="s">
        <v>56</v>
      </c>
      <c r="C1437" s="10" t="s">
        <v>79</v>
      </c>
      <c r="D1437" t="s">
        <v>58</v>
      </c>
      <c r="E1437" t="s">
        <v>3039</v>
      </c>
      <c r="F1437" t="s">
        <v>3390</v>
      </c>
      <c r="G1437">
        <v>50000</v>
      </c>
      <c r="H1437">
        <v>1981</v>
      </c>
      <c r="I1437" t="s">
        <v>3041</v>
      </c>
      <c r="J1437" t="s">
        <v>58</v>
      </c>
      <c r="K1437" t="s">
        <v>61</v>
      </c>
      <c r="L1437" t="s">
        <v>61</v>
      </c>
      <c r="M1437" t="s">
        <v>58</v>
      </c>
      <c r="Q1437" t="s">
        <v>58</v>
      </c>
      <c r="R1437" s="11" t="str">
        <f>HYPERLINK("\\imagefiles.bcgov\imagery\scanned_maps\moe_terrain_maps\Scanned_T_maps_all\K08\K08-557","\\imagefiles.bcgov\imagery\scanned_maps\moe_terrain_maps\Scanned_T_maps_all\K08\K08-557")</f>
        <v>\\imagefiles.bcgov\imagery\scanned_maps\moe_terrain_maps\Scanned_T_maps_all\K08\K08-557</v>
      </c>
      <c r="S1437" t="s">
        <v>62</v>
      </c>
      <c r="T1437" s="11" t="str">
        <f>HYPERLINK("http://www.env.gov.bc.ca/esd/distdata/ecosystems/TEI_Scanned_Maps/K08/K08-557","http://www.env.gov.bc.ca/esd/distdata/ecosystems/TEI_Scanned_Maps/K08/K08-557")</f>
        <v>http://www.env.gov.bc.ca/esd/distdata/ecosystems/TEI_Scanned_Maps/K08/K08-557</v>
      </c>
      <c r="U1437" t="s">
        <v>2487</v>
      </c>
      <c r="V1437" s="11" t="str">
        <f t="shared" si="55"/>
        <v>http://res.agr.ca/cansis/publications/surveys/bc/</v>
      </c>
      <c r="W1437" t="s">
        <v>2488</v>
      </c>
      <c r="X1437" s="11" t="str">
        <f>HYPERLINK("http://res.agr.ca/cansis/publications/surveys/bc/","http://res.agr.ca/cansis/publications/surveys/bc/")</f>
        <v>http://res.agr.ca/cansis/publications/surveys/bc/</v>
      </c>
      <c r="Y1437" t="s">
        <v>2495</v>
      </c>
      <c r="Z1437" s="11" t="str">
        <f t="shared" si="57"/>
        <v>http://www.em.gov.bc.ca/mining/geolsurv/terrain&amp;soils/frbcguid.htm</v>
      </c>
      <c r="AA1437" t="s">
        <v>2489</v>
      </c>
      <c r="AB1437" s="11" t="str">
        <f>HYPERLINK("http://www.em.gov.bc.ca/mining/geolsurv/terrain&amp;soils/frbcguid.htm","http://www.em.gov.bc.ca/mining/geolsurv/terrain&amp;soils/frbcguid.htm")</f>
        <v>http://www.em.gov.bc.ca/mining/geolsurv/terrain&amp;soils/frbcguid.htm</v>
      </c>
      <c r="AC1437" t="s">
        <v>3042</v>
      </c>
      <c r="AD1437" s="11" t="str">
        <f>HYPERLINK("http://res.agr.ca/cansis/publications/surveys/bc/","http://res.agr.ca/cansis/publications/surveys/bc/")</f>
        <v>http://res.agr.ca/cansis/publications/surveys/bc/</v>
      </c>
      <c r="AE1437" t="s">
        <v>269</v>
      </c>
      <c r="AF1437" s="11" t="str">
        <f>HYPERLINK("http://www.library.for.gov.bc.ca/#focus","http://www.library.for.gov.bc.ca/#focus")</f>
        <v>http://www.library.for.gov.bc.ca/#focus</v>
      </c>
      <c r="AG1437" t="s">
        <v>63</v>
      </c>
      <c r="AH1437" s="11" t="str">
        <f t="shared" si="53"/>
        <v>mailto: soilterrain@victoria1.gov.bc.ca</v>
      </c>
    </row>
    <row r="1438" spans="1:34">
      <c r="A1438" t="s">
        <v>3391</v>
      </c>
      <c r="B1438" t="s">
        <v>56</v>
      </c>
      <c r="C1438" s="10" t="s">
        <v>84</v>
      </c>
      <c r="D1438" t="s">
        <v>58</v>
      </c>
      <c r="E1438" t="s">
        <v>3039</v>
      </c>
      <c r="F1438" t="s">
        <v>3392</v>
      </c>
      <c r="G1438">
        <v>50000</v>
      </c>
      <c r="H1438">
        <v>1978</v>
      </c>
      <c r="I1438" t="s">
        <v>3041</v>
      </c>
      <c r="J1438" t="s">
        <v>58</v>
      </c>
      <c r="K1438" t="s">
        <v>61</v>
      </c>
      <c r="L1438" t="s">
        <v>61</v>
      </c>
      <c r="M1438" t="s">
        <v>58</v>
      </c>
      <c r="Q1438" t="s">
        <v>58</v>
      </c>
      <c r="R1438" s="11" t="str">
        <f>HYPERLINK("\\imagefiles.bcgov\imagery\scanned_maps\moe_terrain_maps\Scanned_T_maps_all\K08\K08-559","\\imagefiles.bcgov\imagery\scanned_maps\moe_terrain_maps\Scanned_T_maps_all\K08\K08-559")</f>
        <v>\\imagefiles.bcgov\imagery\scanned_maps\moe_terrain_maps\Scanned_T_maps_all\K08\K08-559</v>
      </c>
      <c r="S1438" t="s">
        <v>62</v>
      </c>
      <c r="T1438" s="11" t="str">
        <f>HYPERLINK("http://www.env.gov.bc.ca/esd/distdata/ecosystems/TEI_Scanned_Maps/K08/K08-559","http://www.env.gov.bc.ca/esd/distdata/ecosystems/TEI_Scanned_Maps/K08/K08-559")</f>
        <v>http://www.env.gov.bc.ca/esd/distdata/ecosystems/TEI_Scanned_Maps/K08/K08-559</v>
      </c>
      <c r="U1438" t="s">
        <v>2487</v>
      </c>
      <c r="V1438" s="11" t="str">
        <f t="shared" si="55"/>
        <v>http://res.agr.ca/cansis/publications/surveys/bc/</v>
      </c>
      <c r="W1438" t="s">
        <v>2488</v>
      </c>
      <c r="X1438" s="11" t="str">
        <f>HYPERLINK("http://res.agr.ca/cansis/publications/surveys/bc/","http://res.agr.ca/cansis/publications/surveys/bc/")</f>
        <v>http://res.agr.ca/cansis/publications/surveys/bc/</v>
      </c>
      <c r="Y1438" t="s">
        <v>2495</v>
      </c>
      <c r="Z1438" s="11" t="str">
        <f t="shared" si="57"/>
        <v>http://www.em.gov.bc.ca/mining/geolsurv/terrain&amp;soils/frbcguid.htm</v>
      </c>
      <c r="AA1438" t="s">
        <v>2489</v>
      </c>
      <c r="AB1438" s="11" t="str">
        <f>HYPERLINK("http://www.em.gov.bc.ca/mining/geolsurv/terrain&amp;soils/frbcguid.htm","http://www.em.gov.bc.ca/mining/geolsurv/terrain&amp;soils/frbcguid.htm")</f>
        <v>http://www.em.gov.bc.ca/mining/geolsurv/terrain&amp;soils/frbcguid.htm</v>
      </c>
      <c r="AC1438" t="s">
        <v>3042</v>
      </c>
      <c r="AD1438" s="11" t="str">
        <f>HYPERLINK("http://res.agr.ca/cansis/publications/surveys/bc/","http://res.agr.ca/cansis/publications/surveys/bc/")</f>
        <v>http://res.agr.ca/cansis/publications/surveys/bc/</v>
      </c>
      <c r="AE1438" t="s">
        <v>269</v>
      </c>
      <c r="AF1438" s="11" t="str">
        <f>HYPERLINK("http://www.library.for.gov.bc.ca/#focus","http://www.library.for.gov.bc.ca/#focus")</f>
        <v>http://www.library.for.gov.bc.ca/#focus</v>
      </c>
      <c r="AG1438" t="s">
        <v>63</v>
      </c>
      <c r="AH1438" s="11" t="str">
        <f t="shared" si="53"/>
        <v>mailto: soilterrain@victoria1.gov.bc.ca</v>
      </c>
    </row>
    <row r="1439" spans="1:34">
      <c r="A1439" t="s">
        <v>3393</v>
      </c>
      <c r="B1439" t="s">
        <v>56</v>
      </c>
      <c r="C1439" s="10" t="s">
        <v>1114</v>
      </c>
      <c r="D1439" t="s">
        <v>58</v>
      </c>
      <c r="E1439" t="s">
        <v>3039</v>
      </c>
      <c r="F1439" t="s">
        <v>3394</v>
      </c>
      <c r="G1439">
        <v>50000</v>
      </c>
      <c r="H1439">
        <v>1981</v>
      </c>
      <c r="I1439" t="s">
        <v>3041</v>
      </c>
      <c r="J1439" t="s">
        <v>58</v>
      </c>
      <c r="K1439" t="s">
        <v>61</v>
      </c>
      <c r="L1439" t="s">
        <v>61</v>
      </c>
      <c r="M1439" t="s">
        <v>58</v>
      </c>
      <c r="Q1439" t="s">
        <v>58</v>
      </c>
      <c r="R1439" s="11" t="str">
        <f>HYPERLINK("\\imagefiles.bcgov\imagery\scanned_maps\moe_terrain_maps\Scanned_T_maps_all\K08\K08-561","\\imagefiles.bcgov\imagery\scanned_maps\moe_terrain_maps\Scanned_T_maps_all\K08\K08-561")</f>
        <v>\\imagefiles.bcgov\imagery\scanned_maps\moe_terrain_maps\Scanned_T_maps_all\K08\K08-561</v>
      </c>
      <c r="S1439" t="s">
        <v>62</v>
      </c>
      <c r="T1439" s="11" t="str">
        <f>HYPERLINK("http://www.env.gov.bc.ca/esd/distdata/ecosystems/TEI_Scanned_Maps/K08/K08-561","http://www.env.gov.bc.ca/esd/distdata/ecosystems/TEI_Scanned_Maps/K08/K08-561")</f>
        <v>http://www.env.gov.bc.ca/esd/distdata/ecosystems/TEI_Scanned_Maps/K08/K08-561</v>
      </c>
      <c r="U1439" t="s">
        <v>58</v>
      </c>
      <c r="V1439" t="s">
        <v>58</v>
      </c>
      <c r="W1439" t="s">
        <v>58</v>
      </c>
      <c r="X1439" t="s">
        <v>58</v>
      </c>
      <c r="Y1439" t="s">
        <v>58</v>
      </c>
      <c r="Z1439" t="s">
        <v>58</v>
      </c>
      <c r="AA1439" t="s">
        <v>58</v>
      </c>
      <c r="AC1439" t="s">
        <v>58</v>
      </c>
      <c r="AE1439" t="s">
        <v>58</v>
      </c>
      <c r="AG1439" t="s">
        <v>63</v>
      </c>
      <c r="AH1439" s="11" t="str">
        <f t="shared" si="53"/>
        <v>mailto: soilterrain@victoria1.gov.bc.ca</v>
      </c>
    </row>
    <row r="1440" spans="1:34">
      <c r="A1440" t="s">
        <v>3395</v>
      </c>
      <c r="B1440" t="s">
        <v>56</v>
      </c>
      <c r="C1440" s="10" t="s">
        <v>1116</v>
      </c>
      <c r="D1440" t="s">
        <v>58</v>
      </c>
      <c r="E1440" t="s">
        <v>3039</v>
      </c>
      <c r="F1440" t="s">
        <v>3396</v>
      </c>
      <c r="G1440">
        <v>50000</v>
      </c>
      <c r="H1440">
        <v>1980</v>
      </c>
      <c r="I1440" t="s">
        <v>3041</v>
      </c>
      <c r="J1440" t="s">
        <v>58</v>
      </c>
      <c r="K1440" t="s">
        <v>61</v>
      </c>
      <c r="L1440" t="s">
        <v>61</v>
      </c>
      <c r="M1440" t="s">
        <v>58</v>
      </c>
      <c r="Q1440" t="s">
        <v>58</v>
      </c>
      <c r="R1440" s="11" t="str">
        <f>HYPERLINK("\\imagefiles.bcgov\imagery\scanned_maps\moe_terrain_maps\Scanned_T_maps_all\K08\K08-563","\\imagefiles.bcgov\imagery\scanned_maps\moe_terrain_maps\Scanned_T_maps_all\K08\K08-563")</f>
        <v>\\imagefiles.bcgov\imagery\scanned_maps\moe_terrain_maps\Scanned_T_maps_all\K08\K08-563</v>
      </c>
      <c r="S1440" t="s">
        <v>62</v>
      </c>
      <c r="T1440" s="11" t="str">
        <f>HYPERLINK("http://www.env.gov.bc.ca/esd/distdata/ecosystems/TEI_Scanned_Maps/K08/K08-563","http://www.env.gov.bc.ca/esd/distdata/ecosystems/TEI_Scanned_Maps/K08/K08-563")</f>
        <v>http://www.env.gov.bc.ca/esd/distdata/ecosystems/TEI_Scanned_Maps/K08/K08-563</v>
      </c>
      <c r="U1440" t="s">
        <v>2487</v>
      </c>
      <c r="V1440" s="11" t="str">
        <f>HYPERLINK("http://res.agr.ca/cansis/publications/surveys/bc/","http://res.agr.ca/cansis/publications/surveys/bc/")</f>
        <v>http://res.agr.ca/cansis/publications/surveys/bc/</v>
      </c>
      <c r="W1440" t="s">
        <v>2488</v>
      </c>
      <c r="X1440" s="11" t="str">
        <f>HYPERLINK("http://res.agr.ca/cansis/publications/surveys/bc/","http://res.agr.ca/cansis/publications/surveys/bc/")</f>
        <v>http://res.agr.ca/cansis/publications/surveys/bc/</v>
      </c>
      <c r="Y1440" t="s">
        <v>2495</v>
      </c>
      <c r="Z1440" s="11" t="str">
        <f>HYPERLINK("http://www.em.gov.bc.ca/mining/geolsurv/terrain&amp;soils/frbcguid.htm","http://www.em.gov.bc.ca/mining/geolsurv/terrain&amp;soils/frbcguid.htm")</f>
        <v>http://www.em.gov.bc.ca/mining/geolsurv/terrain&amp;soils/frbcguid.htm</v>
      </c>
      <c r="AA1440" t="s">
        <v>2489</v>
      </c>
      <c r="AB1440" s="11" t="str">
        <f>HYPERLINK("http://www.em.gov.bc.ca/mining/geolsurv/terrain&amp;soils/frbcguid.htm","http://www.em.gov.bc.ca/mining/geolsurv/terrain&amp;soils/frbcguid.htm")</f>
        <v>http://www.em.gov.bc.ca/mining/geolsurv/terrain&amp;soils/frbcguid.htm</v>
      </c>
      <c r="AC1440" t="s">
        <v>3042</v>
      </c>
      <c r="AD1440" s="11" t="str">
        <f>HYPERLINK("http://res.agr.ca/cansis/publications/surveys/bc/","http://res.agr.ca/cansis/publications/surveys/bc/")</f>
        <v>http://res.agr.ca/cansis/publications/surveys/bc/</v>
      </c>
      <c r="AE1440" t="s">
        <v>269</v>
      </c>
      <c r="AF1440" s="11" t="str">
        <f>HYPERLINK("http://www.library.for.gov.bc.ca/#focus","http://www.library.for.gov.bc.ca/#focus")</f>
        <v>http://www.library.for.gov.bc.ca/#focus</v>
      </c>
      <c r="AG1440" t="s">
        <v>63</v>
      </c>
      <c r="AH1440" s="11" t="str">
        <f t="shared" si="53"/>
        <v>mailto: soilterrain@victoria1.gov.bc.ca</v>
      </c>
    </row>
    <row r="1441" spans="1:34">
      <c r="A1441" t="s">
        <v>3397</v>
      </c>
      <c r="B1441" t="s">
        <v>56</v>
      </c>
      <c r="C1441" s="10" t="s">
        <v>1118</v>
      </c>
      <c r="D1441" t="s">
        <v>58</v>
      </c>
      <c r="E1441" t="s">
        <v>3039</v>
      </c>
      <c r="F1441" t="s">
        <v>3398</v>
      </c>
      <c r="G1441">
        <v>50000</v>
      </c>
      <c r="H1441">
        <v>1978</v>
      </c>
      <c r="I1441" t="s">
        <v>3041</v>
      </c>
      <c r="J1441" t="s">
        <v>58</v>
      </c>
      <c r="K1441" t="s">
        <v>61</v>
      </c>
      <c r="L1441" t="s">
        <v>61</v>
      </c>
      <c r="M1441" t="s">
        <v>58</v>
      </c>
      <c r="Q1441" t="s">
        <v>58</v>
      </c>
      <c r="R1441" s="11" t="str">
        <f>HYPERLINK("\\imagefiles.bcgov\imagery\scanned_maps\moe_terrain_maps\Scanned_T_maps_all\K08\K08-565","\\imagefiles.bcgov\imagery\scanned_maps\moe_terrain_maps\Scanned_T_maps_all\K08\K08-565")</f>
        <v>\\imagefiles.bcgov\imagery\scanned_maps\moe_terrain_maps\Scanned_T_maps_all\K08\K08-565</v>
      </c>
      <c r="S1441" t="s">
        <v>62</v>
      </c>
      <c r="T1441" s="11" t="str">
        <f>HYPERLINK("http://www.env.gov.bc.ca/esd/distdata/ecosystems/TEI_Scanned_Maps/K08/K08-565","http://www.env.gov.bc.ca/esd/distdata/ecosystems/TEI_Scanned_Maps/K08/K08-565")</f>
        <v>http://www.env.gov.bc.ca/esd/distdata/ecosystems/TEI_Scanned_Maps/K08/K08-565</v>
      </c>
      <c r="U1441" t="s">
        <v>2487</v>
      </c>
      <c r="V1441" s="11" t="str">
        <f>HYPERLINK("http://res.agr.ca/cansis/publications/surveys/bc/","http://res.agr.ca/cansis/publications/surveys/bc/")</f>
        <v>http://res.agr.ca/cansis/publications/surveys/bc/</v>
      </c>
      <c r="W1441" t="s">
        <v>2488</v>
      </c>
      <c r="X1441" s="11" t="str">
        <f>HYPERLINK("http://res.agr.ca/cansis/publications/surveys/bc/","http://res.agr.ca/cansis/publications/surveys/bc/")</f>
        <v>http://res.agr.ca/cansis/publications/surveys/bc/</v>
      </c>
      <c r="Y1441" t="s">
        <v>2495</v>
      </c>
      <c r="Z1441" s="11" t="str">
        <f>HYPERLINK("http://www.em.gov.bc.ca/mining/geolsurv/terrain&amp;soils/frbcguid.htm","http://www.em.gov.bc.ca/mining/geolsurv/terrain&amp;soils/frbcguid.htm")</f>
        <v>http://www.em.gov.bc.ca/mining/geolsurv/terrain&amp;soils/frbcguid.htm</v>
      </c>
      <c r="AA1441" t="s">
        <v>2489</v>
      </c>
      <c r="AB1441" s="11" t="str">
        <f>HYPERLINK("http://www.em.gov.bc.ca/mining/geolsurv/terrain&amp;soils/frbcguid.htm","http://www.em.gov.bc.ca/mining/geolsurv/terrain&amp;soils/frbcguid.htm")</f>
        <v>http://www.em.gov.bc.ca/mining/geolsurv/terrain&amp;soils/frbcguid.htm</v>
      </c>
      <c r="AC1441" t="s">
        <v>3042</v>
      </c>
      <c r="AD1441" s="11" t="str">
        <f>HYPERLINK("http://res.agr.ca/cansis/publications/surveys/bc/","http://res.agr.ca/cansis/publications/surveys/bc/")</f>
        <v>http://res.agr.ca/cansis/publications/surveys/bc/</v>
      </c>
      <c r="AE1441" t="s">
        <v>269</v>
      </c>
      <c r="AF1441" s="11" t="str">
        <f>HYPERLINK("http://www.library.for.gov.bc.ca/#focus","http://www.library.for.gov.bc.ca/#focus")</f>
        <v>http://www.library.for.gov.bc.ca/#focus</v>
      </c>
      <c r="AG1441" t="s">
        <v>63</v>
      </c>
      <c r="AH1441" s="11" t="str">
        <f t="shared" si="53"/>
        <v>mailto: soilterrain@victoria1.gov.bc.ca</v>
      </c>
    </row>
    <row r="1442" spans="1:34">
      <c r="A1442" t="s">
        <v>3399</v>
      </c>
      <c r="B1442" t="s">
        <v>56</v>
      </c>
      <c r="C1442" s="10" t="s">
        <v>1120</v>
      </c>
      <c r="D1442" t="s">
        <v>58</v>
      </c>
      <c r="E1442" t="s">
        <v>3039</v>
      </c>
      <c r="F1442" t="s">
        <v>3400</v>
      </c>
      <c r="G1442">
        <v>50000</v>
      </c>
      <c r="H1442">
        <v>1980</v>
      </c>
      <c r="I1442" t="s">
        <v>3041</v>
      </c>
      <c r="J1442" t="s">
        <v>58</v>
      </c>
      <c r="K1442" t="s">
        <v>61</v>
      </c>
      <c r="L1442" t="s">
        <v>61</v>
      </c>
      <c r="M1442" t="s">
        <v>58</v>
      </c>
      <c r="Q1442" t="s">
        <v>58</v>
      </c>
      <c r="R1442" s="11" t="str">
        <f>HYPERLINK("\\imagefiles.bcgov\imagery\scanned_maps\moe_terrain_maps\Scanned_T_maps_all\K08\K08-567","\\imagefiles.bcgov\imagery\scanned_maps\moe_terrain_maps\Scanned_T_maps_all\K08\K08-567")</f>
        <v>\\imagefiles.bcgov\imagery\scanned_maps\moe_terrain_maps\Scanned_T_maps_all\K08\K08-567</v>
      </c>
      <c r="S1442" t="s">
        <v>62</v>
      </c>
      <c r="T1442" s="11" t="str">
        <f>HYPERLINK("http://www.env.gov.bc.ca/esd/distdata/ecosystems/TEI_Scanned_Maps/K08/K08-567","http://www.env.gov.bc.ca/esd/distdata/ecosystems/TEI_Scanned_Maps/K08/K08-567")</f>
        <v>http://www.env.gov.bc.ca/esd/distdata/ecosystems/TEI_Scanned_Maps/K08/K08-567</v>
      </c>
      <c r="U1442" t="s">
        <v>58</v>
      </c>
      <c r="V1442" t="s">
        <v>58</v>
      </c>
      <c r="W1442" t="s">
        <v>58</v>
      </c>
      <c r="X1442" t="s">
        <v>58</v>
      </c>
      <c r="Y1442" t="s">
        <v>58</v>
      </c>
      <c r="Z1442" t="s">
        <v>58</v>
      </c>
      <c r="AA1442" t="s">
        <v>58</v>
      </c>
      <c r="AC1442" t="s">
        <v>58</v>
      </c>
      <c r="AE1442" t="s">
        <v>58</v>
      </c>
      <c r="AG1442" t="s">
        <v>63</v>
      </c>
      <c r="AH1442" s="11" t="str">
        <f t="shared" si="53"/>
        <v>mailto: soilterrain@victoria1.gov.bc.ca</v>
      </c>
    </row>
    <row r="1443" spans="1:34">
      <c r="A1443" t="s">
        <v>3401</v>
      </c>
      <c r="B1443" t="s">
        <v>56</v>
      </c>
      <c r="C1443" s="10" t="s">
        <v>89</v>
      </c>
      <c r="D1443" t="s">
        <v>58</v>
      </c>
      <c r="E1443" t="s">
        <v>3039</v>
      </c>
      <c r="F1443" t="s">
        <v>3402</v>
      </c>
      <c r="G1443">
        <v>50000</v>
      </c>
      <c r="H1443">
        <v>1980</v>
      </c>
      <c r="I1443" t="s">
        <v>3041</v>
      </c>
      <c r="J1443" t="s">
        <v>58</v>
      </c>
      <c r="K1443" t="s">
        <v>61</v>
      </c>
      <c r="L1443" t="s">
        <v>61</v>
      </c>
      <c r="M1443" t="s">
        <v>58</v>
      </c>
      <c r="Q1443" t="s">
        <v>58</v>
      </c>
      <c r="R1443" s="11" t="str">
        <f>HYPERLINK("\\imagefiles.bcgov\imagery\scanned_maps\moe_terrain_maps\Scanned_T_maps_all\K08\K08-569","\\imagefiles.bcgov\imagery\scanned_maps\moe_terrain_maps\Scanned_T_maps_all\K08\K08-569")</f>
        <v>\\imagefiles.bcgov\imagery\scanned_maps\moe_terrain_maps\Scanned_T_maps_all\K08\K08-569</v>
      </c>
      <c r="S1443" t="s">
        <v>62</v>
      </c>
      <c r="T1443" s="11" t="str">
        <f>HYPERLINK("http://www.env.gov.bc.ca/esd/distdata/ecosystems/TEI_Scanned_Maps/K08/K08-569","http://www.env.gov.bc.ca/esd/distdata/ecosystems/TEI_Scanned_Maps/K08/K08-569")</f>
        <v>http://www.env.gov.bc.ca/esd/distdata/ecosystems/TEI_Scanned_Maps/K08/K08-569</v>
      </c>
      <c r="U1443" t="s">
        <v>2487</v>
      </c>
      <c r="V1443" s="11" t="str">
        <f t="shared" ref="V1443:V1452" si="60">HYPERLINK("http://res.agr.ca/cansis/publications/surveys/bc/","http://res.agr.ca/cansis/publications/surveys/bc/")</f>
        <v>http://res.agr.ca/cansis/publications/surveys/bc/</v>
      </c>
      <c r="W1443" t="s">
        <v>2488</v>
      </c>
      <c r="X1443" s="11" t="str">
        <f t="shared" ref="X1443:X1452" si="61">HYPERLINK("http://res.agr.ca/cansis/publications/surveys/bc/","http://res.agr.ca/cansis/publications/surveys/bc/")</f>
        <v>http://res.agr.ca/cansis/publications/surveys/bc/</v>
      </c>
      <c r="Y1443" t="s">
        <v>2495</v>
      </c>
      <c r="Z1443" s="11" t="str">
        <f t="shared" ref="Z1443:Z1452" si="62">HYPERLINK("http://www.em.gov.bc.ca/mining/geolsurv/terrain&amp;soils/frbcguid.htm","http://www.em.gov.bc.ca/mining/geolsurv/terrain&amp;soils/frbcguid.htm")</f>
        <v>http://www.em.gov.bc.ca/mining/geolsurv/terrain&amp;soils/frbcguid.htm</v>
      </c>
      <c r="AA1443" t="s">
        <v>2489</v>
      </c>
      <c r="AB1443" s="11" t="str">
        <f t="shared" ref="AB1443:AB1452" si="63">HYPERLINK("http://www.em.gov.bc.ca/mining/geolsurv/terrain&amp;soils/frbcguid.htm","http://www.em.gov.bc.ca/mining/geolsurv/terrain&amp;soils/frbcguid.htm")</f>
        <v>http://www.em.gov.bc.ca/mining/geolsurv/terrain&amp;soils/frbcguid.htm</v>
      </c>
      <c r="AC1443" t="s">
        <v>3042</v>
      </c>
      <c r="AD1443" s="11" t="str">
        <f t="shared" ref="AD1443:AD1452" si="64">HYPERLINK("http://res.agr.ca/cansis/publications/surveys/bc/","http://res.agr.ca/cansis/publications/surveys/bc/")</f>
        <v>http://res.agr.ca/cansis/publications/surveys/bc/</v>
      </c>
      <c r="AE1443" t="s">
        <v>269</v>
      </c>
      <c r="AF1443" s="11" t="str">
        <f t="shared" ref="AF1443:AF1452" si="65">HYPERLINK("http://www.library.for.gov.bc.ca/#focus","http://www.library.for.gov.bc.ca/#focus")</f>
        <v>http://www.library.for.gov.bc.ca/#focus</v>
      </c>
      <c r="AG1443" t="s">
        <v>63</v>
      </c>
      <c r="AH1443" s="11" t="str">
        <f t="shared" si="53"/>
        <v>mailto: soilterrain@victoria1.gov.bc.ca</v>
      </c>
    </row>
    <row r="1444" spans="1:34">
      <c r="A1444" t="s">
        <v>3403</v>
      </c>
      <c r="B1444" t="s">
        <v>56</v>
      </c>
      <c r="C1444" s="10" t="s">
        <v>94</v>
      </c>
      <c r="D1444" t="s">
        <v>58</v>
      </c>
      <c r="E1444" t="s">
        <v>3039</v>
      </c>
      <c r="F1444" t="s">
        <v>3404</v>
      </c>
      <c r="G1444">
        <v>50000</v>
      </c>
      <c r="H1444">
        <v>1978</v>
      </c>
      <c r="I1444" t="s">
        <v>3041</v>
      </c>
      <c r="J1444" t="s">
        <v>58</v>
      </c>
      <c r="K1444" t="s">
        <v>61</v>
      </c>
      <c r="L1444" t="s">
        <v>61</v>
      </c>
      <c r="M1444" t="s">
        <v>58</v>
      </c>
      <c r="Q1444" t="s">
        <v>58</v>
      </c>
      <c r="R1444" s="11" t="str">
        <f>HYPERLINK("\\imagefiles.bcgov\imagery\scanned_maps\moe_terrain_maps\Scanned_T_maps_all\K08\K08-571","\\imagefiles.bcgov\imagery\scanned_maps\moe_terrain_maps\Scanned_T_maps_all\K08\K08-571")</f>
        <v>\\imagefiles.bcgov\imagery\scanned_maps\moe_terrain_maps\Scanned_T_maps_all\K08\K08-571</v>
      </c>
      <c r="S1444" t="s">
        <v>62</v>
      </c>
      <c r="T1444" s="11" t="str">
        <f>HYPERLINK("http://www.env.gov.bc.ca/esd/distdata/ecosystems/TEI_Scanned_Maps/K08/K08-571","http://www.env.gov.bc.ca/esd/distdata/ecosystems/TEI_Scanned_Maps/K08/K08-571")</f>
        <v>http://www.env.gov.bc.ca/esd/distdata/ecosystems/TEI_Scanned_Maps/K08/K08-571</v>
      </c>
      <c r="U1444" t="s">
        <v>2487</v>
      </c>
      <c r="V1444" s="11" t="str">
        <f t="shared" si="60"/>
        <v>http://res.agr.ca/cansis/publications/surveys/bc/</v>
      </c>
      <c r="W1444" t="s">
        <v>2488</v>
      </c>
      <c r="X1444" s="11" t="str">
        <f t="shared" si="61"/>
        <v>http://res.agr.ca/cansis/publications/surveys/bc/</v>
      </c>
      <c r="Y1444" t="s">
        <v>2495</v>
      </c>
      <c r="Z1444" s="11" t="str">
        <f t="shared" si="62"/>
        <v>http://www.em.gov.bc.ca/mining/geolsurv/terrain&amp;soils/frbcguid.htm</v>
      </c>
      <c r="AA1444" t="s">
        <v>2489</v>
      </c>
      <c r="AB1444" s="11" t="str">
        <f t="shared" si="63"/>
        <v>http://www.em.gov.bc.ca/mining/geolsurv/terrain&amp;soils/frbcguid.htm</v>
      </c>
      <c r="AC1444" t="s">
        <v>3042</v>
      </c>
      <c r="AD1444" s="11" t="str">
        <f t="shared" si="64"/>
        <v>http://res.agr.ca/cansis/publications/surveys/bc/</v>
      </c>
      <c r="AE1444" t="s">
        <v>269</v>
      </c>
      <c r="AF1444" s="11" t="str">
        <f t="shared" si="65"/>
        <v>http://www.library.for.gov.bc.ca/#focus</v>
      </c>
      <c r="AG1444" t="s">
        <v>63</v>
      </c>
      <c r="AH1444" s="11" t="str">
        <f t="shared" si="53"/>
        <v>mailto: soilterrain@victoria1.gov.bc.ca</v>
      </c>
    </row>
    <row r="1445" spans="1:34">
      <c r="A1445" t="s">
        <v>3405</v>
      </c>
      <c r="B1445" t="s">
        <v>56</v>
      </c>
      <c r="C1445" s="10" t="s">
        <v>1125</v>
      </c>
      <c r="D1445" t="s">
        <v>58</v>
      </c>
      <c r="E1445" t="s">
        <v>3039</v>
      </c>
      <c r="F1445" t="s">
        <v>3406</v>
      </c>
      <c r="G1445">
        <v>50000</v>
      </c>
      <c r="H1445">
        <v>1980</v>
      </c>
      <c r="I1445" t="s">
        <v>3041</v>
      </c>
      <c r="J1445" t="s">
        <v>58</v>
      </c>
      <c r="K1445" t="s">
        <v>61</v>
      </c>
      <c r="L1445" t="s">
        <v>61</v>
      </c>
      <c r="M1445" t="s">
        <v>58</v>
      </c>
      <c r="Q1445" t="s">
        <v>58</v>
      </c>
      <c r="R1445" s="11" t="str">
        <f>HYPERLINK("\\imagefiles.bcgov\imagery\scanned_maps\moe_terrain_maps\Scanned_T_maps_all\K08\K08-573","\\imagefiles.bcgov\imagery\scanned_maps\moe_terrain_maps\Scanned_T_maps_all\K08\K08-573")</f>
        <v>\\imagefiles.bcgov\imagery\scanned_maps\moe_terrain_maps\Scanned_T_maps_all\K08\K08-573</v>
      </c>
      <c r="S1445" t="s">
        <v>62</v>
      </c>
      <c r="T1445" s="11" t="str">
        <f>HYPERLINK("http://www.env.gov.bc.ca/esd/distdata/ecosystems/TEI_Scanned_Maps/K08/K08-573","http://www.env.gov.bc.ca/esd/distdata/ecosystems/TEI_Scanned_Maps/K08/K08-573")</f>
        <v>http://www.env.gov.bc.ca/esd/distdata/ecosystems/TEI_Scanned_Maps/K08/K08-573</v>
      </c>
      <c r="U1445" t="s">
        <v>2487</v>
      </c>
      <c r="V1445" s="11" t="str">
        <f t="shared" si="60"/>
        <v>http://res.agr.ca/cansis/publications/surveys/bc/</v>
      </c>
      <c r="W1445" t="s">
        <v>2488</v>
      </c>
      <c r="X1445" s="11" t="str">
        <f t="shared" si="61"/>
        <v>http://res.agr.ca/cansis/publications/surveys/bc/</v>
      </c>
      <c r="Y1445" t="s">
        <v>2495</v>
      </c>
      <c r="Z1445" s="11" t="str">
        <f t="shared" si="62"/>
        <v>http://www.em.gov.bc.ca/mining/geolsurv/terrain&amp;soils/frbcguid.htm</v>
      </c>
      <c r="AA1445" t="s">
        <v>2489</v>
      </c>
      <c r="AB1445" s="11" t="str">
        <f t="shared" si="63"/>
        <v>http://www.em.gov.bc.ca/mining/geolsurv/terrain&amp;soils/frbcguid.htm</v>
      </c>
      <c r="AC1445" t="s">
        <v>3042</v>
      </c>
      <c r="AD1445" s="11" t="str">
        <f t="shared" si="64"/>
        <v>http://res.agr.ca/cansis/publications/surveys/bc/</v>
      </c>
      <c r="AE1445" t="s">
        <v>269</v>
      </c>
      <c r="AF1445" s="11" t="str">
        <f t="shared" si="65"/>
        <v>http://www.library.for.gov.bc.ca/#focus</v>
      </c>
      <c r="AG1445" t="s">
        <v>63</v>
      </c>
      <c r="AH1445" s="11" t="str">
        <f t="shared" si="53"/>
        <v>mailto: soilterrain@victoria1.gov.bc.ca</v>
      </c>
    </row>
    <row r="1446" spans="1:34">
      <c r="A1446" t="s">
        <v>3407</v>
      </c>
      <c r="B1446" t="s">
        <v>56</v>
      </c>
      <c r="C1446" s="10" t="s">
        <v>1128</v>
      </c>
      <c r="D1446" t="s">
        <v>58</v>
      </c>
      <c r="E1446" t="s">
        <v>3039</v>
      </c>
      <c r="F1446" t="s">
        <v>3408</v>
      </c>
      <c r="G1446">
        <v>50000</v>
      </c>
      <c r="H1446">
        <v>1978</v>
      </c>
      <c r="I1446" t="s">
        <v>3041</v>
      </c>
      <c r="J1446" t="s">
        <v>58</v>
      </c>
      <c r="K1446" t="s">
        <v>61</v>
      </c>
      <c r="L1446" t="s">
        <v>61</v>
      </c>
      <c r="M1446" t="s">
        <v>58</v>
      </c>
      <c r="Q1446" t="s">
        <v>58</v>
      </c>
      <c r="R1446" s="11" t="str">
        <f>HYPERLINK("\\imagefiles.bcgov\imagery\scanned_maps\moe_terrain_maps\Scanned_T_maps_all\K08\K08-575","\\imagefiles.bcgov\imagery\scanned_maps\moe_terrain_maps\Scanned_T_maps_all\K08\K08-575")</f>
        <v>\\imagefiles.bcgov\imagery\scanned_maps\moe_terrain_maps\Scanned_T_maps_all\K08\K08-575</v>
      </c>
      <c r="S1446" t="s">
        <v>62</v>
      </c>
      <c r="T1446" s="11" t="str">
        <f>HYPERLINK("http://www.env.gov.bc.ca/esd/distdata/ecosystems/TEI_Scanned_Maps/K08/K08-575","http://www.env.gov.bc.ca/esd/distdata/ecosystems/TEI_Scanned_Maps/K08/K08-575")</f>
        <v>http://www.env.gov.bc.ca/esd/distdata/ecosystems/TEI_Scanned_Maps/K08/K08-575</v>
      </c>
      <c r="U1446" t="s">
        <v>2487</v>
      </c>
      <c r="V1446" s="11" t="str">
        <f t="shared" si="60"/>
        <v>http://res.agr.ca/cansis/publications/surveys/bc/</v>
      </c>
      <c r="W1446" t="s">
        <v>2488</v>
      </c>
      <c r="X1446" s="11" t="str">
        <f t="shared" si="61"/>
        <v>http://res.agr.ca/cansis/publications/surveys/bc/</v>
      </c>
      <c r="Y1446" t="s">
        <v>2495</v>
      </c>
      <c r="Z1446" s="11" t="str">
        <f t="shared" si="62"/>
        <v>http://www.em.gov.bc.ca/mining/geolsurv/terrain&amp;soils/frbcguid.htm</v>
      </c>
      <c r="AA1446" t="s">
        <v>2489</v>
      </c>
      <c r="AB1446" s="11" t="str">
        <f t="shared" si="63"/>
        <v>http://www.em.gov.bc.ca/mining/geolsurv/terrain&amp;soils/frbcguid.htm</v>
      </c>
      <c r="AC1446" t="s">
        <v>3042</v>
      </c>
      <c r="AD1446" s="11" t="str">
        <f t="shared" si="64"/>
        <v>http://res.agr.ca/cansis/publications/surveys/bc/</v>
      </c>
      <c r="AE1446" t="s">
        <v>269</v>
      </c>
      <c r="AF1446" s="11" t="str">
        <f t="shared" si="65"/>
        <v>http://www.library.for.gov.bc.ca/#focus</v>
      </c>
      <c r="AG1446" t="s">
        <v>63</v>
      </c>
      <c r="AH1446" s="11" t="str">
        <f t="shared" si="53"/>
        <v>mailto: soilterrain@victoria1.gov.bc.ca</v>
      </c>
    </row>
    <row r="1447" spans="1:34">
      <c r="A1447" t="s">
        <v>3409</v>
      </c>
      <c r="B1447" t="s">
        <v>56</v>
      </c>
      <c r="C1447" s="10" t="s">
        <v>1130</v>
      </c>
      <c r="D1447" t="s">
        <v>58</v>
      </c>
      <c r="E1447" t="s">
        <v>3039</v>
      </c>
      <c r="F1447" t="s">
        <v>3410</v>
      </c>
      <c r="G1447">
        <v>50000</v>
      </c>
      <c r="H1447">
        <v>1984</v>
      </c>
      <c r="I1447" t="s">
        <v>3041</v>
      </c>
      <c r="J1447" t="s">
        <v>58</v>
      </c>
      <c r="K1447" t="s">
        <v>61</v>
      </c>
      <c r="L1447" t="s">
        <v>61</v>
      </c>
      <c r="M1447" t="s">
        <v>58</v>
      </c>
      <c r="Q1447" t="s">
        <v>58</v>
      </c>
      <c r="R1447" s="11" t="str">
        <f>HYPERLINK("\\imagefiles.bcgov\imagery\scanned_maps\moe_terrain_maps\Scanned_T_maps_all\K08\K08-577","\\imagefiles.bcgov\imagery\scanned_maps\moe_terrain_maps\Scanned_T_maps_all\K08\K08-577")</f>
        <v>\\imagefiles.bcgov\imagery\scanned_maps\moe_terrain_maps\Scanned_T_maps_all\K08\K08-577</v>
      </c>
      <c r="S1447" t="s">
        <v>62</v>
      </c>
      <c r="T1447" s="11" t="str">
        <f>HYPERLINK("http://www.env.gov.bc.ca/esd/distdata/ecosystems/TEI_Scanned_Maps/K08/K08-577","http://www.env.gov.bc.ca/esd/distdata/ecosystems/TEI_Scanned_Maps/K08/K08-577")</f>
        <v>http://www.env.gov.bc.ca/esd/distdata/ecosystems/TEI_Scanned_Maps/K08/K08-577</v>
      </c>
      <c r="U1447" t="s">
        <v>2487</v>
      </c>
      <c r="V1447" s="11" t="str">
        <f t="shared" si="60"/>
        <v>http://res.agr.ca/cansis/publications/surveys/bc/</v>
      </c>
      <c r="W1447" t="s">
        <v>2488</v>
      </c>
      <c r="X1447" s="11" t="str">
        <f t="shared" si="61"/>
        <v>http://res.agr.ca/cansis/publications/surveys/bc/</v>
      </c>
      <c r="Y1447" t="s">
        <v>2495</v>
      </c>
      <c r="Z1447" s="11" t="str">
        <f t="shared" si="62"/>
        <v>http://www.em.gov.bc.ca/mining/geolsurv/terrain&amp;soils/frbcguid.htm</v>
      </c>
      <c r="AA1447" t="s">
        <v>2489</v>
      </c>
      <c r="AB1447" s="11" t="str">
        <f t="shared" si="63"/>
        <v>http://www.em.gov.bc.ca/mining/geolsurv/terrain&amp;soils/frbcguid.htm</v>
      </c>
      <c r="AC1447" t="s">
        <v>3042</v>
      </c>
      <c r="AD1447" s="11" t="str">
        <f t="shared" si="64"/>
        <v>http://res.agr.ca/cansis/publications/surveys/bc/</v>
      </c>
      <c r="AE1447" t="s">
        <v>269</v>
      </c>
      <c r="AF1447" s="11" t="str">
        <f t="shared" si="65"/>
        <v>http://www.library.for.gov.bc.ca/#focus</v>
      </c>
      <c r="AG1447" t="s">
        <v>63</v>
      </c>
      <c r="AH1447" s="11" t="str">
        <f t="shared" si="53"/>
        <v>mailto: soilterrain@victoria1.gov.bc.ca</v>
      </c>
    </row>
    <row r="1448" spans="1:34">
      <c r="A1448" t="s">
        <v>3411</v>
      </c>
      <c r="B1448" t="s">
        <v>56</v>
      </c>
      <c r="C1448" s="10" t="s">
        <v>1132</v>
      </c>
      <c r="D1448" t="s">
        <v>58</v>
      </c>
      <c r="E1448" t="s">
        <v>3039</v>
      </c>
      <c r="F1448" t="s">
        <v>3412</v>
      </c>
      <c r="G1448">
        <v>50000</v>
      </c>
      <c r="H1448">
        <v>1984</v>
      </c>
      <c r="I1448" t="s">
        <v>3041</v>
      </c>
      <c r="J1448" t="s">
        <v>58</v>
      </c>
      <c r="K1448" t="s">
        <v>61</v>
      </c>
      <c r="L1448" t="s">
        <v>61</v>
      </c>
      <c r="M1448" t="s">
        <v>58</v>
      </c>
      <c r="Q1448" t="s">
        <v>58</v>
      </c>
      <c r="R1448" s="11" t="str">
        <f>HYPERLINK("\\imagefiles.bcgov\imagery\scanned_maps\moe_terrain_maps\Scanned_T_maps_all\K08\K08-579","\\imagefiles.bcgov\imagery\scanned_maps\moe_terrain_maps\Scanned_T_maps_all\K08\K08-579")</f>
        <v>\\imagefiles.bcgov\imagery\scanned_maps\moe_terrain_maps\Scanned_T_maps_all\K08\K08-579</v>
      </c>
      <c r="S1448" t="s">
        <v>62</v>
      </c>
      <c r="T1448" s="11" t="str">
        <f>HYPERLINK("http://www.env.gov.bc.ca/esd/distdata/ecosystems/TEI_Scanned_Maps/K08/K08-579","http://www.env.gov.bc.ca/esd/distdata/ecosystems/TEI_Scanned_Maps/K08/K08-579")</f>
        <v>http://www.env.gov.bc.ca/esd/distdata/ecosystems/TEI_Scanned_Maps/K08/K08-579</v>
      </c>
      <c r="U1448" t="s">
        <v>2487</v>
      </c>
      <c r="V1448" s="11" t="str">
        <f t="shared" si="60"/>
        <v>http://res.agr.ca/cansis/publications/surveys/bc/</v>
      </c>
      <c r="W1448" t="s">
        <v>2488</v>
      </c>
      <c r="X1448" s="11" t="str">
        <f t="shared" si="61"/>
        <v>http://res.agr.ca/cansis/publications/surveys/bc/</v>
      </c>
      <c r="Y1448" t="s">
        <v>2495</v>
      </c>
      <c r="Z1448" s="11" t="str">
        <f t="shared" si="62"/>
        <v>http://www.em.gov.bc.ca/mining/geolsurv/terrain&amp;soils/frbcguid.htm</v>
      </c>
      <c r="AA1448" t="s">
        <v>2489</v>
      </c>
      <c r="AB1448" s="11" t="str">
        <f t="shared" si="63"/>
        <v>http://www.em.gov.bc.ca/mining/geolsurv/terrain&amp;soils/frbcguid.htm</v>
      </c>
      <c r="AC1448" t="s">
        <v>3042</v>
      </c>
      <c r="AD1448" s="11" t="str">
        <f t="shared" si="64"/>
        <v>http://res.agr.ca/cansis/publications/surveys/bc/</v>
      </c>
      <c r="AE1448" t="s">
        <v>269</v>
      </c>
      <c r="AF1448" s="11" t="str">
        <f t="shared" si="65"/>
        <v>http://www.library.for.gov.bc.ca/#focus</v>
      </c>
      <c r="AG1448" t="s">
        <v>63</v>
      </c>
      <c r="AH1448" s="11" t="str">
        <f t="shared" si="53"/>
        <v>mailto: soilterrain@victoria1.gov.bc.ca</v>
      </c>
    </row>
    <row r="1449" spans="1:34">
      <c r="A1449" t="s">
        <v>3413</v>
      </c>
      <c r="B1449" t="s">
        <v>56</v>
      </c>
      <c r="C1449" s="10" t="s">
        <v>1134</v>
      </c>
      <c r="D1449" t="s">
        <v>58</v>
      </c>
      <c r="E1449" t="s">
        <v>3039</v>
      </c>
      <c r="F1449" t="s">
        <v>3414</v>
      </c>
      <c r="G1449">
        <v>50000</v>
      </c>
      <c r="H1449">
        <v>1974</v>
      </c>
      <c r="I1449" t="s">
        <v>3041</v>
      </c>
      <c r="J1449" t="s">
        <v>58</v>
      </c>
      <c r="K1449" t="s">
        <v>61</v>
      </c>
      <c r="L1449" t="s">
        <v>61</v>
      </c>
      <c r="M1449" t="s">
        <v>58</v>
      </c>
      <c r="Q1449" t="s">
        <v>58</v>
      </c>
      <c r="R1449" s="11" t="str">
        <f>HYPERLINK("\\imagefiles.bcgov\imagery\scanned_maps\moe_terrain_maps\Scanned_T_maps_all\K08\K08-581","\\imagefiles.bcgov\imagery\scanned_maps\moe_terrain_maps\Scanned_T_maps_all\K08\K08-581")</f>
        <v>\\imagefiles.bcgov\imagery\scanned_maps\moe_terrain_maps\Scanned_T_maps_all\K08\K08-581</v>
      </c>
      <c r="S1449" t="s">
        <v>62</v>
      </c>
      <c r="T1449" s="11" t="str">
        <f>HYPERLINK("http://www.env.gov.bc.ca/esd/distdata/ecosystems/TEI_Scanned_Maps/K08/K08-581","http://www.env.gov.bc.ca/esd/distdata/ecosystems/TEI_Scanned_Maps/K08/K08-581")</f>
        <v>http://www.env.gov.bc.ca/esd/distdata/ecosystems/TEI_Scanned_Maps/K08/K08-581</v>
      </c>
      <c r="U1449" t="s">
        <v>2487</v>
      </c>
      <c r="V1449" s="11" t="str">
        <f t="shared" si="60"/>
        <v>http://res.agr.ca/cansis/publications/surveys/bc/</v>
      </c>
      <c r="W1449" t="s">
        <v>2488</v>
      </c>
      <c r="X1449" s="11" t="str">
        <f t="shared" si="61"/>
        <v>http://res.agr.ca/cansis/publications/surveys/bc/</v>
      </c>
      <c r="Y1449" t="s">
        <v>2495</v>
      </c>
      <c r="Z1449" s="11" t="str">
        <f t="shared" si="62"/>
        <v>http://www.em.gov.bc.ca/mining/geolsurv/terrain&amp;soils/frbcguid.htm</v>
      </c>
      <c r="AA1449" t="s">
        <v>2489</v>
      </c>
      <c r="AB1449" s="11" t="str">
        <f t="shared" si="63"/>
        <v>http://www.em.gov.bc.ca/mining/geolsurv/terrain&amp;soils/frbcguid.htm</v>
      </c>
      <c r="AC1449" t="s">
        <v>3042</v>
      </c>
      <c r="AD1449" s="11" t="str">
        <f t="shared" si="64"/>
        <v>http://res.agr.ca/cansis/publications/surveys/bc/</v>
      </c>
      <c r="AE1449" t="s">
        <v>269</v>
      </c>
      <c r="AF1449" s="11" t="str">
        <f t="shared" si="65"/>
        <v>http://www.library.for.gov.bc.ca/#focus</v>
      </c>
      <c r="AG1449" t="s">
        <v>63</v>
      </c>
      <c r="AH1449" s="11" t="str">
        <f t="shared" si="53"/>
        <v>mailto: soilterrain@victoria1.gov.bc.ca</v>
      </c>
    </row>
    <row r="1450" spans="1:34">
      <c r="A1450" t="s">
        <v>3415</v>
      </c>
      <c r="B1450" t="s">
        <v>56</v>
      </c>
      <c r="C1450" s="10" t="s">
        <v>1136</v>
      </c>
      <c r="D1450" t="s">
        <v>58</v>
      </c>
      <c r="E1450" t="s">
        <v>3039</v>
      </c>
      <c r="F1450" t="s">
        <v>3416</v>
      </c>
      <c r="G1450">
        <v>50000</v>
      </c>
      <c r="H1450">
        <v>1980</v>
      </c>
      <c r="I1450" t="s">
        <v>3041</v>
      </c>
      <c r="J1450" t="s">
        <v>58</v>
      </c>
      <c r="K1450" t="s">
        <v>61</v>
      </c>
      <c r="L1450" t="s">
        <v>61</v>
      </c>
      <c r="M1450" t="s">
        <v>58</v>
      </c>
      <c r="Q1450" t="s">
        <v>58</v>
      </c>
      <c r="R1450" s="11" t="str">
        <f>HYPERLINK("\\imagefiles.bcgov\imagery\scanned_maps\moe_terrain_maps\Scanned_T_maps_all\K08\K08-583","\\imagefiles.bcgov\imagery\scanned_maps\moe_terrain_maps\Scanned_T_maps_all\K08\K08-583")</f>
        <v>\\imagefiles.bcgov\imagery\scanned_maps\moe_terrain_maps\Scanned_T_maps_all\K08\K08-583</v>
      </c>
      <c r="S1450" t="s">
        <v>62</v>
      </c>
      <c r="T1450" s="11" t="str">
        <f>HYPERLINK("http://www.env.gov.bc.ca/esd/distdata/ecosystems/TEI_Scanned_Maps/K08/K08-583","http://www.env.gov.bc.ca/esd/distdata/ecosystems/TEI_Scanned_Maps/K08/K08-583")</f>
        <v>http://www.env.gov.bc.ca/esd/distdata/ecosystems/TEI_Scanned_Maps/K08/K08-583</v>
      </c>
      <c r="U1450" t="s">
        <v>2487</v>
      </c>
      <c r="V1450" s="11" t="str">
        <f t="shared" si="60"/>
        <v>http://res.agr.ca/cansis/publications/surveys/bc/</v>
      </c>
      <c r="W1450" t="s">
        <v>2488</v>
      </c>
      <c r="X1450" s="11" t="str">
        <f t="shared" si="61"/>
        <v>http://res.agr.ca/cansis/publications/surveys/bc/</v>
      </c>
      <c r="Y1450" t="s">
        <v>2495</v>
      </c>
      <c r="Z1450" s="11" t="str">
        <f t="shared" si="62"/>
        <v>http://www.em.gov.bc.ca/mining/geolsurv/terrain&amp;soils/frbcguid.htm</v>
      </c>
      <c r="AA1450" t="s">
        <v>2489</v>
      </c>
      <c r="AB1450" s="11" t="str">
        <f t="shared" si="63"/>
        <v>http://www.em.gov.bc.ca/mining/geolsurv/terrain&amp;soils/frbcguid.htm</v>
      </c>
      <c r="AC1450" t="s">
        <v>3042</v>
      </c>
      <c r="AD1450" s="11" t="str">
        <f t="shared" si="64"/>
        <v>http://res.agr.ca/cansis/publications/surveys/bc/</v>
      </c>
      <c r="AE1450" t="s">
        <v>269</v>
      </c>
      <c r="AF1450" s="11" t="str">
        <f t="shared" si="65"/>
        <v>http://www.library.for.gov.bc.ca/#focus</v>
      </c>
      <c r="AG1450" t="s">
        <v>63</v>
      </c>
      <c r="AH1450" s="11" t="str">
        <f t="shared" si="53"/>
        <v>mailto: soilterrain@victoria1.gov.bc.ca</v>
      </c>
    </row>
    <row r="1451" spans="1:34">
      <c r="A1451" t="s">
        <v>3417</v>
      </c>
      <c r="B1451" t="s">
        <v>56</v>
      </c>
      <c r="C1451" s="10" t="s">
        <v>1138</v>
      </c>
      <c r="D1451" t="s">
        <v>58</v>
      </c>
      <c r="E1451" t="s">
        <v>3039</v>
      </c>
      <c r="F1451" t="s">
        <v>3418</v>
      </c>
      <c r="G1451">
        <v>50000</v>
      </c>
      <c r="H1451">
        <v>1978</v>
      </c>
      <c r="I1451" t="s">
        <v>3041</v>
      </c>
      <c r="J1451" t="s">
        <v>58</v>
      </c>
      <c r="K1451" t="s">
        <v>61</v>
      </c>
      <c r="L1451" t="s">
        <v>61</v>
      </c>
      <c r="M1451" t="s">
        <v>58</v>
      </c>
      <c r="Q1451" t="s">
        <v>58</v>
      </c>
      <c r="R1451" s="11" t="str">
        <f>HYPERLINK("\\imagefiles.bcgov\imagery\scanned_maps\moe_terrain_maps\Scanned_T_maps_all\K08\K08-585","\\imagefiles.bcgov\imagery\scanned_maps\moe_terrain_maps\Scanned_T_maps_all\K08\K08-585")</f>
        <v>\\imagefiles.bcgov\imagery\scanned_maps\moe_terrain_maps\Scanned_T_maps_all\K08\K08-585</v>
      </c>
      <c r="S1451" t="s">
        <v>62</v>
      </c>
      <c r="T1451" s="11" t="str">
        <f>HYPERLINK("http://www.env.gov.bc.ca/esd/distdata/ecosystems/TEI_Scanned_Maps/K08/K08-585","http://www.env.gov.bc.ca/esd/distdata/ecosystems/TEI_Scanned_Maps/K08/K08-585")</f>
        <v>http://www.env.gov.bc.ca/esd/distdata/ecosystems/TEI_Scanned_Maps/K08/K08-585</v>
      </c>
      <c r="U1451" t="s">
        <v>2487</v>
      </c>
      <c r="V1451" s="11" t="str">
        <f t="shared" si="60"/>
        <v>http://res.agr.ca/cansis/publications/surveys/bc/</v>
      </c>
      <c r="W1451" t="s">
        <v>2488</v>
      </c>
      <c r="X1451" s="11" t="str">
        <f t="shared" si="61"/>
        <v>http://res.agr.ca/cansis/publications/surveys/bc/</v>
      </c>
      <c r="Y1451" t="s">
        <v>2495</v>
      </c>
      <c r="Z1451" s="11" t="str">
        <f t="shared" si="62"/>
        <v>http://www.em.gov.bc.ca/mining/geolsurv/terrain&amp;soils/frbcguid.htm</v>
      </c>
      <c r="AA1451" t="s">
        <v>2489</v>
      </c>
      <c r="AB1451" s="11" t="str">
        <f t="shared" si="63"/>
        <v>http://www.em.gov.bc.ca/mining/geolsurv/terrain&amp;soils/frbcguid.htm</v>
      </c>
      <c r="AC1451" t="s">
        <v>3042</v>
      </c>
      <c r="AD1451" s="11" t="str">
        <f t="shared" si="64"/>
        <v>http://res.agr.ca/cansis/publications/surveys/bc/</v>
      </c>
      <c r="AE1451" t="s">
        <v>269</v>
      </c>
      <c r="AF1451" s="11" t="str">
        <f t="shared" si="65"/>
        <v>http://www.library.for.gov.bc.ca/#focus</v>
      </c>
      <c r="AG1451" t="s">
        <v>63</v>
      </c>
      <c r="AH1451" s="11" t="str">
        <f t="shared" si="53"/>
        <v>mailto: soilterrain@victoria1.gov.bc.ca</v>
      </c>
    </row>
    <row r="1452" spans="1:34">
      <c r="A1452" t="s">
        <v>3419</v>
      </c>
      <c r="B1452" t="s">
        <v>56</v>
      </c>
      <c r="C1452" s="10" t="s">
        <v>1141</v>
      </c>
      <c r="D1452" t="s">
        <v>58</v>
      </c>
      <c r="E1452" t="s">
        <v>3039</v>
      </c>
      <c r="F1452" t="s">
        <v>3420</v>
      </c>
      <c r="G1452">
        <v>50000</v>
      </c>
      <c r="H1452">
        <v>1980</v>
      </c>
      <c r="I1452" t="s">
        <v>3041</v>
      </c>
      <c r="J1452" t="s">
        <v>58</v>
      </c>
      <c r="K1452" t="s">
        <v>61</v>
      </c>
      <c r="L1452" t="s">
        <v>61</v>
      </c>
      <c r="M1452" t="s">
        <v>58</v>
      </c>
      <c r="Q1452" t="s">
        <v>58</v>
      </c>
      <c r="R1452" s="11" t="str">
        <f>HYPERLINK("\\imagefiles.bcgov\imagery\scanned_maps\moe_terrain_maps\Scanned_T_maps_all\K08\K08-587","\\imagefiles.bcgov\imagery\scanned_maps\moe_terrain_maps\Scanned_T_maps_all\K08\K08-587")</f>
        <v>\\imagefiles.bcgov\imagery\scanned_maps\moe_terrain_maps\Scanned_T_maps_all\K08\K08-587</v>
      </c>
      <c r="S1452" t="s">
        <v>62</v>
      </c>
      <c r="T1452" s="11" t="str">
        <f>HYPERLINK("http://www.env.gov.bc.ca/esd/distdata/ecosystems/TEI_Scanned_Maps/K08/K08-587","http://www.env.gov.bc.ca/esd/distdata/ecosystems/TEI_Scanned_Maps/K08/K08-587")</f>
        <v>http://www.env.gov.bc.ca/esd/distdata/ecosystems/TEI_Scanned_Maps/K08/K08-587</v>
      </c>
      <c r="U1452" t="s">
        <v>2487</v>
      </c>
      <c r="V1452" s="11" t="str">
        <f t="shared" si="60"/>
        <v>http://res.agr.ca/cansis/publications/surveys/bc/</v>
      </c>
      <c r="W1452" t="s">
        <v>2488</v>
      </c>
      <c r="X1452" s="11" t="str">
        <f t="shared" si="61"/>
        <v>http://res.agr.ca/cansis/publications/surveys/bc/</v>
      </c>
      <c r="Y1452" t="s">
        <v>2495</v>
      </c>
      <c r="Z1452" s="11" t="str">
        <f t="shared" si="62"/>
        <v>http://www.em.gov.bc.ca/mining/geolsurv/terrain&amp;soils/frbcguid.htm</v>
      </c>
      <c r="AA1452" t="s">
        <v>2489</v>
      </c>
      <c r="AB1452" s="11" t="str">
        <f t="shared" si="63"/>
        <v>http://www.em.gov.bc.ca/mining/geolsurv/terrain&amp;soils/frbcguid.htm</v>
      </c>
      <c r="AC1452" t="s">
        <v>3042</v>
      </c>
      <c r="AD1452" s="11" t="str">
        <f t="shared" si="64"/>
        <v>http://res.agr.ca/cansis/publications/surveys/bc/</v>
      </c>
      <c r="AE1452" t="s">
        <v>269</v>
      </c>
      <c r="AF1452" s="11" t="str">
        <f t="shared" si="65"/>
        <v>http://www.library.for.gov.bc.ca/#focus</v>
      </c>
      <c r="AG1452" t="s">
        <v>63</v>
      </c>
      <c r="AH1452" s="11" t="str">
        <f t="shared" si="53"/>
        <v>mailto: soilterrain@victoria1.gov.bc.ca</v>
      </c>
    </row>
    <row r="1453" spans="1:34">
      <c r="A1453" t="s">
        <v>3421</v>
      </c>
      <c r="B1453" t="s">
        <v>56</v>
      </c>
      <c r="C1453" s="10" t="s">
        <v>1143</v>
      </c>
      <c r="D1453" t="s">
        <v>58</v>
      </c>
      <c r="E1453" t="s">
        <v>3350</v>
      </c>
      <c r="F1453" t="s">
        <v>3422</v>
      </c>
      <c r="G1453">
        <v>50000</v>
      </c>
      <c r="H1453">
        <v>1976</v>
      </c>
      <c r="I1453" t="s">
        <v>3352</v>
      </c>
      <c r="J1453" t="s">
        <v>58</v>
      </c>
      <c r="K1453" t="s">
        <v>58</v>
      </c>
      <c r="L1453" t="s">
        <v>61</v>
      </c>
      <c r="M1453" t="s">
        <v>58</v>
      </c>
      <c r="Q1453" t="s">
        <v>58</v>
      </c>
      <c r="R1453" s="11" t="str">
        <f>HYPERLINK("\\imagefiles.bcgov\imagery\scanned_maps\moe_terrain_maps\Scanned_T_maps_all\K08\K08-752","\\imagefiles.bcgov\imagery\scanned_maps\moe_terrain_maps\Scanned_T_maps_all\K08\K08-752")</f>
        <v>\\imagefiles.bcgov\imagery\scanned_maps\moe_terrain_maps\Scanned_T_maps_all\K08\K08-752</v>
      </c>
      <c r="S1453" t="s">
        <v>62</v>
      </c>
      <c r="T1453" s="11" t="str">
        <f>HYPERLINK("http://www.env.gov.bc.ca/esd/distdata/ecosystems/TEI_Scanned_Maps/K08/K08-752","http://www.env.gov.bc.ca/esd/distdata/ecosystems/TEI_Scanned_Maps/K08/K08-752")</f>
        <v>http://www.env.gov.bc.ca/esd/distdata/ecosystems/TEI_Scanned_Maps/K08/K08-752</v>
      </c>
      <c r="U1453" t="s">
        <v>3353</v>
      </c>
      <c r="V1453" s="11" t="str">
        <f>HYPERLINK("http://www.env.gov.bc.ca/esd/distdata/ecosystems/Soil_Data/CAPAMP/","http://www.env.gov.bc.ca/esd/distdata/ecosystems/Soil_Data/CAPAMP/")</f>
        <v>http://www.env.gov.bc.ca/esd/distdata/ecosystems/Soil_Data/CAPAMP/</v>
      </c>
      <c r="W1453" t="s">
        <v>2489</v>
      </c>
      <c r="X1453" s="11" t="str">
        <f t="shared" ref="X1453:X1464" si="66">HYPERLINK("http://www.em.gov.bc.ca/mining/geolsurv/terrain&amp;soils/frbcguid.htm","http://www.em.gov.bc.ca/mining/geolsurv/terrain&amp;soils/frbcguid.htm")</f>
        <v>http://www.em.gov.bc.ca/mining/geolsurv/terrain&amp;soils/frbcguid.htm</v>
      </c>
      <c r="Y1453" t="s">
        <v>58</v>
      </c>
      <c r="Z1453" t="s">
        <v>58</v>
      </c>
      <c r="AA1453" t="s">
        <v>58</v>
      </c>
      <c r="AC1453" t="s">
        <v>58</v>
      </c>
      <c r="AE1453" t="s">
        <v>58</v>
      </c>
      <c r="AG1453" t="s">
        <v>63</v>
      </c>
      <c r="AH1453" s="11" t="str">
        <f t="shared" si="53"/>
        <v>mailto: soilterrain@victoria1.gov.bc.ca</v>
      </c>
    </row>
    <row r="1454" spans="1:34">
      <c r="A1454" t="s">
        <v>3423</v>
      </c>
      <c r="B1454" t="s">
        <v>56</v>
      </c>
      <c r="C1454" s="10" t="s">
        <v>1145</v>
      </c>
      <c r="D1454" t="s">
        <v>58</v>
      </c>
      <c r="E1454" t="s">
        <v>3350</v>
      </c>
      <c r="F1454" t="s">
        <v>3424</v>
      </c>
      <c r="G1454">
        <v>50000</v>
      </c>
      <c r="H1454">
        <v>1985</v>
      </c>
      <c r="I1454" t="s">
        <v>3352</v>
      </c>
      <c r="J1454" t="s">
        <v>58</v>
      </c>
      <c r="K1454" t="s">
        <v>58</v>
      </c>
      <c r="L1454" t="s">
        <v>61</v>
      </c>
      <c r="M1454" t="s">
        <v>58</v>
      </c>
      <c r="Q1454" t="s">
        <v>58</v>
      </c>
      <c r="R1454" s="11" t="str">
        <f>HYPERLINK("\\imagefiles.bcgov\imagery\scanned_maps\moe_terrain_maps\Scanned_T_maps_all\K08\K08-754","\\imagefiles.bcgov\imagery\scanned_maps\moe_terrain_maps\Scanned_T_maps_all\K08\K08-754")</f>
        <v>\\imagefiles.bcgov\imagery\scanned_maps\moe_terrain_maps\Scanned_T_maps_all\K08\K08-754</v>
      </c>
      <c r="S1454" t="s">
        <v>62</v>
      </c>
      <c r="T1454" s="11" t="str">
        <f>HYPERLINK("http://www.env.gov.bc.ca/esd/distdata/ecosystems/TEI_Scanned_Maps/K08/K08-754","http://www.env.gov.bc.ca/esd/distdata/ecosystems/TEI_Scanned_Maps/K08/K08-754")</f>
        <v>http://www.env.gov.bc.ca/esd/distdata/ecosystems/TEI_Scanned_Maps/K08/K08-754</v>
      </c>
      <c r="U1454" t="s">
        <v>3353</v>
      </c>
      <c r="V1454" s="11" t="str">
        <f>HYPERLINK("http://www.env.gov.bc.ca/esd/distdata/ecosystems/Soil_Data/CAPAMP/","http://www.env.gov.bc.ca/esd/distdata/ecosystems/Soil_Data/CAPAMP/")</f>
        <v>http://www.env.gov.bc.ca/esd/distdata/ecosystems/Soil_Data/CAPAMP/</v>
      </c>
      <c r="W1454" t="s">
        <v>2489</v>
      </c>
      <c r="X1454" s="11" t="str">
        <f t="shared" si="66"/>
        <v>http://www.em.gov.bc.ca/mining/geolsurv/terrain&amp;soils/frbcguid.htm</v>
      </c>
      <c r="Y1454" t="s">
        <v>58</v>
      </c>
      <c r="Z1454" t="s">
        <v>58</v>
      </c>
      <c r="AA1454" t="s">
        <v>58</v>
      </c>
      <c r="AC1454" t="s">
        <v>58</v>
      </c>
      <c r="AE1454" t="s">
        <v>58</v>
      </c>
      <c r="AG1454" t="s">
        <v>63</v>
      </c>
      <c r="AH1454" s="11" t="str">
        <f t="shared" si="53"/>
        <v>mailto: soilterrain@victoria1.gov.bc.ca</v>
      </c>
    </row>
    <row r="1455" spans="1:34">
      <c r="A1455" t="s">
        <v>3425</v>
      </c>
      <c r="B1455" t="s">
        <v>56</v>
      </c>
      <c r="C1455" s="10" t="s">
        <v>1147</v>
      </c>
      <c r="D1455" t="s">
        <v>58</v>
      </c>
      <c r="E1455" t="s">
        <v>3350</v>
      </c>
      <c r="F1455" t="s">
        <v>3426</v>
      </c>
      <c r="G1455">
        <v>50000</v>
      </c>
      <c r="H1455">
        <v>1985</v>
      </c>
      <c r="I1455" t="s">
        <v>3352</v>
      </c>
      <c r="J1455" t="s">
        <v>58</v>
      </c>
      <c r="K1455" t="s">
        <v>58</v>
      </c>
      <c r="L1455" t="s">
        <v>61</v>
      </c>
      <c r="M1455" t="s">
        <v>58</v>
      </c>
      <c r="Q1455" t="s">
        <v>58</v>
      </c>
      <c r="R1455" s="11" t="str">
        <f>HYPERLINK("\\imagefiles.bcgov\imagery\scanned_maps\moe_terrain_maps\Scanned_T_maps_all\K08\K08-756","\\imagefiles.bcgov\imagery\scanned_maps\moe_terrain_maps\Scanned_T_maps_all\K08\K08-756")</f>
        <v>\\imagefiles.bcgov\imagery\scanned_maps\moe_terrain_maps\Scanned_T_maps_all\K08\K08-756</v>
      </c>
      <c r="S1455" t="s">
        <v>62</v>
      </c>
      <c r="T1455" s="11" t="str">
        <f>HYPERLINK("http://www.env.gov.bc.ca/esd/distdata/ecosystems/TEI_Scanned_Maps/K08/K08-756","http://www.env.gov.bc.ca/esd/distdata/ecosystems/TEI_Scanned_Maps/K08/K08-756")</f>
        <v>http://www.env.gov.bc.ca/esd/distdata/ecosystems/TEI_Scanned_Maps/K08/K08-756</v>
      </c>
      <c r="U1455" t="s">
        <v>2495</v>
      </c>
      <c r="V1455" s="11" t="str">
        <f>HYPERLINK("http://www.em.gov.bc.ca/mining/geolsurv/terrain&amp;soils/frbcguid.htm","http://www.em.gov.bc.ca/mining/geolsurv/terrain&amp;soils/frbcguid.htm")</f>
        <v>http://www.em.gov.bc.ca/mining/geolsurv/terrain&amp;soils/frbcguid.htm</v>
      </c>
      <c r="W1455" t="s">
        <v>2489</v>
      </c>
      <c r="X1455" s="11" t="str">
        <f t="shared" si="66"/>
        <v>http://www.em.gov.bc.ca/mining/geolsurv/terrain&amp;soils/frbcguid.htm</v>
      </c>
      <c r="Y1455" t="s">
        <v>58</v>
      </c>
      <c r="Z1455" t="s">
        <v>58</v>
      </c>
      <c r="AA1455" t="s">
        <v>58</v>
      </c>
      <c r="AC1455" t="s">
        <v>58</v>
      </c>
      <c r="AE1455" t="s">
        <v>58</v>
      </c>
      <c r="AG1455" t="s">
        <v>63</v>
      </c>
      <c r="AH1455" s="11" t="str">
        <f t="shared" si="53"/>
        <v>mailto: soilterrain@victoria1.gov.bc.ca</v>
      </c>
    </row>
    <row r="1456" spans="1:34">
      <c r="A1456" t="s">
        <v>3427</v>
      </c>
      <c r="B1456" t="s">
        <v>56</v>
      </c>
      <c r="C1456" s="10" t="s">
        <v>1149</v>
      </c>
      <c r="D1456" t="s">
        <v>58</v>
      </c>
      <c r="E1456" t="s">
        <v>3350</v>
      </c>
      <c r="F1456" t="s">
        <v>3428</v>
      </c>
      <c r="G1456">
        <v>50000</v>
      </c>
      <c r="H1456">
        <v>1973</v>
      </c>
      <c r="I1456" t="s">
        <v>3352</v>
      </c>
      <c r="J1456" t="s">
        <v>58</v>
      </c>
      <c r="K1456" t="s">
        <v>58</v>
      </c>
      <c r="L1456" t="s">
        <v>61</v>
      </c>
      <c r="M1456" t="s">
        <v>58</v>
      </c>
      <c r="Q1456" t="s">
        <v>58</v>
      </c>
      <c r="R1456" s="11" t="str">
        <f>HYPERLINK("\\imagefiles.bcgov\imagery\scanned_maps\moe_terrain_maps\Scanned_T_maps_all\K08\K08-758","\\imagefiles.bcgov\imagery\scanned_maps\moe_terrain_maps\Scanned_T_maps_all\K08\K08-758")</f>
        <v>\\imagefiles.bcgov\imagery\scanned_maps\moe_terrain_maps\Scanned_T_maps_all\K08\K08-758</v>
      </c>
      <c r="S1456" t="s">
        <v>62</v>
      </c>
      <c r="T1456" s="11" t="str">
        <f>HYPERLINK("http://www.env.gov.bc.ca/esd/distdata/ecosystems/TEI_Scanned_Maps/K08/K08-758","http://www.env.gov.bc.ca/esd/distdata/ecosystems/TEI_Scanned_Maps/K08/K08-758")</f>
        <v>http://www.env.gov.bc.ca/esd/distdata/ecosystems/TEI_Scanned_Maps/K08/K08-758</v>
      </c>
      <c r="U1456" t="s">
        <v>3353</v>
      </c>
      <c r="V1456" s="11" t="str">
        <f t="shared" ref="V1456:V1464" si="67">HYPERLINK("http://www.env.gov.bc.ca/esd/distdata/ecosystems/Soil_Data/CAPAMP/","http://www.env.gov.bc.ca/esd/distdata/ecosystems/Soil_Data/CAPAMP/")</f>
        <v>http://www.env.gov.bc.ca/esd/distdata/ecosystems/Soil_Data/CAPAMP/</v>
      </c>
      <c r="W1456" t="s">
        <v>2489</v>
      </c>
      <c r="X1456" s="11" t="str">
        <f t="shared" si="66"/>
        <v>http://www.em.gov.bc.ca/mining/geolsurv/terrain&amp;soils/frbcguid.htm</v>
      </c>
      <c r="Y1456" t="s">
        <v>58</v>
      </c>
      <c r="Z1456" t="s">
        <v>58</v>
      </c>
      <c r="AA1456" t="s">
        <v>58</v>
      </c>
      <c r="AC1456" t="s">
        <v>58</v>
      </c>
      <c r="AE1456" t="s">
        <v>58</v>
      </c>
      <c r="AG1456" t="s">
        <v>63</v>
      </c>
      <c r="AH1456" s="11" t="str">
        <f t="shared" si="53"/>
        <v>mailto: soilterrain@victoria1.gov.bc.ca</v>
      </c>
    </row>
    <row r="1457" spans="1:34">
      <c r="A1457" t="s">
        <v>3429</v>
      </c>
      <c r="B1457" t="s">
        <v>56</v>
      </c>
      <c r="C1457" s="10" t="s">
        <v>1157</v>
      </c>
      <c r="D1457" t="s">
        <v>58</v>
      </c>
      <c r="E1457" t="s">
        <v>3350</v>
      </c>
      <c r="F1457" t="s">
        <v>3430</v>
      </c>
      <c r="G1457">
        <v>50000</v>
      </c>
      <c r="H1457">
        <v>1973</v>
      </c>
      <c r="I1457" t="s">
        <v>3352</v>
      </c>
      <c r="J1457" t="s">
        <v>58</v>
      </c>
      <c r="K1457" t="s">
        <v>58</v>
      </c>
      <c r="L1457" t="s">
        <v>61</v>
      </c>
      <c r="M1457" t="s">
        <v>58</v>
      </c>
      <c r="Q1457" t="s">
        <v>58</v>
      </c>
      <c r="R1457" s="11" t="str">
        <f>HYPERLINK("\\imagefiles.bcgov\imagery\scanned_maps\moe_terrain_maps\Scanned_T_maps_all\K08\K08-766","\\imagefiles.bcgov\imagery\scanned_maps\moe_terrain_maps\Scanned_T_maps_all\K08\K08-766")</f>
        <v>\\imagefiles.bcgov\imagery\scanned_maps\moe_terrain_maps\Scanned_T_maps_all\K08\K08-766</v>
      </c>
      <c r="S1457" t="s">
        <v>62</v>
      </c>
      <c r="T1457" s="11" t="str">
        <f>HYPERLINK("http://www.env.gov.bc.ca/esd/distdata/ecosystems/TEI_Scanned_Maps/K08/K08-766","http://www.env.gov.bc.ca/esd/distdata/ecosystems/TEI_Scanned_Maps/K08/K08-766")</f>
        <v>http://www.env.gov.bc.ca/esd/distdata/ecosystems/TEI_Scanned_Maps/K08/K08-766</v>
      </c>
      <c r="U1457" t="s">
        <v>3353</v>
      </c>
      <c r="V1457" s="11" t="str">
        <f t="shared" si="67"/>
        <v>http://www.env.gov.bc.ca/esd/distdata/ecosystems/Soil_Data/CAPAMP/</v>
      </c>
      <c r="W1457" t="s">
        <v>2489</v>
      </c>
      <c r="X1457" s="11" t="str">
        <f t="shared" si="66"/>
        <v>http://www.em.gov.bc.ca/mining/geolsurv/terrain&amp;soils/frbcguid.htm</v>
      </c>
      <c r="Y1457" t="s">
        <v>58</v>
      </c>
      <c r="Z1457" t="s">
        <v>58</v>
      </c>
      <c r="AA1457" t="s">
        <v>58</v>
      </c>
      <c r="AC1457" t="s">
        <v>58</v>
      </c>
      <c r="AE1457" t="s">
        <v>58</v>
      </c>
      <c r="AG1457" t="s">
        <v>63</v>
      </c>
      <c r="AH1457" s="11" t="str">
        <f t="shared" si="53"/>
        <v>mailto: soilterrain@victoria1.gov.bc.ca</v>
      </c>
    </row>
    <row r="1458" spans="1:34">
      <c r="A1458" t="s">
        <v>3431</v>
      </c>
      <c r="B1458" t="s">
        <v>56</v>
      </c>
      <c r="C1458" s="10" t="s">
        <v>1159</v>
      </c>
      <c r="D1458" t="s">
        <v>58</v>
      </c>
      <c r="E1458" t="s">
        <v>3350</v>
      </c>
      <c r="F1458" t="s">
        <v>3432</v>
      </c>
      <c r="G1458">
        <v>50000</v>
      </c>
      <c r="H1458">
        <v>1973</v>
      </c>
      <c r="I1458" t="s">
        <v>3352</v>
      </c>
      <c r="J1458" t="s">
        <v>58</v>
      </c>
      <c r="K1458" t="s">
        <v>58</v>
      </c>
      <c r="L1458" t="s">
        <v>61</v>
      </c>
      <c r="M1458" t="s">
        <v>58</v>
      </c>
      <c r="Q1458" t="s">
        <v>58</v>
      </c>
      <c r="R1458" s="11" t="str">
        <f>HYPERLINK("\\imagefiles.bcgov\imagery\scanned_maps\moe_terrain_maps\Scanned_T_maps_all\K08\K08-768","\\imagefiles.bcgov\imagery\scanned_maps\moe_terrain_maps\Scanned_T_maps_all\K08\K08-768")</f>
        <v>\\imagefiles.bcgov\imagery\scanned_maps\moe_terrain_maps\Scanned_T_maps_all\K08\K08-768</v>
      </c>
      <c r="S1458" t="s">
        <v>62</v>
      </c>
      <c r="T1458" s="11" t="str">
        <f>HYPERLINK("http://www.env.gov.bc.ca/esd/distdata/ecosystems/TEI_Scanned_Maps/K08/K08-768","http://www.env.gov.bc.ca/esd/distdata/ecosystems/TEI_Scanned_Maps/K08/K08-768")</f>
        <v>http://www.env.gov.bc.ca/esd/distdata/ecosystems/TEI_Scanned_Maps/K08/K08-768</v>
      </c>
      <c r="U1458" t="s">
        <v>3353</v>
      </c>
      <c r="V1458" s="11" t="str">
        <f t="shared" si="67"/>
        <v>http://www.env.gov.bc.ca/esd/distdata/ecosystems/Soil_Data/CAPAMP/</v>
      </c>
      <c r="W1458" t="s">
        <v>2489</v>
      </c>
      <c r="X1458" s="11" t="str">
        <f t="shared" si="66"/>
        <v>http://www.em.gov.bc.ca/mining/geolsurv/terrain&amp;soils/frbcguid.htm</v>
      </c>
      <c r="Y1458" t="s">
        <v>58</v>
      </c>
      <c r="Z1458" t="s">
        <v>58</v>
      </c>
      <c r="AA1458" t="s">
        <v>58</v>
      </c>
      <c r="AC1458" t="s">
        <v>58</v>
      </c>
      <c r="AE1458" t="s">
        <v>58</v>
      </c>
      <c r="AG1458" t="s">
        <v>63</v>
      </c>
      <c r="AH1458" s="11" t="str">
        <f t="shared" si="53"/>
        <v>mailto: soilterrain@victoria1.gov.bc.ca</v>
      </c>
    </row>
    <row r="1459" spans="1:34">
      <c r="A1459" t="s">
        <v>3433</v>
      </c>
      <c r="B1459" t="s">
        <v>56</v>
      </c>
      <c r="C1459" s="10" t="s">
        <v>1161</v>
      </c>
      <c r="D1459" t="s">
        <v>58</v>
      </c>
      <c r="E1459" t="s">
        <v>3350</v>
      </c>
      <c r="F1459" t="s">
        <v>3434</v>
      </c>
      <c r="G1459">
        <v>50000</v>
      </c>
      <c r="H1459">
        <v>1973</v>
      </c>
      <c r="I1459" t="s">
        <v>3352</v>
      </c>
      <c r="J1459" t="s">
        <v>58</v>
      </c>
      <c r="K1459" t="s">
        <v>58</v>
      </c>
      <c r="L1459" t="s">
        <v>61</v>
      </c>
      <c r="M1459" t="s">
        <v>58</v>
      </c>
      <c r="Q1459" t="s">
        <v>58</v>
      </c>
      <c r="R1459" s="11" t="str">
        <f>HYPERLINK("\\imagefiles.bcgov\imagery\scanned_maps\moe_terrain_maps\Scanned_T_maps_all\K08\K08-770","\\imagefiles.bcgov\imagery\scanned_maps\moe_terrain_maps\Scanned_T_maps_all\K08\K08-770")</f>
        <v>\\imagefiles.bcgov\imagery\scanned_maps\moe_terrain_maps\Scanned_T_maps_all\K08\K08-770</v>
      </c>
      <c r="S1459" t="s">
        <v>62</v>
      </c>
      <c r="T1459" s="11" t="str">
        <f>HYPERLINK("http://www.env.gov.bc.ca/esd/distdata/ecosystems/TEI_Scanned_Maps/K08/K08-770","http://www.env.gov.bc.ca/esd/distdata/ecosystems/TEI_Scanned_Maps/K08/K08-770")</f>
        <v>http://www.env.gov.bc.ca/esd/distdata/ecosystems/TEI_Scanned_Maps/K08/K08-770</v>
      </c>
      <c r="U1459" t="s">
        <v>3353</v>
      </c>
      <c r="V1459" s="11" t="str">
        <f t="shared" si="67"/>
        <v>http://www.env.gov.bc.ca/esd/distdata/ecosystems/Soil_Data/CAPAMP/</v>
      </c>
      <c r="W1459" t="s">
        <v>2489</v>
      </c>
      <c r="X1459" s="11" t="str">
        <f t="shared" si="66"/>
        <v>http://www.em.gov.bc.ca/mining/geolsurv/terrain&amp;soils/frbcguid.htm</v>
      </c>
      <c r="Y1459" t="s">
        <v>58</v>
      </c>
      <c r="Z1459" t="s">
        <v>58</v>
      </c>
      <c r="AA1459" t="s">
        <v>58</v>
      </c>
      <c r="AC1459" t="s">
        <v>58</v>
      </c>
      <c r="AE1459" t="s">
        <v>58</v>
      </c>
      <c r="AG1459" t="s">
        <v>63</v>
      </c>
      <c r="AH1459" s="11" t="str">
        <f t="shared" si="53"/>
        <v>mailto: soilterrain@victoria1.gov.bc.ca</v>
      </c>
    </row>
    <row r="1460" spans="1:34">
      <c r="A1460" t="s">
        <v>3435</v>
      </c>
      <c r="B1460" t="s">
        <v>56</v>
      </c>
      <c r="C1460" s="10" t="s">
        <v>1165</v>
      </c>
      <c r="D1460" t="s">
        <v>58</v>
      </c>
      <c r="E1460" t="s">
        <v>3350</v>
      </c>
      <c r="F1460" t="s">
        <v>3436</v>
      </c>
      <c r="G1460">
        <v>50000</v>
      </c>
      <c r="H1460">
        <v>1973</v>
      </c>
      <c r="I1460" t="s">
        <v>3352</v>
      </c>
      <c r="J1460" t="s">
        <v>58</v>
      </c>
      <c r="K1460" t="s">
        <v>58</v>
      </c>
      <c r="L1460" t="s">
        <v>61</v>
      </c>
      <c r="M1460" t="s">
        <v>58</v>
      </c>
      <c r="Q1460" t="s">
        <v>58</v>
      </c>
      <c r="R1460" s="11" t="str">
        <f>HYPERLINK("\\imagefiles.bcgov\imagery\scanned_maps\moe_terrain_maps\Scanned_T_maps_all\K08\K08-776","\\imagefiles.bcgov\imagery\scanned_maps\moe_terrain_maps\Scanned_T_maps_all\K08\K08-776")</f>
        <v>\\imagefiles.bcgov\imagery\scanned_maps\moe_terrain_maps\Scanned_T_maps_all\K08\K08-776</v>
      </c>
      <c r="S1460" t="s">
        <v>62</v>
      </c>
      <c r="T1460" s="11" t="str">
        <f>HYPERLINK("http://www.env.gov.bc.ca/esd/distdata/ecosystems/TEI_Scanned_Maps/K08/K08-776","http://www.env.gov.bc.ca/esd/distdata/ecosystems/TEI_Scanned_Maps/K08/K08-776")</f>
        <v>http://www.env.gov.bc.ca/esd/distdata/ecosystems/TEI_Scanned_Maps/K08/K08-776</v>
      </c>
      <c r="U1460" t="s">
        <v>3353</v>
      </c>
      <c r="V1460" s="11" t="str">
        <f t="shared" si="67"/>
        <v>http://www.env.gov.bc.ca/esd/distdata/ecosystems/Soil_Data/CAPAMP/</v>
      </c>
      <c r="W1460" t="s">
        <v>2489</v>
      </c>
      <c r="X1460" s="11" t="str">
        <f t="shared" si="66"/>
        <v>http://www.em.gov.bc.ca/mining/geolsurv/terrain&amp;soils/frbcguid.htm</v>
      </c>
      <c r="Y1460" t="s">
        <v>58</v>
      </c>
      <c r="Z1460" t="s">
        <v>58</v>
      </c>
      <c r="AA1460" t="s">
        <v>58</v>
      </c>
      <c r="AC1460" t="s">
        <v>58</v>
      </c>
      <c r="AE1460" t="s">
        <v>58</v>
      </c>
      <c r="AG1460" t="s">
        <v>63</v>
      </c>
      <c r="AH1460" s="11" t="str">
        <f t="shared" si="53"/>
        <v>mailto: soilterrain@victoria1.gov.bc.ca</v>
      </c>
    </row>
    <row r="1461" spans="1:34">
      <c r="A1461" t="s">
        <v>3437</v>
      </c>
      <c r="B1461" t="s">
        <v>56</v>
      </c>
      <c r="C1461" s="10" t="s">
        <v>1167</v>
      </c>
      <c r="D1461" t="s">
        <v>58</v>
      </c>
      <c r="E1461" t="s">
        <v>3350</v>
      </c>
      <c r="F1461" t="s">
        <v>3438</v>
      </c>
      <c r="G1461">
        <v>50000</v>
      </c>
      <c r="H1461">
        <v>1973</v>
      </c>
      <c r="I1461" t="s">
        <v>3352</v>
      </c>
      <c r="J1461" t="s">
        <v>58</v>
      </c>
      <c r="K1461" t="s">
        <v>58</v>
      </c>
      <c r="L1461" t="s">
        <v>61</v>
      </c>
      <c r="M1461" t="s">
        <v>58</v>
      </c>
      <c r="Q1461" t="s">
        <v>58</v>
      </c>
      <c r="R1461" s="11" t="str">
        <f>HYPERLINK("\\imagefiles.bcgov\imagery\scanned_maps\moe_terrain_maps\Scanned_T_maps_all\K08\K08-779","\\imagefiles.bcgov\imagery\scanned_maps\moe_terrain_maps\Scanned_T_maps_all\K08\K08-779")</f>
        <v>\\imagefiles.bcgov\imagery\scanned_maps\moe_terrain_maps\Scanned_T_maps_all\K08\K08-779</v>
      </c>
      <c r="S1461" t="s">
        <v>62</v>
      </c>
      <c r="T1461" s="11" t="str">
        <f>HYPERLINK("http://www.env.gov.bc.ca/esd/distdata/ecosystems/TEI_Scanned_Maps/K08/K08-779","http://www.env.gov.bc.ca/esd/distdata/ecosystems/TEI_Scanned_Maps/K08/K08-779")</f>
        <v>http://www.env.gov.bc.ca/esd/distdata/ecosystems/TEI_Scanned_Maps/K08/K08-779</v>
      </c>
      <c r="U1461" t="s">
        <v>3353</v>
      </c>
      <c r="V1461" s="11" t="str">
        <f t="shared" si="67"/>
        <v>http://www.env.gov.bc.ca/esd/distdata/ecosystems/Soil_Data/CAPAMP/</v>
      </c>
      <c r="W1461" t="s">
        <v>2489</v>
      </c>
      <c r="X1461" s="11" t="str">
        <f t="shared" si="66"/>
        <v>http://www.em.gov.bc.ca/mining/geolsurv/terrain&amp;soils/frbcguid.htm</v>
      </c>
      <c r="Y1461" t="s">
        <v>58</v>
      </c>
      <c r="Z1461" t="s">
        <v>58</v>
      </c>
      <c r="AA1461" t="s">
        <v>58</v>
      </c>
      <c r="AC1461" t="s">
        <v>58</v>
      </c>
      <c r="AE1461" t="s">
        <v>58</v>
      </c>
      <c r="AG1461" t="s">
        <v>63</v>
      </c>
      <c r="AH1461" s="11" t="str">
        <f t="shared" si="53"/>
        <v>mailto: soilterrain@victoria1.gov.bc.ca</v>
      </c>
    </row>
    <row r="1462" spans="1:34">
      <c r="A1462" t="s">
        <v>3439</v>
      </c>
      <c r="B1462" t="s">
        <v>56</v>
      </c>
      <c r="C1462" s="10" t="s">
        <v>1169</v>
      </c>
      <c r="D1462" t="s">
        <v>58</v>
      </c>
      <c r="E1462" t="s">
        <v>3350</v>
      </c>
      <c r="F1462" t="s">
        <v>3440</v>
      </c>
      <c r="G1462">
        <v>50000</v>
      </c>
      <c r="H1462">
        <v>1973</v>
      </c>
      <c r="I1462" t="s">
        <v>3352</v>
      </c>
      <c r="J1462" t="s">
        <v>58</v>
      </c>
      <c r="K1462" t="s">
        <v>58</v>
      </c>
      <c r="L1462" t="s">
        <v>61</v>
      </c>
      <c r="M1462" t="s">
        <v>58</v>
      </c>
      <c r="Q1462" t="s">
        <v>58</v>
      </c>
      <c r="R1462" s="11" t="str">
        <f>HYPERLINK("\\imagefiles.bcgov\imagery\scanned_maps\moe_terrain_maps\Scanned_T_maps_all\K08\K08-782","\\imagefiles.bcgov\imagery\scanned_maps\moe_terrain_maps\Scanned_T_maps_all\K08\K08-782")</f>
        <v>\\imagefiles.bcgov\imagery\scanned_maps\moe_terrain_maps\Scanned_T_maps_all\K08\K08-782</v>
      </c>
      <c r="S1462" t="s">
        <v>62</v>
      </c>
      <c r="T1462" s="11" t="str">
        <f>HYPERLINK("http://www.env.gov.bc.ca/esd/distdata/ecosystems/TEI_Scanned_Maps/K08/K08-782","http://www.env.gov.bc.ca/esd/distdata/ecosystems/TEI_Scanned_Maps/K08/K08-782")</f>
        <v>http://www.env.gov.bc.ca/esd/distdata/ecosystems/TEI_Scanned_Maps/K08/K08-782</v>
      </c>
      <c r="U1462" t="s">
        <v>3353</v>
      </c>
      <c r="V1462" s="11" t="str">
        <f t="shared" si="67"/>
        <v>http://www.env.gov.bc.ca/esd/distdata/ecosystems/Soil_Data/CAPAMP/</v>
      </c>
      <c r="W1462" t="s">
        <v>2489</v>
      </c>
      <c r="X1462" s="11" t="str">
        <f t="shared" si="66"/>
        <v>http://www.em.gov.bc.ca/mining/geolsurv/terrain&amp;soils/frbcguid.htm</v>
      </c>
      <c r="Y1462" t="s">
        <v>58</v>
      </c>
      <c r="Z1462" t="s">
        <v>58</v>
      </c>
      <c r="AA1462" t="s">
        <v>58</v>
      </c>
      <c r="AC1462" t="s">
        <v>58</v>
      </c>
      <c r="AE1462" t="s">
        <v>58</v>
      </c>
      <c r="AG1462" t="s">
        <v>63</v>
      </c>
      <c r="AH1462" s="11" t="str">
        <f t="shared" si="53"/>
        <v>mailto: soilterrain@victoria1.gov.bc.ca</v>
      </c>
    </row>
    <row r="1463" spans="1:34">
      <c r="A1463" t="s">
        <v>3441</v>
      </c>
      <c r="B1463" t="s">
        <v>56</v>
      </c>
      <c r="C1463" s="10" t="s">
        <v>1171</v>
      </c>
      <c r="D1463" t="s">
        <v>58</v>
      </c>
      <c r="E1463" t="s">
        <v>3350</v>
      </c>
      <c r="F1463" t="s">
        <v>3442</v>
      </c>
      <c r="G1463">
        <v>50000</v>
      </c>
      <c r="H1463">
        <v>1973</v>
      </c>
      <c r="I1463" t="s">
        <v>3352</v>
      </c>
      <c r="J1463" t="s">
        <v>58</v>
      </c>
      <c r="K1463" t="s">
        <v>58</v>
      </c>
      <c r="L1463" t="s">
        <v>61</v>
      </c>
      <c r="M1463" t="s">
        <v>58</v>
      </c>
      <c r="Q1463" t="s">
        <v>58</v>
      </c>
      <c r="R1463" s="11" t="str">
        <f>HYPERLINK("\\imagefiles.bcgov\imagery\scanned_maps\moe_terrain_maps\Scanned_T_maps_all\K08\K08-784","\\imagefiles.bcgov\imagery\scanned_maps\moe_terrain_maps\Scanned_T_maps_all\K08\K08-784")</f>
        <v>\\imagefiles.bcgov\imagery\scanned_maps\moe_terrain_maps\Scanned_T_maps_all\K08\K08-784</v>
      </c>
      <c r="S1463" t="s">
        <v>62</v>
      </c>
      <c r="T1463" s="11" t="str">
        <f>HYPERLINK("http://www.env.gov.bc.ca/esd/distdata/ecosystems/TEI_Scanned_Maps/K08/K08-784","http://www.env.gov.bc.ca/esd/distdata/ecosystems/TEI_Scanned_Maps/K08/K08-784")</f>
        <v>http://www.env.gov.bc.ca/esd/distdata/ecosystems/TEI_Scanned_Maps/K08/K08-784</v>
      </c>
      <c r="U1463" t="s">
        <v>3353</v>
      </c>
      <c r="V1463" s="11" t="str">
        <f t="shared" si="67"/>
        <v>http://www.env.gov.bc.ca/esd/distdata/ecosystems/Soil_Data/CAPAMP/</v>
      </c>
      <c r="W1463" t="s">
        <v>2489</v>
      </c>
      <c r="X1463" s="11" t="str">
        <f t="shared" si="66"/>
        <v>http://www.em.gov.bc.ca/mining/geolsurv/terrain&amp;soils/frbcguid.htm</v>
      </c>
      <c r="Y1463" t="s">
        <v>58</v>
      </c>
      <c r="Z1463" t="s">
        <v>58</v>
      </c>
      <c r="AA1463" t="s">
        <v>58</v>
      </c>
      <c r="AC1463" t="s">
        <v>58</v>
      </c>
      <c r="AE1463" t="s">
        <v>58</v>
      </c>
      <c r="AG1463" t="s">
        <v>63</v>
      </c>
      <c r="AH1463" s="11" t="str">
        <f t="shared" si="53"/>
        <v>mailto: soilterrain@victoria1.gov.bc.ca</v>
      </c>
    </row>
    <row r="1464" spans="1:34">
      <c r="A1464" t="s">
        <v>3443</v>
      </c>
      <c r="B1464" t="s">
        <v>56</v>
      </c>
      <c r="C1464" s="10" t="s">
        <v>1173</v>
      </c>
      <c r="D1464" t="s">
        <v>58</v>
      </c>
      <c r="E1464" t="s">
        <v>3350</v>
      </c>
      <c r="F1464" t="s">
        <v>3444</v>
      </c>
      <c r="G1464">
        <v>50000</v>
      </c>
      <c r="H1464">
        <v>1973</v>
      </c>
      <c r="I1464" t="s">
        <v>3352</v>
      </c>
      <c r="J1464" t="s">
        <v>58</v>
      </c>
      <c r="K1464" t="s">
        <v>58</v>
      </c>
      <c r="L1464" t="s">
        <v>61</v>
      </c>
      <c r="M1464" t="s">
        <v>58</v>
      </c>
      <c r="Q1464" t="s">
        <v>58</v>
      </c>
      <c r="R1464" s="11" t="str">
        <f>HYPERLINK("\\imagefiles.bcgov\imagery\scanned_maps\moe_terrain_maps\Scanned_T_maps_all\K08\K08-786","\\imagefiles.bcgov\imagery\scanned_maps\moe_terrain_maps\Scanned_T_maps_all\K08\K08-786")</f>
        <v>\\imagefiles.bcgov\imagery\scanned_maps\moe_terrain_maps\Scanned_T_maps_all\K08\K08-786</v>
      </c>
      <c r="S1464" t="s">
        <v>62</v>
      </c>
      <c r="T1464" s="11" t="str">
        <f>HYPERLINK("http://www.env.gov.bc.ca/esd/distdata/ecosystems/TEI_Scanned_Maps/K08/K08-786","http://www.env.gov.bc.ca/esd/distdata/ecosystems/TEI_Scanned_Maps/K08/K08-786")</f>
        <v>http://www.env.gov.bc.ca/esd/distdata/ecosystems/TEI_Scanned_Maps/K08/K08-786</v>
      </c>
      <c r="U1464" t="s">
        <v>3353</v>
      </c>
      <c r="V1464" s="11" t="str">
        <f t="shared" si="67"/>
        <v>http://www.env.gov.bc.ca/esd/distdata/ecosystems/Soil_Data/CAPAMP/</v>
      </c>
      <c r="W1464" t="s">
        <v>2489</v>
      </c>
      <c r="X1464" s="11" t="str">
        <f t="shared" si="66"/>
        <v>http://www.em.gov.bc.ca/mining/geolsurv/terrain&amp;soils/frbcguid.htm</v>
      </c>
      <c r="Y1464" t="s">
        <v>58</v>
      </c>
      <c r="Z1464" t="s">
        <v>58</v>
      </c>
      <c r="AA1464" t="s">
        <v>58</v>
      </c>
      <c r="AC1464" t="s">
        <v>58</v>
      </c>
      <c r="AE1464" t="s">
        <v>58</v>
      </c>
      <c r="AG1464" t="s">
        <v>63</v>
      </c>
      <c r="AH1464" s="11" t="str">
        <f t="shared" si="53"/>
        <v>mailto: soilterrain@victoria1.gov.bc.ca</v>
      </c>
    </row>
    <row r="1465" spans="1:34">
      <c r="A1465" t="s">
        <v>3445</v>
      </c>
      <c r="B1465" t="s">
        <v>56</v>
      </c>
      <c r="C1465" s="10" t="s">
        <v>923</v>
      </c>
      <c r="D1465" t="s">
        <v>58</v>
      </c>
      <c r="E1465" t="s">
        <v>3050</v>
      </c>
      <c r="F1465" t="s">
        <v>3446</v>
      </c>
      <c r="G1465">
        <v>50000</v>
      </c>
      <c r="H1465">
        <v>1973</v>
      </c>
      <c r="I1465" t="s">
        <v>3052</v>
      </c>
      <c r="J1465" t="s">
        <v>58</v>
      </c>
      <c r="K1465" t="s">
        <v>61</v>
      </c>
      <c r="L1465" t="s">
        <v>61</v>
      </c>
      <c r="M1465" t="s">
        <v>58</v>
      </c>
      <c r="Q1465" t="s">
        <v>58</v>
      </c>
      <c r="R1465" s="11" t="str">
        <f>HYPERLINK("\\imagefiles.bcgov\imagery\scanned_maps\moe_terrain_maps\Scanned_T_maps_all\K08\K08-807","\\imagefiles.bcgov\imagery\scanned_maps\moe_terrain_maps\Scanned_T_maps_all\K08\K08-807")</f>
        <v>\\imagefiles.bcgov\imagery\scanned_maps\moe_terrain_maps\Scanned_T_maps_all\K08\K08-807</v>
      </c>
      <c r="S1465" t="s">
        <v>62</v>
      </c>
      <c r="T1465" s="11" t="str">
        <f>HYPERLINK("http://www.env.gov.bc.ca/esd/distdata/ecosystems/TEI_Scanned_Maps/K08/K08-807","http://www.env.gov.bc.ca/esd/distdata/ecosystems/TEI_Scanned_Maps/K08/K08-807")</f>
        <v>http://www.env.gov.bc.ca/esd/distdata/ecosystems/TEI_Scanned_Maps/K08/K08-807</v>
      </c>
      <c r="U1465" t="s">
        <v>269</v>
      </c>
      <c r="V1465" s="11" t="str">
        <f t="shared" ref="V1465:V1480" si="68">HYPERLINK("http://www.library.for.gov.bc.ca/#focus","http://www.library.for.gov.bc.ca/#focus")</f>
        <v>http://www.library.for.gov.bc.ca/#focus</v>
      </c>
      <c r="W1465" t="s">
        <v>3053</v>
      </c>
      <c r="X1465" s="11" t="str">
        <f t="shared" ref="X1465:X1480" si="69">HYPERLINK("http://www.prsss.ca/","http://www.prsss.ca/")</f>
        <v>http://www.prsss.ca/</v>
      </c>
      <c r="Y1465" t="s">
        <v>58</v>
      </c>
      <c r="Z1465" t="s">
        <v>58</v>
      </c>
      <c r="AA1465" t="s">
        <v>58</v>
      </c>
      <c r="AC1465" t="s">
        <v>58</v>
      </c>
      <c r="AE1465" t="s">
        <v>58</v>
      </c>
      <c r="AG1465" t="s">
        <v>63</v>
      </c>
      <c r="AH1465" s="11" t="str">
        <f t="shared" si="53"/>
        <v>mailto: soilterrain@victoria1.gov.bc.ca</v>
      </c>
    </row>
    <row r="1466" spans="1:34">
      <c r="A1466" t="s">
        <v>3447</v>
      </c>
      <c r="B1466" t="s">
        <v>56</v>
      </c>
      <c r="C1466" s="10" t="s">
        <v>1176</v>
      </c>
      <c r="D1466" t="s">
        <v>58</v>
      </c>
      <c r="E1466" t="s">
        <v>3050</v>
      </c>
      <c r="F1466" t="s">
        <v>3448</v>
      </c>
      <c r="G1466">
        <v>50000</v>
      </c>
      <c r="H1466">
        <v>1973</v>
      </c>
      <c r="I1466" t="s">
        <v>3052</v>
      </c>
      <c r="J1466" t="s">
        <v>58</v>
      </c>
      <c r="K1466" t="s">
        <v>61</v>
      </c>
      <c r="L1466" t="s">
        <v>61</v>
      </c>
      <c r="M1466" t="s">
        <v>58</v>
      </c>
      <c r="Q1466" t="s">
        <v>58</v>
      </c>
      <c r="R1466" s="11" t="str">
        <f>HYPERLINK("\\imagefiles.bcgov\imagery\scanned_maps\moe_terrain_maps\Scanned_T_maps_all\K08\K08-809","\\imagefiles.bcgov\imagery\scanned_maps\moe_terrain_maps\Scanned_T_maps_all\K08\K08-809")</f>
        <v>\\imagefiles.bcgov\imagery\scanned_maps\moe_terrain_maps\Scanned_T_maps_all\K08\K08-809</v>
      </c>
      <c r="S1466" t="s">
        <v>62</v>
      </c>
      <c r="T1466" s="11" t="str">
        <f>HYPERLINK("http://www.env.gov.bc.ca/esd/distdata/ecosystems/TEI_Scanned_Maps/K08/K08-809","http://www.env.gov.bc.ca/esd/distdata/ecosystems/TEI_Scanned_Maps/K08/K08-809")</f>
        <v>http://www.env.gov.bc.ca/esd/distdata/ecosystems/TEI_Scanned_Maps/K08/K08-809</v>
      </c>
      <c r="U1466" t="s">
        <v>269</v>
      </c>
      <c r="V1466" s="11" t="str">
        <f t="shared" si="68"/>
        <v>http://www.library.for.gov.bc.ca/#focus</v>
      </c>
      <c r="W1466" t="s">
        <v>3053</v>
      </c>
      <c r="X1466" s="11" t="str">
        <f t="shared" si="69"/>
        <v>http://www.prsss.ca/</v>
      </c>
      <c r="Y1466" t="s">
        <v>58</v>
      </c>
      <c r="Z1466" t="s">
        <v>58</v>
      </c>
      <c r="AA1466" t="s">
        <v>58</v>
      </c>
      <c r="AC1466" t="s">
        <v>58</v>
      </c>
      <c r="AE1466" t="s">
        <v>58</v>
      </c>
      <c r="AG1466" t="s">
        <v>63</v>
      </c>
      <c r="AH1466" s="11" t="str">
        <f t="shared" si="53"/>
        <v>mailto: soilterrain@victoria1.gov.bc.ca</v>
      </c>
    </row>
    <row r="1467" spans="1:34">
      <c r="A1467" t="s">
        <v>3449</v>
      </c>
      <c r="B1467" t="s">
        <v>56</v>
      </c>
      <c r="C1467" s="10" t="s">
        <v>927</v>
      </c>
      <c r="D1467" t="s">
        <v>58</v>
      </c>
      <c r="E1467" t="s">
        <v>3050</v>
      </c>
      <c r="F1467" t="s">
        <v>3450</v>
      </c>
      <c r="G1467">
        <v>50000</v>
      </c>
      <c r="H1467">
        <v>1980</v>
      </c>
      <c r="I1467" t="s">
        <v>3052</v>
      </c>
      <c r="J1467" t="s">
        <v>58</v>
      </c>
      <c r="K1467" t="s">
        <v>61</v>
      </c>
      <c r="L1467" t="s">
        <v>61</v>
      </c>
      <c r="M1467" t="s">
        <v>58</v>
      </c>
      <c r="Q1467" t="s">
        <v>58</v>
      </c>
      <c r="R1467" s="11" t="str">
        <f>HYPERLINK("\\imagefiles.bcgov\imagery\scanned_maps\moe_terrain_maps\Scanned_T_maps_all\K08\K08-811","\\imagefiles.bcgov\imagery\scanned_maps\moe_terrain_maps\Scanned_T_maps_all\K08\K08-811")</f>
        <v>\\imagefiles.bcgov\imagery\scanned_maps\moe_terrain_maps\Scanned_T_maps_all\K08\K08-811</v>
      </c>
      <c r="S1467" t="s">
        <v>62</v>
      </c>
      <c r="T1467" s="11" t="str">
        <f>HYPERLINK("http://www.env.gov.bc.ca/esd/distdata/ecosystems/TEI_Scanned_Maps/K08/K08-811","http://www.env.gov.bc.ca/esd/distdata/ecosystems/TEI_Scanned_Maps/K08/K08-811")</f>
        <v>http://www.env.gov.bc.ca/esd/distdata/ecosystems/TEI_Scanned_Maps/K08/K08-811</v>
      </c>
      <c r="U1467" t="s">
        <v>269</v>
      </c>
      <c r="V1467" s="11" t="str">
        <f t="shared" si="68"/>
        <v>http://www.library.for.gov.bc.ca/#focus</v>
      </c>
      <c r="W1467" t="s">
        <v>3053</v>
      </c>
      <c r="X1467" s="11" t="str">
        <f t="shared" si="69"/>
        <v>http://www.prsss.ca/</v>
      </c>
      <c r="Y1467" t="s">
        <v>58</v>
      </c>
      <c r="Z1467" t="s">
        <v>58</v>
      </c>
      <c r="AA1467" t="s">
        <v>58</v>
      </c>
      <c r="AC1467" t="s">
        <v>58</v>
      </c>
      <c r="AE1467" t="s">
        <v>58</v>
      </c>
      <c r="AG1467" t="s">
        <v>63</v>
      </c>
      <c r="AH1467" s="11" t="str">
        <f t="shared" si="53"/>
        <v>mailto: soilterrain@victoria1.gov.bc.ca</v>
      </c>
    </row>
    <row r="1468" spans="1:34">
      <c r="A1468" t="s">
        <v>3451</v>
      </c>
      <c r="B1468" t="s">
        <v>56</v>
      </c>
      <c r="C1468" s="10" t="s">
        <v>1179</v>
      </c>
      <c r="D1468" t="s">
        <v>58</v>
      </c>
      <c r="E1468" t="s">
        <v>3050</v>
      </c>
      <c r="F1468" t="s">
        <v>3452</v>
      </c>
      <c r="G1468">
        <v>50000</v>
      </c>
      <c r="H1468">
        <v>1979</v>
      </c>
      <c r="I1468" t="s">
        <v>3052</v>
      </c>
      <c r="J1468" t="s">
        <v>58</v>
      </c>
      <c r="K1468" t="s">
        <v>61</v>
      </c>
      <c r="L1468" t="s">
        <v>61</v>
      </c>
      <c r="M1468" t="s">
        <v>58</v>
      </c>
      <c r="Q1468" t="s">
        <v>58</v>
      </c>
      <c r="R1468" s="11" t="str">
        <f>HYPERLINK("\\imagefiles.bcgov\imagery\scanned_maps\moe_terrain_maps\Scanned_T_maps_all\K08\K08-813","\\imagefiles.bcgov\imagery\scanned_maps\moe_terrain_maps\Scanned_T_maps_all\K08\K08-813")</f>
        <v>\\imagefiles.bcgov\imagery\scanned_maps\moe_terrain_maps\Scanned_T_maps_all\K08\K08-813</v>
      </c>
      <c r="S1468" t="s">
        <v>62</v>
      </c>
      <c r="T1468" s="11" t="str">
        <f>HYPERLINK("http://www.env.gov.bc.ca/esd/distdata/ecosystems/TEI_Scanned_Maps/K08/K08-813","http://www.env.gov.bc.ca/esd/distdata/ecosystems/TEI_Scanned_Maps/K08/K08-813")</f>
        <v>http://www.env.gov.bc.ca/esd/distdata/ecosystems/TEI_Scanned_Maps/K08/K08-813</v>
      </c>
      <c r="U1468" t="s">
        <v>269</v>
      </c>
      <c r="V1468" s="11" t="str">
        <f t="shared" si="68"/>
        <v>http://www.library.for.gov.bc.ca/#focus</v>
      </c>
      <c r="W1468" t="s">
        <v>3053</v>
      </c>
      <c r="X1468" s="11" t="str">
        <f t="shared" si="69"/>
        <v>http://www.prsss.ca/</v>
      </c>
      <c r="Y1468" t="s">
        <v>58</v>
      </c>
      <c r="Z1468" t="s">
        <v>58</v>
      </c>
      <c r="AA1468" t="s">
        <v>58</v>
      </c>
      <c r="AC1468" t="s">
        <v>58</v>
      </c>
      <c r="AE1468" t="s">
        <v>58</v>
      </c>
      <c r="AG1468" t="s">
        <v>63</v>
      </c>
      <c r="AH1468" s="11" t="str">
        <f t="shared" si="53"/>
        <v>mailto: soilterrain@victoria1.gov.bc.ca</v>
      </c>
    </row>
    <row r="1469" spans="1:34">
      <c r="A1469" t="s">
        <v>3453</v>
      </c>
      <c r="B1469" t="s">
        <v>56</v>
      </c>
      <c r="C1469" s="10" t="s">
        <v>930</v>
      </c>
      <c r="D1469" t="s">
        <v>58</v>
      </c>
      <c r="E1469" t="s">
        <v>3050</v>
      </c>
      <c r="F1469" t="s">
        <v>3454</v>
      </c>
      <c r="G1469">
        <v>50000</v>
      </c>
      <c r="H1469">
        <v>1979</v>
      </c>
      <c r="I1469" t="s">
        <v>3052</v>
      </c>
      <c r="J1469" t="s">
        <v>58</v>
      </c>
      <c r="K1469" t="s">
        <v>61</v>
      </c>
      <c r="L1469" t="s">
        <v>61</v>
      </c>
      <c r="M1469" t="s">
        <v>58</v>
      </c>
      <c r="Q1469" t="s">
        <v>58</v>
      </c>
      <c r="R1469" s="11" t="str">
        <f>HYPERLINK("\\imagefiles.bcgov\imagery\scanned_maps\moe_terrain_maps\Scanned_T_maps_all\K08\K08-815","\\imagefiles.bcgov\imagery\scanned_maps\moe_terrain_maps\Scanned_T_maps_all\K08\K08-815")</f>
        <v>\\imagefiles.bcgov\imagery\scanned_maps\moe_terrain_maps\Scanned_T_maps_all\K08\K08-815</v>
      </c>
      <c r="S1469" t="s">
        <v>62</v>
      </c>
      <c r="T1469" s="11" t="str">
        <f>HYPERLINK("http://www.env.gov.bc.ca/esd/distdata/ecosystems/TEI_Scanned_Maps/K08/K08-815","http://www.env.gov.bc.ca/esd/distdata/ecosystems/TEI_Scanned_Maps/K08/K08-815")</f>
        <v>http://www.env.gov.bc.ca/esd/distdata/ecosystems/TEI_Scanned_Maps/K08/K08-815</v>
      </c>
      <c r="U1469" t="s">
        <v>269</v>
      </c>
      <c r="V1469" s="11" t="str">
        <f t="shared" si="68"/>
        <v>http://www.library.for.gov.bc.ca/#focus</v>
      </c>
      <c r="W1469" t="s">
        <v>3053</v>
      </c>
      <c r="X1469" s="11" t="str">
        <f t="shared" si="69"/>
        <v>http://www.prsss.ca/</v>
      </c>
      <c r="Y1469" t="s">
        <v>58</v>
      </c>
      <c r="Z1469" t="s">
        <v>58</v>
      </c>
      <c r="AA1469" t="s">
        <v>58</v>
      </c>
      <c r="AC1469" t="s">
        <v>58</v>
      </c>
      <c r="AE1469" t="s">
        <v>58</v>
      </c>
      <c r="AG1469" t="s">
        <v>63</v>
      </c>
      <c r="AH1469" s="11" t="str">
        <f t="shared" si="53"/>
        <v>mailto: soilterrain@victoria1.gov.bc.ca</v>
      </c>
    </row>
    <row r="1470" spans="1:34">
      <c r="A1470" t="s">
        <v>3455</v>
      </c>
      <c r="B1470" t="s">
        <v>56</v>
      </c>
      <c r="C1470" s="10" t="s">
        <v>933</v>
      </c>
      <c r="D1470" t="s">
        <v>58</v>
      </c>
      <c r="E1470" t="s">
        <v>3050</v>
      </c>
      <c r="F1470" t="s">
        <v>3456</v>
      </c>
      <c r="G1470">
        <v>50000</v>
      </c>
      <c r="H1470">
        <v>1979</v>
      </c>
      <c r="I1470" t="s">
        <v>3052</v>
      </c>
      <c r="J1470" t="s">
        <v>58</v>
      </c>
      <c r="K1470" t="s">
        <v>61</v>
      </c>
      <c r="L1470" t="s">
        <v>61</v>
      </c>
      <c r="M1470" t="s">
        <v>58</v>
      </c>
      <c r="Q1470" t="s">
        <v>58</v>
      </c>
      <c r="R1470" s="11" t="str">
        <f>HYPERLINK("\\imagefiles.bcgov\imagery\scanned_maps\moe_terrain_maps\Scanned_T_maps_all\K08\K08-817","\\imagefiles.bcgov\imagery\scanned_maps\moe_terrain_maps\Scanned_T_maps_all\K08\K08-817")</f>
        <v>\\imagefiles.bcgov\imagery\scanned_maps\moe_terrain_maps\Scanned_T_maps_all\K08\K08-817</v>
      </c>
      <c r="S1470" t="s">
        <v>62</v>
      </c>
      <c r="T1470" s="11" t="str">
        <f>HYPERLINK("http://www.env.gov.bc.ca/esd/distdata/ecosystems/TEI_Scanned_Maps/K08/K08-817","http://www.env.gov.bc.ca/esd/distdata/ecosystems/TEI_Scanned_Maps/K08/K08-817")</f>
        <v>http://www.env.gov.bc.ca/esd/distdata/ecosystems/TEI_Scanned_Maps/K08/K08-817</v>
      </c>
      <c r="U1470" t="s">
        <v>269</v>
      </c>
      <c r="V1470" s="11" t="str">
        <f t="shared" si="68"/>
        <v>http://www.library.for.gov.bc.ca/#focus</v>
      </c>
      <c r="W1470" t="s">
        <v>3053</v>
      </c>
      <c r="X1470" s="11" t="str">
        <f t="shared" si="69"/>
        <v>http://www.prsss.ca/</v>
      </c>
      <c r="Y1470" t="s">
        <v>58</v>
      </c>
      <c r="Z1470" t="s">
        <v>58</v>
      </c>
      <c r="AA1470" t="s">
        <v>58</v>
      </c>
      <c r="AC1470" t="s">
        <v>58</v>
      </c>
      <c r="AE1470" t="s">
        <v>58</v>
      </c>
      <c r="AG1470" t="s">
        <v>63</v>
      </c>
      <c r="AH1470" s="11" t="str">
        <f t="shared" si="53"/>
        <v>mailto: soilterrain@victoria1.gov.bc.ca</v>
      </c>
    </row>
    <row r="1471" spans="1:34">
      <c r="A1471" t="s">
        <v>3457</v>
      </c>
      <c r="B1471" t="s">
        <v>56</v>
      </c>
      <c r="C1471" s="10" t="s">
        <v>936</v>
      </c>
      <c r="D1471" t="s">
        <v>58</v>
      </c>
      <c r="E1471" t="s">
        <v>3050</v>
      </c>
      <c r="F1471" t="s">
        <v>3458</v>
      </c>
      <c r="G1471">
        <v>50000</v>
      </c>
      <c r="H1471">
        <v>1979</v>
      </c>
      <c r="I1471" t="s">
        <v>3052</v>
      </c>
      <c r="J1471" t="s">
        <v>58</v>
      </c>
      <c r="K1471" t="s">
        <v>61</v>
      </c>
      <c r="L1471" t="s">
        <v>61</v>
      </c>
      <c r="M1471" t="s">
        <v>58</v>
      </c>
      <c r="Q1471" t="s">
        <v>58</v>
      </c>
      <c r="R1471" s="11" t="str">
        <f>HYPERLINK("\\imagefiles.bcgov\imagery\scanned_maps\moe_terrain_maps\Scanned_T_maps_all\K08\K08-819","\\imagefiles.bcgov\imagery\scanned_maps\moe_terrain_maps\Scanned_T_maps_all\K08\K08-819")</f>
        <v>\\imagefiles.bcgov\imagery\scanned_maps\moe_terrain_maps\Scanned_T_maps_all\K08\K08-819</v>
      </c>
      <c r="S1471" t="s">
        <v>62</v>
      </c>
      <c r="T1471" s="11" t="str">
        <f>HYPERLINK("http://www.env.gov.bc.ca/esd/distdata/ecosystems/TEI_Scanned_Maps/K08/K08-819","http://www.env.gov.bc.ca/esd/distdata/ecosystems/TEI_Scanned_Maps/K08/K08-819")</f>
        <v>http://www.env.gov.bc.ca/esd/distdata/ecosystems/TEI_Scanned_Maps/K08/K08-819</v>
      </c>
      <c r="U1471" t="s">
        <v>269</v>
      </c>
      <c r="V1471" s="11" t="str">
        <f t="shared" si="68"/>
        <v>http://www.library.for.gov.bc.ca/#focus</v>
      </c>
      <c r="W1471" t="s">
        <v>3053</v>
      </c>
      <c r="X1471" s="11" t="str">
        <f t="shared" si="69"/>
        <v>http://www.prsss.ca/</v>
      </c>
      <c r="Y1471" t="s">
        <v>58</v>
      </c>
      <c r="Z1471" t="s">
        <v>58</v>
      </c>
      <c r="AA1471" t="s">
        <v>58</v>
      </c>
      <c r="AC1471" t="s">
        <v>58</v>
      </c>
      <c r="AE1471" t="s">
        <v>58</v>
      </c>
      <c r="AG1471" t="s">
        <v>63</v>
      </c>
      <c r="AH1471" s="11" t="str">
        <f t="shared" si="53"/>
        <v>mailto: soilterrain@victoria1.gov.bc.ca</v>
      </c>
    </row>
    <row r="1472" spans="1:34">
      <c r="A1472" t="s">
        <v>3459</v>
      </c>
      <c r="B1472" t="s">
        <v>56</v>
      </c>
      <c r="C1472" s="10" t="s">
        <v>939</v>
      </c>
      <c r="D1472" t="s">
        <v>58</v>
      </c>
      <c r="E1472" t="s">
        <v>3050</v>
      </c>
      <c r="F1472" t="s">
        <v>3460</v>
      </c>
      <c r="G1472">
        <v>50000</v>
      </c>
      <c r="H1472">
        <v>1979</v>
      </c>
      <c r="I1472" t="s">
        <v>3052</v>
      </c>
      <c r="J1472" t="s">
        <v>58</v>
      </c>
      <c r="K1472" t="s">
        <v>61</v>
      </c>
      <c r="L1472" t="s">
        <v>61</v>
      </c>
      <c r="M1472" t="s">
        <v>58</v>
      </c>
      <c r="Q1472" t="s">
        <v>58</v>
      </c>
      <c r="R1472" s="11" t="str">
        <f>HYPERLINK("\\imagefiles.bcgov\imagery\scanned_maps\moe_terrain_maps\Scanned_T_maps_all\K08\K08-821","\\imagefiles.bcgov\imagery\scanned_maps\moe_terrain_maps\Scanned_T_maps_all\K08\K08-821")</f>
        <v>\\imagefiles.bcgov\imagery\scanned_maps\moe_terrain_maps\Scanned_T_maps_all\K08\K08-821</v>
      </c>
      <c r="S1472" t="s">
        <v>62</v>
      </c>
      <c r="T1472" s="11" t="str">
        <f>HYPERLINK("http://www.env.gov.bc.ca/esd/distdata/ecosystems/TEI_Scanned_Maps/K08/K08-821","http://www.env.gov.bc.ca/esd/distdata/ecosystems/TEI_Scanned_Maps/K08/K08-821")</f>
        <v>http://www.env.gov.bc.ca/esd/distdata/ecosystems/TEI_Scanned_Maps/K08/K08-821</v>
      </c>
      <c r="U1472" t="s">
        <v>269</v>
      </c>
      <c r="V1472" s="11" t="str">
        <f t="shared" si="68"/>
        <v>http://www.library.for.gov.bc.ca/#focus</v>
      </c>
      <c r="W1472" t="s">
        <v>3053</v>
      </c>
      <c r="X1472" s="11" t="str">
        <f t="shared" si="69"/>
        <v>http://www.prsss.ca/</v>
      </c>
      <c r="Y1472" t="s">
        <v>58</v>
      </c>
      <c r="Z1472" t="s">
        <v>58</v>
      </c>
      <c r="AA1472" t="s">
        <v>58</v>
      </c>
      <c r="AC1472" t="s">
        <v>58</v>
      </c>
      <c r="AE1472" t="s">
        <v>58</v>
      </c>
      <c r="AG1472" t="s">
        <v>63</v>
      </c>
      <c r="AH1472" s="11" t="str">
        <f t="shared" si="53"/>
        <v>mailto: soilterrain@victoria1.gov.bc.ca</v>
      </c>
    </row>
    <row r="1473" spans="1:34">
      <c r="A1473" t="s">
        <v>3461</v>
      </c>
      <c r="B1473" t="s">
        <v>56</v>
      </c>
      <c r="C1473" s="10" t="s">
        <v>1185</v>
      </c>
      <c r="D1473" t="s">
        <v>58</v>
      </c>
      <c r="E1473" t="s">
        <v>3050</v>
      </c>
      <c r="F1473" t="s">
        <v>3462</v>
      </c>
      <c r="G1473">
        <v>50000</v>
      </c>
      <c r="H1473">
        <v>1979</v>
      </c>
      <c r="I1473" t="s">
        <v>3052</v>
      </c>
      <c r="J1473" t="s">
        <v>58</v>
      </c>
      <c r="K1473" t="s">
        <v>61</v>
      </c>
      <c r="L1473" t="s">
        <v>61</v>
      </c>
      <c r="M1473" t="s">
        <v>58</v>
      </c>
      <c r="Q1473" t="s">
        <v>58</v>
      </c>
      <c r="R1473" s="11" t="str">
        <f>HYPERLINK("\\imagefiles.bcgov\imagery\scanned_maps\moe_terrain_maps\Scanned_T_maps_all\K08\K08-823","\\imagefiles.bcgov\imagery\scanned_maps\moe_terrain_maps\Scanned_T_maps_all\K08\K08-823")</f>
        <v>\\imagefiles.bcgov\imagery\scanned_maps\moe_terrain_maps\Scanned_T_maps_all\K08\K08-823</v>
      </c>
      <c r="S1473" t="s">
        <v>62</v>
      </c>
      <c r="T1473" s="11" t="str">
        <f>HYPERLINK("http://www.env.gov.bc.ca/esd/distdata/ecosystems/TEI_Scanned_Maps/K08/K08-823","http://www.env.gov.bc.ca/esd/distdata/ecosystems/TEI_Scanned_Maps/K08/K08-823")</f>
        <v>http://www.env.gov.bc.ca/esd/distdata/ecosystems/TEI_Scanned_Maps/K08/K08-823</v>
      </c>
      <c r="U1473" t="s">
        <v>269</v>
      </c>
      <c r="V1473" s="11" t="str">
        <f t="shared" si="68"/>
        <v>http://www.library.for.gov.bc.ca/#focus</v>
      </c>
      <c r="W1473" t="s">
        <v>3053</v>
      </c>
      <c r="X1473" s="11" t="str">
        <f t="shared" si="69"/>
        <v>http://www.prsss.ca/</v>
      </c>
      <c r="Y1473" t="s">
        <v>58</v>
      </c>
      <c r="Z1473" t="s">
        <v>58</v>
      </c>
      <c r="AA1473" t="s">
        <v>58</v>
      </c>
      <c r="AC1473" t="s">
        <v>58</v>
      </c>
      <c r="AE1473" t="s">
        <v>58</v>
      </c>
      <c r="AG1473" t="s">
        <v>63</v>
      </c>
      <c r="AH1473" s="11" t="str">
        <f t="shared" si="53"/>
        <v>mailto: soilterrain@victoria1.gov.bc.ca</v>
      </c>
    </row>
    <row r="1474" spans="1:34">
      <c r="A1474" t="s">
        <v>3463</v>
      </c>
      <c r="B1474" t="s">
        <v>56</v>
      </c>
      <c r="C1474" s="10" t="s">
        <v>1187</v>
      </c>
      <c r="D1474" t="s">
        <v>58</v>
      </c>
      <c r="E1474" t="s">
        <v>3050</v>
      </c>
      <c r="F1474" t="s">
        <v>3464</v>
      </c>
      <c r="G1474">
        <v>50000</v>
      </c>
      <c r="H1474">
        <v>1979</v>
      </c>
      <c r="I1474" t="s">
        <v>3052</v>
      </c>
      <c r="J1474" t="s">
        <v>58</v>
      </c>
      <c r="K1474" t="s">
        <v>61</v>
      </c>
      <c r="L1474" t="s">
        <v>61</v>
      </c>
      <c r="M1474" t="s">
        <v>58</v>
      </c>
      <c r="Q1474" t="s">
        <v>58</v>
      </c>
      <c r="R1474" s="11" t="str">
        <f>HYPERLINK("\\imagefiles.bcgov\imagery\scanned_maps\moe_terrain_maps\Scanned_T_maps_all\K08\K08-825","\\imagefiles.bcgov\imagery\scanned_maps\moe_terrain_maps\Scanned_T_maps_all\K08\K08-825")</f>
        <v>\\imagefiles.bcgov\imagery\scanned_maps\moe_terrain_maps\Scanned_T_maps_all\K08\K08-825</v>
      </c>
      <c r="S1474" t="s">
        <v>62</v>
      </c>
      <c r="T1474" s="11" t="str">
        <f>HYPERLINK("http://www.env.gov.bc.ca/esd/distdata/ecosystems/TEI_Scanned_Maps/K08/K08-825","http://www.env.gov.bc.ca/esd/distdata/ecosystems/TEI_Scanned_Maps/K08/K08-825")</f>
        <v>http://www.env.gov.bc.ca/esd/distdata/ecosystems/TEI_Scanned_Maps/K08/K08-825</v>
      </c>
      <c r="U1474" t="s">
        <v>269</v>
      </c>
      <c r="V1474" s="11" t="str">
        <f t="shared" si="68"/>
        <v>http://www.library.for.gov.bc.ca/#focus</v>
      </c>
      <c r="W1474" t="s">
        <v>3053</v>
      </c>
      <c r="X1474" s="11" t="str">
        <f t="shared" si="69"/>
        <v>http://www.prsss.ca/</v>
      </c>
      <c r="Y1474" t="s">
        <v>58</v>
      </c>
      <c r="Z1474" t="s">
        <v>58</v>
      </c>
      <c r="AA1474" t="s">
        <v>58</v>
      </c>
      <c r="AC1474" t="s">
        <v>58</v>
      </c>
      <c r="AE1474" t="s">
        <v>58</v>
      </c>
      <c r="AG1474" t="s">
        <v>63</v>
      </c>
      <c r="AH1474" s="11" t="str">
        <f t="shared" ref="AH1474:AH1537" si="70">HYPERLINK("mailto: soilterrain@victoria1.gov.bc.ca","mailto: soilterrain@victoria1.gov.bc.ca")</f>
        <v>mailto: soilterrain@victoria1.gov.bc.ca</v>
      </c>
    </row>
    <row r="1475" spans="1:34">
      <c r="A1475" t="s">
        <v>3465</v>
      </c>
      <c r="B1475" t="s">
        <v>56</v>
      </c>
      <c r="C1475" s="10" t="s">
        <v>1189</v>
      </c>
      <c r="D1475" t="s">
        <v>58</v>
      </c>
      <c r="E1475" t="s">
        <v>3050</v>
      </c>
      <c r="F1475" t="s">
        <v>3466</v>
      </c>
      <c r="G1475">
        <v>50000</v>
      </c>
      <c r="H1475">
        <v>1979</v>
      </c>
      <c r="I1475" t="s">
        <v>3052</v>
      </c>
      <c r="J1475" t="s">
        <v>58</v>
      </c>
      <c r="K1475" t="s">
        <v>61</v>
      </c>
      <c r="L1475" t="s">
        <v>61</v>
      </c>
      <c r="M1475" t="s">
        <v>58</v>
      </c>
      <c r="Q1475" t="s">
        <v>58</v>
      </c>
      <c r="R1475" s="11" t="str">
        <f>HYPERLINK("\\imagefiles.bcgov\imagery\scanned_maps\moe_terrain_maps\Scanned_T_maps_all\K08\K08-827","\\imagefiles.bcgov\imagery\scanned_maps\moe_terrain_maps\Scanned_T_maps_all\K08\K08-827")</f>
        <v>\\imagefiles.bcgov\imagery\scanned_maps\moe_terrain_maps\Scanned_T_maps_all\K08\K08-827</v>
      </c>
      <c r="S1475" t="s">
        <v>62</v>
      </c>
      <c r="T1475" s="11" t="str">
        <f>HYPERLINK("http://www.env.gov.bc.ca/esd/distdata/ecosystems/TEI_Scanned_Maps/K08/K08-827","http://www.env.gov.bc.ca/esd/distdata/ecosystems/TEI_Scanned_Maps/K08/K08-827")</f>
        <v>http://www.env.gov.bc.ca/esd/distdata/ecosystems/TEI_Scanned_Maps/K08/K08-827</v>
      </c>
      <c r="U1475" t="s">
        <v>269</v>
      </c>
      <c r="V1475" s="11" t="str">
        <f t="shared" si="68"/>
        <v>http://www.library.for.gov.bc.ca/#focus</v>
      </c>
      <c r="W1475" t="s">
        <v>3053</v>
      </c>
      <c r="X1475" s="11" t="str">
        <f t="shared" si="69"/>
        <v>http://www.prsss.ca/</v>
      </c>
      <c r="Y1475" t="s">
        <v>58</v>
      </c>
      <c r="Z1475" t="s">
        <v>58</v>
      </c>
      <c r="AA1475" t="s">
        <v>58</v>
      </c>
      <c r="AC1475" t="s">
        <v>58</v>
      </c>
      <c r="AE1475" t="s">
        <v>58</v>
      </c>
      <c r="AG1475" t="s">
        <v>63</v>
      </c>
      <c r="AH1475" s="11" t="str">
        <f t="shared" si="70"/>
        <v>mailto: soilterrain@victoria1.gov.bc.ca</v>
      </c>
    </row>
    <row r="1476" spans="1:34">
      <c r="A1476" t="s">
        <v>3467</v>
      </c>
      <c r="B1476" t="s">
        <v>56</v>
      </c>
      <c r="C1476" s="10" t="s">
        <v>1191</v>
      </c>
      <c r="D1476" t="s">
        <v>58</v>
      </c>
      <c r="E1476" t="s">
        <v>3050</v>
      </c>
      <c r="F1476" t="s">
        <v>3468</v>
      </c>
      <c r="G1476">
        <v>50000</v>
      </c>
      <c r="H1476">
        <v>1979</v>
      </c>
      <c r="I1476" t="s">
        <v>3052</v>
      </c>
      <c r="J1476" t="s">
        <v>58</v>
      </c>
      <c r="K1476" t="s">
        <v>61</v>
      </c>
      <c r="L1476" t="s">
        <v>61</v>
      </c>
      <c r="M1476" t="s">
        <v>58</v>
      </c>
      <c r="Q1476" t="s">
        <v>58</v>
      </c>
      <c r="R1476" s="11" t="str">
        <f>HYPERLINK("\\imagefiles.bcgov\imagery\scanned_maps\moe_terrain_maps\Scanned_T_maps_all\K08\K08-829","\\imagefiles.bcgov\imagery\scanned_maps\moe_terrain_maps\Scanned_T_maps_all\K08\K08-829")</f>
        <v>\\imagefiles.bcgov\imagery\scanned_maps\moe_terrain_maps\Scanned_T_maps_all\K08\K08-829</v>
      </c>
      <c r="S1476" t="s">
        <v>62</v>
      </c>
      <c r="T1476" s="11" t="str">
        <f>HYPERLINK("http://www.env.gov.bc.ca/esd/distdata/ecosystems/TEI_Scanned_Maps/K08/K08-829","http://www.env.gov.bc.ca/esd/distdata/ecosystems/TEI_Scanned_Maps/K08/K08-829")</f>
        <v>http://www.env.gov.bc.ca/esd/distdata/ecosystems/TEI_Scanned_Maps/K08/K08-829</v>
      </c>
      <c r="U1476" t="s">
        <v>269</v>
      </c>
      <c r="V1476" s="11" t="str">
        <f t="shared" si="68"/>
        <v>http://www.library.for.gov.bc.ca/#focus</v>
      </c>
      <c r="W1476" t="s">
        <v>3053</v>
      </c>
      <c r="X1476" s="11" t="str">
        <f t="shared" si="69"/>
        <v>http://www.prsss.ca/</v>
      </c>
      <c r="Y1476" t="s">
        <v>58</v>
      </c>
      <c r="Z1476" t="s">
        <v>58</v>
      </c>
      <c r="AA1476" t="s">
        <v>58</v>
      </c>
      <c r="AC1476" t="s">
        <v>58</v>
      </c>
      <c r="AE1476" t="s">
        <v>58</v>
      </c>
      <c r="AG1476" t="s">
        <v>63</v>
      </c>
      <c r="AH1476" s="11" t="str">
        <f t="shared" si="70"/>
        <v>mailto: soilterrain@victoria1.gov.bc.ca</v>
      </c>
    </row>
    <row r="1477" spans="1:34">
      <c r="A1477" t="s">
        <v>3469</v>
      </c>
      <c r="B1477" t="s">
        <v>56</v>
      </c>
      <c r="C1477" s="10" t="s">
        <v>1193</v>
      </c>
      <c r="D1477" t="s">
        <v>58</v>
      </c>
      <c r="E1477" t="s">
        <v>3050</v>
      </c>
      <c r="F1477" t="s">
        <v>3470</v>
      </c>
      <c r="G1477">
        <v>50000</v>
      </c>
      <c r="H1477">
        <v>1979</v>
      </c>
      <c r="I1477" t="s">
        <v>3052</v>
      </c>
      <c r="J1477" t="s">
        <v>58</v>
      </c>
      <c r="K1477" t="s">
        <v>61</v>
      </c>
      <c r="L1477" t="s">
        <v>61</v>
      </c>
      <c r="M1477" t="s">
        <v>58</v>
      </c>
      <c r="Q1477" t="s">
        <v>58</v>
      </c>
      <c r="R1477" s="11" t="str">
        <f>HYPERLINK("\\imagefiles.bcgov\imagery\scanned_maps\moe_terrain_maps\Scanned_T_maps_all\K08\K08-831","\\imagefiles.bcgov\imagery\scanned_maps\moe_terrain_maps\Scanned_T_maps_all\K08\K08-831")</f>
        <v>\\imagefiles.bcgov\imagery\scanned_maps\moe_terrain_maps\Scanned_T_maps_all\K08\K08-831</v>
      </c>
      <c r="S1477" t="s">
        <v>62</v>
      </c>
      <c r="T1477" s="11" t="str">
        <f>HYPERLINK("http://www.env.gov.bc.ca/esd/distdata/ecosystems/TEI_Scanned_Maps/K08/K08-831","http://www.env.gov.bc.ca/esd/distdata/ecosystems/TEI_Scanned_Maps/K08/K08-831")</f>
        <v>http://www.env.gov.bc.ca/esd/distdata/ecosystems/TEI_Scanned_Maps/K08/K08-831</v>
      </c>
      <c r="U1477" t="s">
        <v>269</v>
      </c>
      <c r="V1477" s="11" t="str">
        <f t="shared" si="68"/>
        <v>http://www.library.for.gov.bc.ca/#focus</v>
      </c>
      <c r="W1477" t="s">
        <v>3053</v>
      </c>
      <c r="X1477" s="11" t="str">
        <f t="shared" si="69"/>
        <v>http://www.prsss.ca/</v>
      </c>
      <c r="Y1477" t="s">
        <v>58</v>
      </c>
      <c r="Z1477" t="s">
        <v>58</v>
      </c>
      <c r="AA1477" t="s">
        <v>58</v>
      </c>
      <c r="AC1477" t="s">
        <v>58</v>
      </c>
      <c r="AE1477" t="s">
        <v>58</v>
      </c>
      <c r="AG1477" t="s">
        <v>63</v>
      </c>
      <c r="AH1477" s="11" t="str">
        <f t="shared" si="70"/>
        <v>mailto: soilterrain@victoria1.gov.bc.ca</v>
      </c>
    </row>
    <row r="1478" spans="1:34">
      <c r="A1478" t="s">
        <v>3471</v>
      </c>
      <c r="B1478" t="s">
        <v>56</v>
      </c>
      <c r="C1478" s="10" t="s">
        <v>1195</v>
      </c>
      <c r="D1478" t="s">
        <v>58</v>
      </c>
      <c r="E1478" t="s">
        <v>3050</v>
      </c>
      <c r="F1478" t="s">
        <v>3472</v>
      </c>
      <c r="G1478">
        <v>50000</v>
      </c>
      <c r="H1478">
        <v>1979</v>
      </c>
      <c r="I1478" t="s">
        <v>3052</v>
      </c>
      <c r="J1478" t="s">
        <v>58</v>
      </c>
      <c r="K1478" t="s">
        <v>61</v>
      </c>
      <c r="L1478" t="s">
        <v>61</v>
      </c>
      <c r="M1478" t="s">
        <v>58</v>
      </c>
      <c r="Q1478" t="s">
        <v>58</v>
      </c>
      <c r="R1478" s="11" t="str">
        <f>HYPERLINK("\\imagefiles.bcgov\imagery\scanned_maps\moe_terrain_maps\Scanned_T_maps_all\K08\K08-833","\\imagefiles.bcgov\imagery\scanned_maps\moe_terrain_maps\Scanned_T_maps_all\K08\K08-833")</f>
        <v>\\imagefiles.bcgov\imagery\scanned_maps\moe_terrain_maps\Scanned_T_maps_all\K08\K08-833</v>
      </c>
      <c r="S1478" t="s">
        <v>62</v>
      </c>
      <c r="T1478" s="11" t="str">
        <f>HYPERLINK("http://www.env.gov.bc.ca/esd/distdata/ecosystems/TEI_Scanned_Maps/K08/K08-833","http://www.env.gov.bc.ca/esd/distdata/ecosystems/TEI_Scanned_Maps/K08/K08-833")</f>
        <v>http://www.env.gov.bc.ca/esd/distdata/ecosystems/TEI_Scanned_Maps/K08/K08-833</v>
      </c>
      <c r="U1478" t="s">
        <v>269</v>
      </c>
      <c r="V1478" s="11" t="str">
        <f t="shared" si="68"/>
        <v>http://www.library.for.gov.bc.ca/#focus</v>
      </c>
      <c r="W1478" t="s">
        <v>3053</v>
      </c>
      <c r="X1478" s="11" t="str">
        <f t="shared" si="69"/>
        <v>http://www.prsss.ca/</v>
      </c>
      <c r="Y1478" t="s">
        <v>58</v>
      </c>
      <c r="Z1478" t="s">
        <v>58</v>
      </c>
      <c r="AA1478" t="s">
        <v>58</v>
      </c>
      <c r="AC1478" t="s">
        <v>58</v>
      </c>
      <c r="AE1478" t="s">
        <v>58</v>
      </c>
      <c r="AG1478" t="s">
        <v>63</v>
      </c>
      <c r="AH1478" s="11" t="str">
        <f t="shared" si="70"/>
        <v>mailto: soilterrain@victoria1.gov.bc.ca</v>
      </c>
    </row>
    <row r="1479" spans="1:34">
      <c r="A1479" t="s">
        <v>3473</v>
      </c>
      <c r="B1479" t="s">
        <v>56</v>
      </c>
      <c r="C1479" s="10" t="s">
        <v>1197</v>
      </c>
      <c r="D1479" t="s">
        <v>58</v>
      </c>
      <c r="E1479" t="s">
        <v>3050</v>
      </c>
      <c r="F1479" t="s">
        <v>3474</v>
      </c>
      <c r="G1479">
        <v>50000</v>
      </c>
      <c r="H1479">
        <v>1979</v>
      </c>
      <c r="I1479" t="s">
        <v>3052</v>
      </c>
      <c r="J1479" t="s">
        <v>58</v>
      </c>
      <c r="K1479" t="s">
        <v>61</v>
      </c>
      <c r="L1479" t="s">
        <v>61</v>
      </c>
      <c r="M1479" t="s">
        <v>58</v>
      </c>
      <c r="Q1479" t="s">
        <v>58</v>
      </c>
      <c r="R1479" s="11" t="str">
        <f>HYPERLINK("\\imagefiles.bcgov\imagery\scanned_maps\moe_terrain_maps\Scanned_T_maps_all\K08\K08-835","\\imagefiles.bcgov\imagery\scanned_maps\moe_terrain_maps\Scanned_T_maps_all\K08\K08-835")</f>
        <v>\\imagefiles.bcgov\imagery\scanned_maps\moe_terrain_maps\Scanned_T_maps_all\K08\K08-835</v>
      </c>
      <c r="S1479" t="s">
        <v>62</v>
      </c>
      <c r="T1479" s="11" t="str">
        <f>HYPERLINK("http://www.env.gov.bc.ca/esd/distdata/ecosystems/TEI_Scanned_Maps/K08/K08-835","http://www.env.gov.bc.ca/esd/distdata/ecosystems/TEI_Scanned_Maps/K08/K08-835")</f>
        <v>http://www.env.gov.bc.ca/esd/distdata/ecosystems/TEI_Scanned_Maps/K08/K08-835</v>
      </c>
      <c r="U1479" t="s">
        <v>269</v>
      </c>
      <c r="V1479" s="11" t="str">
        <f t="shared" si="68"/>
        <v>http://www.library.for.gov.bc.ca/#focus</v>
      </c>
      <c r="W1479" t="s">
        <v>3053</v>
      </c>
      <c r="X1479" s="11" t="str">
        <f t="shared" si="69"/>
        <v>http://www.prsss.ca/</v>
      </c>
      <c r="Y1479" t="s">
        <v>58</v>
      </c>
      <c r="Z1479" t="s">
        <v>58</v>
      </c>
      <c r="AA1479" t="s">
        <v>58</v>
      </c>
      <c r="AC1479" t="s">
        <v>58</v>
      </c>
      <c r="AE1479" t="s">
        <v>58</v>
      </c>
      <c r="AG1479" t="s">
        <v>63</v>
      </c>
      <c r="AH1479" s="11" t="str">
        <f t="shared" si="70"/>
        <v>mailto: soilterrain@victoria1.gov.bc.ca</v>
      </c>
    </row>
    <row r="1480" spans="1:34">
      <c r="A1480" t="s">
        <v>3475</v>
      </c>
      <c r="B1480" t="s">
        <v>56</v>
      </c>
      <c r="C1480" s="10" t="s">
        <v>1199</v>
      </c>
      <c r="D1480" t="s">
        <v>58</v>
      </c>
      <c r="E1480" t="s">
        <v>3050</v>
      </c>
      <c r="F1480" t="s">
        <v>3476</v>
      </c>
      <c r="G1480">
        <v>50000</v>
      </c>
      <c r="H1480">
        <v>1979</v>
      </c>
      <c r="I1480" t="s">
        <v>3052</v>
      </c>
      <c r="J1480" t="s">
        <v>58</v>
      </c>
      <c r="K1480" t="s">
        <v>61</v>
      </c>
      <c r="L1480" t="s">
        <v>61</v>
      </c>
      <c r="M1480" t="s">
        <v>58</v>
      </c>
      <c r="Q1480" t="s">
        <v>58</v>
      </c>
      <c r="R1480" s="11" t="str">
        <f>HYPERLINK("\\imagefiles.bcgov\imagery\scanned_maps\moe_terrain_maps\Scanned_T_maps_all\K08\K08-837","\\imagefiles.bcgov\imagery\scanned_maps\moe_terrain_maps\Scanned_T_maps_all\K08\K08-837")</f>
        <v>\\imagefiles.bcgov\imagery\scanned_maps\moe_terrain_maps\Scanned_T_maps_all\K08\K08-837</v>
      </c>
      <c r="S1480" t="s">
        <v>62</v>
      </c>
      <c r="T1480" s="11" t="str">
        <f>HYPERLINK("http://www.env.gov.bc.ca/esd/distdata/ecosystems/TEI_Scanned_Maps/K08/K08-837","http://www.env.gov.bc.ca/esd/distdata/ecosystems/TEI_Scanned_Maps/K08/K08-837")</f>
        <v>http://www.env.gov.bc.ca/esd/distdata/ecosystems/TEI_Scanned_Maps/K08/K08-837</v>
      </c>
      <c r="U1480" t="s">
        <v>269</v>
      </c>
      <c r="V1480" s="11" t="str">
        <f t="shared" si="68"/>
        <v>http://www.library.for.gov.bc.ca/#focus</v>
      </c>
      <c r="W1480" t="s">
        <v>3053</v>
      </c>
      <c r="X1480" s="11" t="str">
        <f t="shared" si="69"/>
        <v>http://www.prsss.ca/</v>
      </c>
      <c r="Y1480" t="s">
        <v>58</v>
      </c>
      <c r="Z1480" t="s">
        <v>58</v>
      </c>
      <c r="AA1480" t="s">
        <v>58</v>
      </c>
      <c r="AC1480" t="s">
        <v>58</v>
      </c>
      <c r="AE1480" t="s">
        <v>58</v>
      </c>
      <c r="AG1480" t="s">
        <v>63</v>
      </c>
      <c r="AH1480" s="11" t="str">
        <f t="shared" si="70"/>
        <v>mailto: soilterrain@victoria1.gov.bc.ca</v>
      </c>
    </row>
    <row r="1481" spans="1:34">
      <c r="A1481" t="s">
        <v>3477</v>
      </c>
      <c r="B1481" t="s">
        <v>56</v>
      </c>
      <c r="C1481" s="10" t="s">
        <v>1201</v>
      </c>
      <c r="D1481" t="s">
        <v>58</v>
      </c>
      <c r="E1481" t="s">
        <v>58</v>
      </c>
      <c r="F1481" t="s">
        <v>3478</v>
      </c>
      <c r="G1481">
        <v>50000</v>
      </c>
      <c r="H1481">
        <v>1984</v>
      </c>
      <c r="I1481" t="s">
        <v>58</v>
      </c>
      <c r="J1481" t="s">
        <v>58</v>
      </c>
      <c r="K1481" t="s">
        <v>58</v>
      </c>
      <c r="L1481" t="s">
        <v>61</v>
      </c>
      <c r="M1481" t="s">
        <v>58</v>
      </c>
      <c r="Q1481" t="s">
        <v>58</v>
      </c>
      <c r="R1481" s="11" t="str">
        <f>HYPERLINK("\\imagefiles.bcgov\imagery\scanned_maps\moe_terrain_maps\Scanned_T_maps_all\K08\K08-871","\\imagefiles.bcgov\imagery\scanned_maps\moe_terrain_maps\Scanned_T_maps_all\K08\K08-871")</f>
        <v>\\imagefiles.bcgov\imagery\scanned_maps\moe_terrain_maps\Scanned_T_maps_all\K08\K08-871</v>
      </c>
      <c r="S1481" t="s">
        <v>62</v>
      </c>
      <c r="T1481" s="11" t="str">
        <f>HYPERLINK("http://www.env.gov.bc.ca/esd/distdata/ecosystems/TEI_Scanned_Maps/K08/K08-871","http://www.env.gov.bc.ca/esd/distdata/ecosystems/TEI_Scanned_Maps/K08/K08-871")</f>
        <v>http://www.env.gov.bc.ca/esd/distdata/ecosystems/TEI_Scanned_Maps/K08/K08-871</v>
      </c>
      <c r="U1481" t="s">
        <v>58</v>
      </c>
      <c r="V1481" t="s">
        <v>58</v>
      </c>
      <c r="W1481" t="s">
        <v>58</v>
      </c>
      <c r="X1481" t="s">
        <v>58</v>
      </c>
      <c r="Y1481" t="s">
        <v>58</v>
      </c>
      <c r="Z1481" t="s">
        <v>58</v>
      </c>
      <c r="AA1481" t="s">
        <v>58</v>
      </c>
      <c r="AC1481" t="s">
        <v>58</v>
      </c>
      <c r="AE1481" t="s">
        <v>58</v>
      </c>
      <c r="AG1481" t="s">
        <v>63</v>
      </c>
      <c r="AH1481" s="11" t="str">
        <f t="shared" si="70"/>
        <v>mailto: soilterrain@victoria1.gov.bc.ca</v>
      </c>
    </row>
    <row r="1482" spans="1:34">
      <c r="A1482" t="s">
        <v>3479</v>
      </c>
      <c r="B1482" t="s">
        <v>56</v>
      </c>
      <c r="C1482" s="10" t="s">
        <v>3480</v>
      </c>
      <c r="D1482" t="s">
        <v>58</v>
      </c>
      <c r="E1482" t="s">
        <v>58</v>
      </c>
      <c r="F1482" t="s">
        <v>3481</v>
      </c>
      <c r="G1482">
        <v>50000</v>
      </c>
      <c r="H1482">
        <v>1983</v>
      </c>
      <c r="I1482" t="s">
        <v>58</v>
      </c>
      <c r="J1482" t="s">
        <v>58</v>
      </c>
      <c r="K1482" t="s">
        <v>58</v>
      </c>
      <c r="L1482" t="s">
        <v>61</v>
      </c>
      <c r="M1482" t="s">
        <v>58</v>
      </c>
      <c r="Q1482" t="s">
        <v>58</v>
      </c>
      <c r="R1482" s="11" t="str">
        <f>HYPERLINK("\\imagefiles.bcgov\imagery\scanned_maps\moe_terrain_maps\Scanned_T_maps_all\K08\K08-876","\\imagefiles.bcgov\imagery\scanned_maps\moe_terrain_maps\Scanned_T_maps_all\K08\K08-876")</f>
        <v>\\imagefiles.bcgov\imagery\scanned_maps\moe_terrain_maps\Scanned_T_maps_all\K08\K08-876</v>
      </c>
      <c r="S1482" t="s">
        <v>62</v>
      </c>
      <c r="T1482" s="11" t="str">
        <f>HYPERLINK("http://www.env.gov.bc.ca/esd/distdata/ecosystems/TEI_Scanned_Maps/K08/K08-876","http://www.env.gov.bc.ca/esd/distdata/ecosystems/TEI_Scanned_Maps/K08/K08-876")</f>
        <v>http://www.env.gov.bc.ca/esd/distdata/ecosystems/TEI_Scanned_Maps/K08/K08-876</v>
      </c>
      <c r="U1482" t="s">
        <v>58</v>
      </c>
      <c r="V1482" t="s">
        <v>58</v>
      </c>
      <c r="W1482" t="s">
        <v>58</v>
      </c>
      <c r="X1482" t="s">
        <v>58</v>
      </c>
      <c r="Y1482" t="s">
        <v>58</v>
      </c>
      <c r="Z1482" t="s">
        <v>58</v>
      </c>
      <c r="AA1482" t="s">
        <v>58</v>
      </c>
      <c r="AC1482" t="s">
        <v>58</v>
      </c>
      <c r="AE1482" t="s">
        <v>58</v>
      </c>
      <c r="AG1482" t="s">
        <v>63</v>
      </c>
      <c r="AH1482" s="11" t="str">
        <f t="shared" si="70"/>
        <v>mailto: soilterrain@victoria1.gov.bc.ca</v>
      </c>
    </row>
    <row r="1483" spans="1:34">
      <c r="A1483" t="s">
        <v>3482</v>
      </c>
      <c r="B1483" t="s">
        <v>56</v>
      </c>
      <c r="C1483" s="10" t="s">
        <v>119</v>
      </c>
      <c r="D1483" t="s">
        <v>58</v>
      </c>
      <c r="E1483" t="s">
        <v>58</v>
      </c>
      <c r="F1483" t="s">
        <v>3483</v>
      </c>
      <c r="G1483">
        <v>50000</v>
      </c>
      <c r="H1483">
        <v>1983</v>
      </c>
      <c r="I1483" t="s">
        <v>58</v>
      </c>
      <c r="J1483" t="s">
        <v>58</v>
      </c>
      <c r="K1483" t="s">
        <v>58</v>
      </c>
      <c r="L1483" t="s">
        <v>61</v>
      </c>
      <c r="M1483" t="s">
        <v>58</v>
      </c>
      <c r="Q1483" t="s">
        <v>58</v>
      </c>
      <c r="R1483" s="11" t="str">
        <f>HYPERLINK("\\imagefiles.bcgov\imagery\scanned_maps\moe_terrain_maps\Scanned_T_maps_all\K08\K08-881","\\imagefiles.bcgov\imagery\scanned_maps\moe_terrain_maps\Scanned_T_maps_all\K08\K08-881")</f>
        <v>\\imagefiles.bcgov\imagery\scanned_maps\moe_terrain_maps\Scanned_T_maps_all\K08\K08-881</v>
      </c>
      <c r="S1483" t="s">
        <v>62</v>
      </c>
      <c r="T1483" s="11" t="str">
        <f>HYPERLINK("http://www.env.gov.bc.ca/esd/distdata/ecosystems/TEI_Scanned_Maps/K08/K08-881","http://www.env.gov.bc.ca/esd/distdata/ecosystems/TEI_Scanned_Maps/K08/K08-881")</f>
        <v>http://www.env.gov.bc.ca/esd/distdata/ecosystems/TEI_Scanned_Maps/K08/K08-881</v>
      </c>
      <c r="U1483" t="s">
        <v>58</v>
      </c>
      <c r="V1483" t="s">
        <v>58</v>
      </c>
      <c r="W1483" t="s">
        <v>58</v>
      </c>
      <c r="X1483" t="s">
        <v>58</v>
      </c>
      <c r="Y1483" t="s">
        <v>58</v>
      </c>
      <c r="Z1483" t="s">
        <v>58</v>
      </c>
      <c r="AA1483" t="s">
        <v>58</v>
      </c>
      <c r="AC1483" t="s">
        <v>58</v>
      </c>
      <c r="AE1483" t="s">
        <v>58</v>
      </c>
      <c r="AG1483" t="s">
        <v>63</v>
      </c>
      <c r="AH1483" s="11" t="str">
        <f t="shared" si="70"/>
        <v>mailto: soilterrain@victoria1.gov.bc.ca</v>
      </c>
    </row>
    <row r="1484" spans="1:34">
      <c r="A1484" t="s">
        <v>3484</v>
      </c>
      <c r="B1484" t="s">
        <v>56</v>
      </c>
      <c r="C1484" s="10" t="s">
        <v>1211</v>
      </c>
      <c r="D1484" t="s">
        <v>58</v>
      </c>
      <c r="E1484" t="s">
        <v>3063</v>
      </c>
      <c r="F1484" t="s">
        <v>3485</v>
      </c>
      <c r="G1484">
        <v>50000</v>
      </c>
      <c r="H1484">
        <v>1979</v>
      </c>
      <c r="I1484" t="s">
        <v>3060</v>
      </c>
      <c r="J1484" t="s">
        <v>58</v>
      </c>
      <c r="K1484" t="s">
        <v>58</v>
      </c>
      <c r="L1484" t="s">
        <v>61</v>
      </c>
      <c r="M1484" t="s">
        <v>58</v>
      </c>
      <c r="Q1484" t="s">
        <v>58</v>
      </c>
      <c r="R1484" s="11" t="str">
        <f>HYPERLINK("\\imagefiles.bcgov\imagery\scanned_maps\moe_terrain_maps\Scanned_T_maps_all\K09\K09-1057","\\imagefiles.bcgov\imagery\scanned_maps\moe_terrain_maps\Scanned_T_maps_all\K09\K09-1057")</f>
        <v>\\imagefiles.bcgov\imagery\scanned_maps\moe_terrain_maps\Scanned_T_maps_all\K09\K09-1057</v>
      </c>
      <c r="S1484" t="s">
        <v>62</v>
      </c>
      <c r="T1484" s="11" t="str">
        <f>HYPERLINK("http://www.env.gov.bc.ca/esd/distdata/ecosystems/TEI_Scanned_Maps/K09/K09-1057","http://www.env.gov.bc.ca/esd/distdata/ecosystems/TEI_Scanned_Maps/K09/K09-1057")</f>
        <v>http://www.env.gov.bc.ca/esd/distdata/ecosystems/TEI_Scanned_Maps/K09/K09-1057</v>
      </c>
      <c r="U1484" t="s">
        <v>2487</v>
      </c>
      <c r="V1484" s="11" t="str">
        <f t="shared" ref="V1484:V1495" si="71">HYPERLINK("http://res.agr.ca/cansis/publications/surveys/bc/","http://res.agr.ca/cansis/publications/surveys/bc/")</f>
        <v>http://res.agr.ca/cansis/publications/surveys/bc/</v>
      </c>
      <c r="W1484" t="s">
        <v>2495</v>
      </c>
      <c r="X1484" s="11" t="str">
        <f t="shared" ref="X1484:X1515" si="72">HYPERLINK("http://www.em.gov.bc.ca/mining/geolsurv/terrain&amp;soils/frbcguid.htm","http://www.em.gov.bc.ca/mining/geolsurv/terrain&amp;soils/frbcguid.htm")</f>
        <v>http://www.em.gov.bc.ca/mining/geolsurv/terrain&amp;soils/frbcguid.htm</v>
      </c>
      <c r="Y1484" t="s">
        <v>2489</v>
      </c>
      <c r="Z1484" s="11" t="str">
        <f t="shared" ref="Z1484:Z1495" si="73">HYPERLINK("http://www.em.gov.bc.ca/mining/geolsurv/terrain&amp;soils/frbcguid.htm","http://www.em.gov.bc.ca/mining/geolsurv/terrain&amp;soils/frbcguid.htm")</f>
        <v>http://www.em.gov.bc.ca/mining/geolsurv/terrain&amp;soils/frbcguid.htm</v>
      </c>
      <c r="AA1484" t="s">
        <v>269</v>
      </c>
      <c r="AB1484" s="11" t="str">
        <f t="shared" ref="AB1484:AB1515" si="74">HYPERLINK("http://www.library.for.gov.bc.ca/#focus","http://www.library.for.gov.bc.ca/#focus")</f>
        <v>http://www.library.for.gov.bc.ca/#focus</v>
      </c>
      <c r="AC1484" t="s">
        <v>2500</v>
      </c>
      <c r="AD1484" s="11" t="str">
        <f t="shared" ref="AD1484:AD1495" si="75">HYPERLINK("http://www.crownpub.bc.ca/","http://www.crownpub.bc.ca/")</f>
        <v>http://www.crownpub.bc.ca/</v>
      </c>
      <c r="AE1484" t="s">
        <v>58</v>
      </c>
      <c r="AG1484" t="s">
        <v>63</v>
      </c>
      <c r="AH1484" s="11" t="str">
        <f t="shared" si="70"/>
        <v>mailto: soilterrain@victoria1.gov.bc.ca</v>
      </c>
    </row>
    <row r="1485" spans="1:34">
      <c r="A1485" t="s">
        <v>3486</v>
      </c>
      <c r="B1485" t="s">
        <v>56</v>
      </c>
      <c r="C1485" s="10" t="s">
        <v>2204</v>
      </c>
      <c r="D1485" t="s">
        <v>58</v>
      </c>
      <c r="E1485" t="s">
        <v>3063</v>
      </c>
      <c r="F1485" t="s">
        <v>3487</v>
      </c>
      <c r="G1485">
        <v>50000</v>
      </c>
      <c r="H1485">
        <v>1979</v>
      </c>
      <c r="I1485" t="s">
        <v>3060</v>
      </c>
      <c r="J1485" t="s">
        <v>58</v>
      </c>
      <c r="K1485" t="s">
        <v>58</v>
      </c>
      <c r="L1485" t="s">
        <v>61</v>
      </c>
      <c r="M1485" t="s">
        <v>58</v>
      </c>
      <c r="Q1485" t="s">
        <v>58</v>
      </c>
      <c r="R1485" s="11" t="str">
        <f>HYPERLINK("\\imagefiles.bcgov\imagery\scanned_maps\moe_terrain_maps\Scanned_T_maps_all\K09\K09-1058","\\imagefiles.bcgov\imagery\scanned_maps\moe_terrain_maps\Scanned_T_maps_all\K09\K09-1058")</f>
        <v>\\imagefiles.bcgov\imagery\scanned_maps\moe_terrain_maps\Scanned_T_maps_all\K09\K09-1058</v>
      </c>
      <c r="S1485" t="s">
        <v>62</v>
      </c>
      <c r="T1485" s="11" t="str">
        <f>HYPERLINK("http://www.env.gov.bc.ca/esd/distdata/ecosystems/TEI_Scanned_Maps/K09/K09-1058","http://www.env.gov.bc.ca/esd/distdata/ecosystems/TEI_Scanned_Maps/K09/K09-1058")</f>
        <v>http://www.env.gov.bc.ca/esd/distdata/ecosystems/TEI_Scanned_Maps/K09/K09-1058</v>
      </c>
      <c r="U1485" t="s">
        <v>2487</v>
      </c>
      <c r="V1485" s="11" t="str">
        <f t="shared" si="71"/>
        <v>http://res.agr.ca/cansis/publications/surveys/bc/</v>
      </c>
      <c r="W1485" t="s">
        <v>2495</v>
      </c>
      <c r="X1485" s="11" t="str">
        <f t="shared" si="72"/>
        <v>http://www.em.gov.bc.ca/mining/geolsurv/terrain&amp;soils/frbcguid.htm</v>
      </c>
      <c r="Y1485" t="s">
        <v>2489</v>
      </c>
      <c r="Z1485" s="11" t="str">
        <f t="shared" si="73"/>
        <v>http://www.em.gov.bc.ca/mining/geolsurv/terrain&amp;soils/frbcguid.htm</v>
      </c>
      <c r="AA1485" t="s">
        <v>269</v>
      </c>
      <c r="AB1485" s="11" t="str">
        <f t="shared" si="74"/>
        <v>http://www.library.for.gov.bc.ca/#focus</v>
      </c>
      <c r="AC1485" t="s">
        <v>2500</v>
      </c>
      <c r="AD1485" s="11" t="str">
        <f t="shared" si="75"/>
        <v>http://www.crownpub.bc.ca/</v>
      </c>
      <c r="AE1485" t="s">
        <v>58</v>
      </c>
      <c r="AG1485" t="s">
        <v>63</v>
      </c>
      <c r="AH1485" s="11" t="str">
        <f t="shared" si="70"/>
        <v>mailto: soilterrain@victoria1.gov.bc.ca</v>
      </c>
    </row>
    <row r="1486" spans="1:34">
      <c r="A1486" t="s">
        <v>3488</v>
      </c>
      <c r="B1486" t="s">
        <v>56</v>
      </c>
      <c r="C1486" s="10" t="s">
        <v>1213</v>
      </c>
      <c r="D1486" t="s">
        <v>58</v>
      </c>
      <c r="E1486" t="s">
        <v>3063</v>
      </c>
      <c r="F1486" t="s">
        <v>3489</v>
      </c>
      <c r="G1486">
        <v>50000</v>
      </c>
      <c r="H1486">
        <v>1979</v>
      </c>
      <c r="I1486" t="s">
        <v>3060</v>
      </c>
      <c r="J1486" t="s">
        <v>58</v>
      </c>
      <c r="K1486" t="s">
        <v>58</v>
      </c>
      <c r="L1486" t="s">
        <v>61</v>
      </c>
      <c r="M1486" t="s">
        <v>58</v>
      </c>
      <c r="Q1486" t="s">
        <v>58</v>
      </c>
      <c r="R1486" s="11" t="str">
        <f>HYPERLINK("\\imagefiles.bcgov\imagery\scanned_maps\moe_terrain_maps\Scanned_T_maps_all\K09\K09-1059","\\imagefiles.bcgov\imagery\scanned_maps\moe_terrain_maps\Scanned_T_maps_all\K09\K09-1059")</f>
        <v>\\imagefiles.bcgov\imagery\scanned_maps\moe_terrain_maps\Scanned_T_maps_all\K09\K09-1059</v>
      </c>
      <c r="S1486" t="s">
        <v>62</v>
      </c>
      <c r="T1486" s="11" t="str">
        <f>HYPERLINK("http://www.env.gov.bc.ca/esd/distdata/ecosystems/TEI_Scanned_Maps/K09/K09-1059","http://www.env.gov.bc.ca/esd/distdata/ecosystems/TEI_Scanned_Maps/K09/K09-1059")</f>
        <v>http://www.env.gov.bc.ca/esd/distdata/ecosystems/TEI_Scanned_Maps/K09/K09-1059</v>
      </c>
      <c r="U1486" t="s">
        <v>2487</v>
      </c>
      <c r="V1486" s="11" t="str">
        <f t="shared" si="71"/>
        <v>http://res.agr.ca/cansis/publications/surveys/bc/</v>
      </c>
      <c r="W1486" t="s">
        <v>2495</v>
      </c>
      <c r="X1486" s="11" t="str">
        <f t="shared" si="72"/>
        <v>http://www.em.gov.bc.ca/mining/geolsurv/terrain&amp;soils/frbcguid.htm</v>
      </c>
      <c r="Y1486" t="s">
        <v>2489</v>
      </c>
      <c r="Z1486" s="11" t="str">
        <f t="shared" si="73"/>
        <v>http://www.em.gov.bc.ca/mining/geolsurv/terrain&amp;soils/frbcguid.htm</v>
      </c>
      <c r="AA1486" t="s">
        <v>269</v>
      </c>
      <c r="AB1486" s="11" t="str">
        <f t="shared" si="74"/>
        <v>http://www.library.for.gov.bc.ca/#focus</v>
      </c>
      <c r="AC1486" t="s">
        <v>2500</v>
      </c>
      <c r="AD1486" s="11" t="str">
        <f t="shared" si="75"/>
        <v>http://www.crownpub.bc.ca/</v>
      </c>
      <c r="AE1486" t="s">
        <v>58</v>
      </c>
      <c r="AG1486" t="s">
        <v>63</v>
      </c>
      <c r="AH1486" s="11" t="str">
        <f t="shared" si="70"/>
        <v>mailto: soilterrain@victoria1.gov.bc.ca</v>
      </c>
    </row>
    <row r="1487" spans="1:34">
      <c r="A1487" t="s">
        <v>3490</v>
      </c>
      <c r="B1487" t="s">
        <v>56</v>
      </c>
      <c r="C1487" s="10" t="s">
        <v>1215</v>
      </c>
      <c r="D1487" t="s">
        <v>58</v>
      </c>
      <c r="E1487" t="s">
        <v>3063</v>
      </c>
      <c r="F1487" t="s">
        <v>3491</v>
      </c>
      <c r="G1487">
        <v>50000</v>
      </c>
      <c r="H1487">
        <v>1988</v>
      </c>
      <c r="I1487" t="s">
        <v>3060</v>
      </c>
      <c r="J1487" t="s">
        <v>58</v>
      </c>
      <c r="K1487" t="s">
        <v>58</v>
      </c>
      <c r="L1487" t="s">
        <v>61</v>
      </c>
      <c r="M1487" t="s">
        <v>58</v>
      </c>
      <c r="Q1487" t="s">
        <v>58</v>
      </c>
      <c r="R1487" s="11" t="str">
        <f>HYPERLINK("\\imagefiles.bcgov\imagery\scanned_maps\moe_terrain_maps\Scanned_T_maps_all\K09\K09-1063","\\imagefiles.bcgov\imagery\scanned_maps\moe_terrain_maps\Scanned_T_maps_all\K09\K09-1063")</f>
        <v>\\imagefiles.bcgov\imagery\scanned_maps\moe_terrain_maps\Scanned_T_maps_all\K09\K09-1063</v>
      </c>
      <c r="S1487" t="s">
        <v>62</v>
      </c>
      <c r="T1487" s="11" t="str">
        <f>HYPERLINK("http://www.env.gov.bc.ca/esd/distdata/ecosystems/TEI_Scanned_Maps/K09/K09-1063","http://www.env.gov.bc.ca/esd/distdata/ecosystems/TEI_Scanned_Maps/K09/K09-1063")</f>
        <v>http://www.env.gov.bc.ca/esd/distdata/ecosystems/TEI_Scanned_Maps/K09/K09-1063</v>
      </c>
      <c r="U1487" t="s">
        <v>2487</v>
      </c>
      <c r="V1487" s="11" t="str">
        <f t="shared" si="71"/>
        <v>http://res.agr.ca/cansis/publications/surveys/bc/</v>
      </c>
      <c r="W1487" t="s">
        <v>2495</v>
      </c>
      <c r="X1487" s="11" t="str">
        <f t="shared" si="72"/>
        <v>http://www.em.gov.bc.ca/mining/geolsurv/terrain&amp;soils/frbcguid.htm</v>
      </c>
      <c r="Y1487" t="s">
        <v>2489</v>
      </c>
      <c r="Z1487" s="11" t="str">
        <f t="shared" si="73"/>
        <v>http://www.em.gov.bc.ca/mining/geolsurv/terrain&amp;soils/frbcguid.htm</v>
      </c>
      <c r="AA1487" t="s">
        <v>269</v>
      </c>
      <c r="AB1487" s="11" t="str">
        <f t="shared" si="74"/>
        <v>http://www.library.for.gov.bc.ca/#focus</v>
      </c>
      <c r="AC1487" t="s">
        <v>2500</v>
      </c>
      <c r="AD1487" s="11" t="str">
        <f t="shared" si="75"/>
        <v>http://www.crownpub.bc.ca/</v>
      </c>
      <c r="AE1487" t="s">
        <v>58</v>
      </c>
      <c r="AG1487" t="s">
        <v>63</v>
      </c>
      <c r="AH1487" s="11" t="str">
        <f t="shared" si="70"/>
        <v>mailto: soilterrain@victoria1.gov.bc.ca</v>
      </c>
    </row>
    <row r="1488" spans="1:34">
      <c r="A1488" t="s">
        <v>3492</v>
      </c>
      <c r="B1488" t="s">
        <v>56</v>
      </c>
      <c r="C1488" s="10" t="s">
        <v>1218</v>
      </c>
      <c r="D1488" t="s">
        <v>58</v>
      </c>
      <c r="E1488" t="s">
        <v>3063</v>
      </c>
      <c r="F1488" t="s">
        <v>3493</v>
      </c>
      <c r="G1488">
        <v>50000</v>
      </c>
      <c r="H1488">
        <v>1988</v>
      </c>
      <c r="I1488" t="s">
        <v>3060</v>
      </c>
      <c r="J1488" t="s">
        <v>58</v>
      </c>
      <c r="K1488" t="s">
        <v>58</v>
      </c>
      <c r="L1488" t="s">
        <v>61</v>
      </c>
      <c r="M1488" t="s">
        <v>58</v>
      </c>
      <c r="Q1488" t="s">
        <v>58</v>
      </c>
      <c r="R1488" s="11" t="str">
        <f>HYPERLINK("\\imagefiles.bcgov\imagery\scanned_maps\moe_terrain_maps\Scanned_T_maps_all\K09\K09-1066","\\imagefiles.bcgov\imagery\scanned_maps\moe_terrain_maps\Scanned_T_maps_all\K09\K09-1066")</f>
        <v>\\imagefiles.bcgov\imagery\scanned_maps\moe_terrain_maps\Scanned_T_maps_all\K09\K09-1066</v>
      </c>
      <c r="S1488" t="s">
        <v>62</v>
      </c>
      <c r="T1488" s="11" t="str">
        <f>HYPERLINK("http://www.env.gov.bc.ca/esd/distdata/ecosystems/TEI_Scanned_Maps/K09/K09-1066","http://www.env.gov.bc.ca/esd/distdata/ecosystems/TEI_Scanned_Maps/K09/K09-1066")</f>
        <v>http://www.env.gov.bc.ca/esd/distdata/ecosystems/TEI_Scanned_Maps/K09/K09-1066</v>
      </c>
      <c r="U1488" t="s">
        <v>2487</v>
      </c>
      <c r="V1488" s="11" t="str">
        <f t="shared" si="71"/>
        <v>http://res.agr.ca/cansis/publications/surveys/bc/</v>
      </c>
      <c r="W1488" t="s">
        <v>2495</v>
      </c>
      <c r="X1488" s="11" t="str">
        <f t="shared" si="72"/>
        <v>http://www.em.gov.bc.ca/mining/geolsurv/terrain&amp;soils/frbcguid.htm</v>
      </c>
      <c r="Y1488" t="s">
        <v>2489</v>
      </c>
      <c r="Z1488" s="11" t="str">
        <f t="shared" si="73"/>
        <v>http://www.em.gov.bc.ca/mining/geolsurv/terrain&amp;soils/frbcguid.htm</v>
      </c>
      <c r="AA1488" t="s">
        <v>269</v>
      </c>
      <c r="AB1488" s="11" t="str">
        <f t="shared" si="74"/>
        <v>http://www.library.for.gov.bc.ca/#focus</v>
      </c>
      <c r="AC1488" t="s">
        <v>2500</v>
      </c>
      <c r="AD1488" s="11" t="str">
        <f t="shared" si="75"/>
        <v>http://www.crownpub.bc.ca/</v>
      </c>
      <c r="AE1488" t="s">
        <v>58</v>
      </c>
      <c r="AG1488" t="s">
        <v>63</v>
      </c>
      <c r="AH1488" s="11" t="str">
        <f t="shared" si="70"/>
        <v>mailto: soilterrain@victoria1.gov.bc.ca</v>
      </c>
    </row>
    <row r="1489" spans="1:34">
      <c r="A1489" t="s">
        <v>3494</v>
      </c>
      <c r="B1489" t="s">
        <v>56</v>
      </c>
      <c r="C1489" s="10" t="s">
        <v>1222</v>
      </c>
      <c r="D1489" t="s">
        <v>58</v>
      </c>
      <c r="E1489" t="s">
        <v>3063</v>
      </c>
      <c r="F1489" t="s">
        <v>3495</v>
      </c>
      <c r="G1489">
        <v>50000</v>
      </c>
      <c r="H1489">
        <v>1988</v>
      </c>
      <c r="I1489" t="s">
        <v>3060</v>
      </c>
      <c r="J1489" t="s">
        <v>58</v>
      </c>
      <c r="K1489" t="s">
        <v>58</v>
      </c>
      <c r="L1489" t="s">
        <v>61</v>
      </c>
      <c r="M1489" t="s">
        <v>58</v>
      </c>
      <c r="Q1489" t="s">
        <v>58</v>
      </c>
      <c r="R1489" s="11" t="str">
        <f>HYPERLINK("\\imagefiles.bcgov\imagery\scanned_maps\moe_terrain_maps\Scanned_T_maps_all\K09\K09-1079","\\imagefiles.bcgov\imagery\scanned_maps\moe_terrain_maps\Scanned_T_maps_all\K09\K09-1079")</f>
        <v>\\imagefiles.bcgov\imagery\scanned_maps\moe_terrain_maps\Scanned_T_maps_all\K09\K09-1079</v>
      </c>
      <c r="S1489" t="s">
        <v>62</v>
      </c>
      <c r="T1489" s="11" t="str">
        <f>HYPERLINK("http://www.env.gov.bc.ca/esd/distdata/ecosystems/TEI_Scanned_Maps/K09/K09-1079","http://www.env.gov.bc.ca/esd/distdata/ecosystems/TEI_Scanned_Maps/K09/K09-1079")</f>
        <v>http://www.env.gov.bc.ca/esd/distdata/ecosystems/TEI_Scanned_Maps/K09/K09-1079</v>
      </c>
      <c r="U1489" t="s">
        <v>2487</v>
      </c>
      <c r="V1489" s="11" t="str">
        <f t="shared" si="71"/>
        <v>http://res.agr.ca/cansis/publications/surveys/bc/</v>
      </c>
      <c r="W1489" t="s">
        <v>2495</v>
      </c>
      <c r="X1489" s="11" t="str">
        <f t="shared" si="72"/>
        <v>http://www.em.gov.bc.ca/mining/geolsurv/terrain&amp;soils/frbcguid.htm</v>
      </c>
      <c r="Y1489" t="s">
        <v>2489</v>
      </c>
      <c r="Z1489" s="11" t="str">
        <f t="shared" si="73"/>
        <v>http://www.em.gov.bc.ca/mining/geolsurv/terrain&amp;soils/frbcguid.htm</v>
      </c>
      <c r="AA1489" t="s">
        <v>269</v>
      </c>
      <c r="AB1489" s="11" t="str">
        <f t="shared" si="74"/>
        <v>http://www.library.for.gov.bc.ca/#focus</v>
      </c>
      <c r="AC1489" t="s">
        <v>2500</v>
      </c>
      <c r="AD1489" s="11" t="str">
        <f t="shared" si="75"/>
        <v>http://www.crownpub.bc.ca/</v>
      </c>
      <c r="AE1489" t="s">
        <v>58</v>
      </c>
      <c r="AG1489" t="s">
        <v>63</v>
      </c>
      <c r="AH1489" s="11" t="str">
        <f t="shared" si="70"/>
        <v>mailto: soilterrain@victoria1.gov.bc.ca</v>
      </c>
    </row>
    <row r="1490" spans="1:34">
      <c r="A1490" t="s">
        <v>3496</v>
      </c>
      <c r="B1490" t="s">
        <v>56</v>
      </c>
      <c r="C1490" s="10" t="s">
        <v>1224</v>
      </c>
      <c r="D1490" t="s">
        <v>58</v>
      </c>
      <c r="E1490" t="s">
        <v>3063</v>
      </c>
      <c r="F1490" t="s">
        <v>3497</v>
      </c>
      <c r="G1490">
        <v>50000</v>
      </c>
      <c r="H1490">
        <v>1988</v>
      </c>
      <c r="I1490" t="s">
        <v>3060</v>
      </c>
      <c r="J1490" t="s">
        <v>58</v>
      </c>
      <c r="K1490" t="s">
        <v>58</v>
      </c>
      <c r="L1490" t="s">
        <v>61</v>
      </c>
      <c r="M1490" t="s">
        <v>58</v>
      </c>
      <c r="Q1490" t="s">
        <v>58</v>
      </c>
      <c r="R1490" s="11" t="str">
        <f>HYPERLINK("\\imagefiles.bcgov\imagery\scanned_maps\moe_terrain_maps\Scanned_T_maps_all\K09\K09-1081","\\imagefiles.bcgov\imagery\scanned_maps\moe_terrain_maps\Scanned_T_maps_all\K09\K09-1081")</f>
        <v>\\imagefiles.bcgov\imagery\scanned_maps\moe_terrain_maps\Scanned_T_maps_all\K09\K09-1081</v>
      </c>
      <c r="S1490" t="s">
        <v>62</v>
      </c>
      <c r="T1490" s="11" t="str">
        <f>HYPERLINK("http://www.env.gov.bc.ca/esd/distdata/ecosystems/TEI_Scanned_Maps/K09/K09-1081","http://www.env.gov.bc.ca/esd/distdata/ecosystems/TEI_Scanned_Maps/K09/K09-1081")</f>
        <v>http://www.env.gov.bc.ca/esd/distdata/ecosystems/TEI_Scanned_Maps/K09/K09-1081</v>
      </c>
      <c r="U1490" t="s">
        <v>2487</v>
      </c>
      <c r="V1490" s="11" t="str">
        <f t="shared" si="71"/>
        <v>http://res.agr.ca/cansis/publications/surveys/bc/</v>
      </c>
      <c r="W1490" t="s">
        <v>2495</v>
      </c>
      <c r="X1490" s="11" t="str">
        <f t="shared" si="72"/>
        <v>http://www.em.gov.bc.ca/mining/geolsurv/terrain&amp;soils/frbcguid.htm</v>
      </c>
      <c r="Y1490" t="s">
        <v>2489</v>
      </c>
      <c r="Z1490" s="11" t="str">
        <f t="shared" si="73"/>
        <v>http://www.em.gov.bc.ca/mining/geolsurv/terrain&amp;soils/frbcguid.htm</v>
      </c>
      <c r="AA1490" t="s">
        <v>269</v>
      </c>
      <c r="AB1490" s="11" t="str">
        <f t="shared" si="74"/>
        <v>http://www.library.for.gov.bc.ca/#focus</v>
      </c>
      <c r="AC1490" t="s">
        <v>2500</v>
      </c>
      <c r="AD1490" s="11" t="str">
        <f t="shared" si="75"/>
        <v>http://www.crownpub.bc.ca/</v>
      </c>
      <c r="AE1490" t="s">
        <v>58</v>
      </c>
      <c r="AG1490" t="s">
        <v>63</v>
      </c>
      <c r="AH1490" s="11" t="str">
        <f t="shared" si="70"/>
        <v>mailto: soilterrain@victoria1.gov.bc.ca</v>
      </c>
    </row>
    <row r="1491" spans="1:34">
      <c r="A1491" t="s">
        <v>3498</v>
      </c>
      <c r="B1491" t="s">
        <v>56</v>
      </c>
      <c r="C1491" s="10" t="s">
        <v>3499</v>
      </c>
      <c r="D1491" t="s">
        <v>61</v>
      </c>
      <c r="E1491" t="s">
        <v>3063</v>
      </c>
      <c r="F1491" t="s">
        <v>3500</v>
      </c>
      <c r="G1491">
        <v>50000</v>
      </c>
      <c r="H1491">
        <v>1988</v>
      </c>
      <c r="I1491" t="s">
        <v>3060</v>
      </c>
      <c r="J1491" t="s">
        <v>58</v>
      </c>
      <c r="K1491" t="s">
        <v>58</v>
      </c>
      <c r="L1491" t="s">
        <v>61</v>
      </c>
      <c r="M1491" t="s">
        <v>58</v>
      </c>
      <c r="Q1491" t="s">
        <v>58</v>
      </c>
      <c r="R1491" s="11" t="str">
        <f>HYPERLINK("\\imagefiles.bcgov\imagery\scanned_maps\moe_terrain_maps\Scanned_T_maps_all\K09\K09-1083","\\imagefiles.bcgov\imagery\scanned_maps\moe_terrain_maps\Scanned_T_maps_all\K09\K09-1083")</f>
        <v>\\imagefiles.bcgov\imagery\scanned_maps\moe_terrain_maps\Scanned_T_maps_all\K09\K09-1083</v>
      </c>
      <c r="S1491" t="s">
        <v>62</v>
      </c>
      <c r="T1491" s="11" t="str">
        <f>HYPERLINK("http://www.env.gov.bc.ca/esd/distdata/ecosystems/TEI_Scanned_Maps/K09/K09-1083","http://www.env.gov.bc.ca/esd/distdata/ecosystems/TEI_Scanned_Maps/K09/K09-1083")</f>
        <v>http://www.env.gov.bc.ca/esd/distdata/ecosystems/TEI_Scanned_Maps/K09/K09-1083</v>
      </c>
      <c r="U1491" t="s">
        <v>2487</v>
      </c>
      <c r="V1491" s="11" t="str">
        <f t="shared" si="71"/>
        <v>http://res.agr.ca/cansis/publications/surveys/bc/</v>
      </c>
      <c r="W1491" t="s">
        <v>2495</v>
      </c>
      <c r="X1491" s="11" t="str">
        <f t="shared" si="72"/>
        <v>http://www.em.gov.bc.ca/mining/geolsurv/terrain&amp;soils/frbcguid.htm</v>
      </c>
      <c r="Y1491" t="s">
        <v>2489</v>
      </c>
      <c r="Z1491" s="11" t="str">
        <f t="shared" si="73"/>
        <v>http://www.em.gov.bc.ca/mining/geolsurv/terrain&amp;soils/frbcguid.htm</v>
      </c>
      <c r="AA1491" t="s">
        <v>269</v>
      </c>
      <c r="AB1491" s="11" t="str">
        <f t="shared" si="74"/>
        <v>http://www.library.for.gov.bc.ca/#focus</v>
      </c>
      <c r="AC1491" t="s">
        <v>2500</v>
      </c>
      <c r="AD1491" s="11" t="str">
        <f t="shared" si="75"/>
        <v>http://www.crownpub.bc.ca/</v>
      </c>
      <c r="AE1491" t="s">
        <v>58</v>
      </c>
      <c r="AG1491" t="s">
        <v>63</v>
      </c>
      <c r="AH1491" s="11" t="str">
        <f t="shared" si="70"/>
        <v>mailto: soilterrain@victoria1.gov.bc.ca</v>
      </c>
    </row>
    <row r="1492" spans="1:34">
      <c r="A1492" t="s">
        <v>3501</v>
      </c>
      <c r="B1492" t="s">
        <v>56</v>
      </c>
      <c r="C1492" s="10" t="s">
        <v>134</v>
      </c>
      <c r="D1492" t="s">
        <v>61</v>
      </c>
      <c r="E1492" t="s">
        <v>3063</v>
      </c>
      <c r="F1492" t="s">
        <v>3502</v>
      </c>
      <c r="G1492">
        <v>50000</v>
      </c>
      <c r="H1492">
        <v>1978</v>
      </c>
      <c r="I1492" t="s">
        <v>3060</v>
      </c>
      <c r="J1492" t="s">
        <v>58</v>
      </c>
      <c r="K1492" t="s">
        <v>58</v>
      </c>
      <c r="L1492" t="s">
        <v>61</v>
      </c>
      <c r="M1492" t="s">
        <v>58</v>
      </c>
      <c r="Q1492" t="s">
        <v>58</v>
      </c>
      <c r="R1492" s="11" t="str">
        <f>HYPERLINK("\\imagefiles.bcgov\imagery\scanned_maps\moe_terrain_maps\Scanned_T_maps_all\K09\K09-1084","\\imagefiles.bcgov\imagery\scanned_maps\moe_terrain_maps\Scanned_T_maps_all\K09\K09-1084")</f>
        <v>\\imagefiles.bcgov\imagery\scanned_maps\moe_terrain_maps\Scanned_T_maps_all\K09\K09-1084</v>
      </c>
      <c r="S1492" t="s">
        <v>62</v>
      </c>
      <c r="T1492" s="11" t="str">
        <f>HYPERLINK("http://www.env.gov.bc.ca/esd/distdata/ecosystems/TEI_Scanned_Maps/K09/K09-1084","http://www.env.gov.bc.ca/esd/distdata/ecosystems/TEI_Scanned_Maps/K09/K09-1084")</f>
        <v>http://www.env.gov.bc.ca/esd/distdata/ecosystems/TEI_Scanned_Maps/K09/K09-1084</v>
      </c>
      <c r="U1492" t="s">
        <v>2487</v>
      </c>
      <c r="V1492" s="11" t="str">
        <f t="shared" si="71"/>
        <v>http://res.agr.ca/cansis/publications/surveys/bc/</v>
      </c>
      <c r="W1492" t="s">
        <v>2495</v>
      </c>
      <c r="X1492" s="11" t="str">
        <f t="shared" si="72"/>
        <v>http://www.em.gov.bc.ca/mining/geolsurv/terrain&amp;soils/frbcguid.htm</v>
      </c>
      <c r="Y1492" t="s">
        <v>2489</v>
      </c>
      <c r="Z1492" s="11" t="str">
        <f t="shared" si="73"/>
        <v>http://www.em.gov.bc.ca/mining/geolsurv/terrain&amp;soils/frbcguid.htm</v>
      </c>
      <c r="AA1492" t="s">
        <v>269</v>
      </c>
      <c r="AB1492" s="11" t="str">
        <f t="shared" si="74"/>
        <v>http://www.library.for.gov.bc.ca/#focus</v>
      </c>
      <c r="AC1492" t="s">
        <v>2500</v>
      </c>
      <c r="AD1492" s="11" t="str">
        <f t="shared" si="75"/>
        <v>http://www.crownpub.bc.ca/</v>
      </c>
      <c r="AE1492" t="s">
        <v>58</v>
      </c>
      <c r="AG1492" t="s">
        <v>63</v>
      </c>
      <c r="AH1492" s="11" t="str">
        <f t="shared" si="70"/>
        <v>mailto: soilterrain@victoria1.gov.bc.ca</v>
      </c>
    </row>
    <row r="1493" spans="1:34">
      <c r="A1493" t="s">
        <v>3503</v>
      </c>
      <c r="B1493" t="s">
        <v>56</v>
      </c>
      <c r="C1493" s="10" t="s">
        <v>138</v>
      </c>
      <c r="D1493" t="s">
        <v>58</v>
      </c>
      <c r="E1493" t="s">
        <v>3063</v>
      </c>
      <c r="F1493" t="s">
        <v>3504</v>
      </c>
      <c r="G1493">
        <v>50000</v>
      </c>
      <c r="H1493">
        <v>1978</v>
      </c>
      <c r="I1493" t="s">
        <v>3060</v>
      </c>
      <c r="J1493" t="s">
        <v>58</v>
      </c>
      <c r="K1493" t="s">
        <v>58</v>
      </c>
      <c r="L1493" t="s">
        <v>61</v>
      </c>
      <c r="M1493" t="s">
        <v>58</v>
      </c>
      <c r="Q1493" t="s">
        <v>58</v>
      </c>
      <c r="R1493" s="11" t="str">
        <f>HYPERLINK("\\imagefiles.bcgov\imagery\scanned_maps\moe_terrain_maps\Scanned_T_maps_all\K09\K09-1085","\\imagefiles.bcgov\imagery\scanned_maps\moe_terrain_maps\Scanned_T_maps_all\K09\K09-1085")</f>
        <v>\\imagefiles.bcgov\imagery\scanned_maps\moe_terrain_maps\Scanned_T_maps_all\K09\K09-1085</v>
      </c>
      <c r="S1493" t="s">
        <v>62</v>
      </c>
      <c r="T1493" s="11" t="str">
        <f>HYPERLINK("http://www.env.gov.bc.ca/esd/distdata/ecosystems/TEI_Scanned_Maps/K09/K09-1085","http://www.env.gov.bc.ca/esd/distdata/ecosystems/TEI_Scanned_Maps/K09/K09-1085")</f>
        <v>http://www.env.gov.bc.ca/esd/distdata/ecosystems/TEI_Scanned_Maps/K09/K09-1085</v>
      </c>
      <c r="U1493" t="s">
        <v>2487</v>
      </c>
      <c r="V1493" s="11" t="str">
        <f t="shared" si="71"/>
        <v>http://res.agr.ca/cansis/publications/surveys/bc/</v>
      </c>
      <c r="W1493" t="s">
        <v>2495</v>
      </c>
      <c r="X1493" s="11" t="str">
        <f t="shared" si="72"/>
        <v>http://www.em.gov.bc.ca/mining/geolsurv/terrain&amp;soils/frbcguid.htm</v>
      </c>
      <c r="Y1493" t="s">
        <v>2489</v>
      </c>
      <c r="Z1493" s="11" t="str">
        <f t="shared" si="73"/>
        <v>http://www.em.gov.bc.ca/mining/geolsurv/terrain&amp;soils/frbcguid.htm</v>
      </c>
      <c r="AA1493" t="s">
        <v>269</v>
      </c>
      <c r="AB1493" s="11" t="str">
        <f t="shared" si="74"/>
        <v>http://www.library.for.gov.bc.ca/#focus</v>
      </c>
      <c r="AC1493" t="s">
        <v>2500</v>
      </c>
      <c r="AD1493" s="11" t="str">
        <f t="shared" si="75"/>
        <v>http://www.crownpub.bc.ca/</v>
      </c>
      <c r="AE1493" t="s">
        <v>58</v>
      </c>
      <c r="AG1493" t="s">
        <v>63</v>
      </c>
      <c r="AH1493" s="11" t="str">
        <f t="shared" si="70"/>
        <v>mailto: soilterrain@victoria1.gov.bc.ca</v>
      </c>
    </row>
    <row r="1494" spans="1:34">
      <c r="A1494" t="s">
        <v>3505</v>
      </c>
      <c r="B1494" t="s">
        <v>56</v>
      </c>
      <c r="C1494" s="10" t="s">
        <v>3506</v>
      </c>
      <c r="D1494" t="s">
        <v>58</v>
      </c>
      <c r="E1494" t="s">
        <v>3063</v>
      </c>
      <c r="F1494" t="s">
        <v>3507</v>
      </c>
      <c r="G1494">
        <v>50000</v>
      </c>
      <c r="H1494">
        <v>1978</v>
      </c>
      <c r="I1494" t="s">
        <v>3060</v>
      </c>
      <c r="J1494" t="s">
        <v>58</v>
      </c>
      <c r="K1494" t="s">
        <v>58</v>
      </c>
      <c r="L1494" t="s">
        <v>61</v>
      </c>
      <c r="M1494" t="s">
        <v>58</v>
      </c>
      <c r="Q1494" t="s">
        <v>58</v>
      </c>
      <c r="R1494" s="11" t="str">
        <f>HYPERLINK("\\imagefiles.bcgov\imagery\scanned_maps\moe_terrain_maps\Scanned_T_maps_all\K09\K09-1086","\\imagefiles.bcgov\imagery\scanned_maps\moe_terrain_maps\Scanned_T_maps_all\K09\K09-1086")</f>
        <v>\\imagefiles.bcgov\imagery\scanned_maps\moe_terrain_maps\Scanned_T_maps_all\K09\K09-1086</v>
      </c>
      <c r="S1494" t="s">
        <v>62</v>
      </c>
      <c r="T1494" s="11" t="str">
        <f>HYPERLINK("http://www.env.gov.bc.ca/esd/distdata/ecosystems/TEI_Scanned_Maps/K09/K09-1086","http://www.env.gov.bc.ca/esd/distdata/ecosystems/TEI_Scanned_Maps/K09/K09-1086")</f>
        <v>http://www.env.gov.bc.ca/esd/distdata/ecosystems/TEI_Scanned_Maps/K09/K09-1086</v>
      </c>
      <c r="U1494" t="s">
        <v>2487</v>
      </c>
      <c r="V1494" s="11" t="str">
        <f t="shared" si="71"/>
        <v>http://res.agr.ca/cansis/publications/surveys/bc/</v>
      </c>
      <c r="W1494" t="s">
        <v>2495</v>
      </c>
      <c r="X1494" s="11" t="str">
        <f t="shared" si="72"/>
        <v>http://www.em.gov.bc.ca/mining/geolsurv/terrain&amp;soils/frbcguid.htm</v>
      </c>
      <c r="Y1494" t="s">
        <v>2489</v>
      </c>
      <c r="Z1494" s="11" t="str">
        <f t="shared" si="73"/>
        <v>http://www.em.gov.bc.ca/mining/geolsurv/terrain&amp;soils/frbcguid.htm</v>
      </c>
      <c r="AA1494" t="s">
        <v>269</v>
      </c>
      <c r="AB1494" s="11" t="str">
        <f t="shared" si="74"/>
        <v>http://www.library.for.gov.bc.ca/#focus</v>
      </c>
      <c r="AC1494" t="s">
        <v>2500</v>
      </c>
      <c r="AD1494" s="11" t="str">
        <f t="shared" si="75"/>
        <v>http://www.crownpub.bc.ca/</v>
      </c>
      <c r="AE1494" t="s">
        <v>58</v>
      </c>
      <c r="AG1494" t="s">
        <v>63</v>
      </c>
      <c r="AH1494" s="11" t="str">
        <f t="shared" si="70"/>
        <v>mailto: soilterrain@victoria1.gov.bc.ca</v>
      </c>
    </row>
    <row r="1495" spans="1:34">
      <c r="A1495" t="s">
        <v>3508</v>
      </c>
      <c r="B1495" t="s">
        <v>56</v>
      </c>
      <c r="C1495" s="10" t="s">
        <v>1226</v>
      </c>
      <c r="D1495" t="s">
        <v>58</v>
      </c>
      <c r="E1495" t="s">
        <v>3063</v>
      </c>
      <c r="F1495" t="s">
        <v>3509</v>
      </c>
      <c r="G1495">
        <v>50000</v>
      </c>
      <c r="H1495">
        <v>1988</v>
      </c>
      <c r="I1495" t="s">
        <v>3060</v>
      </c>
      <c r="J1495" t="s">
        <v>58</v>
      </c>
      <c r="K1495" t="s">
        <v>58</v>
      </c>
      <c r="L1495" t="s">
        <v>61</v>
      </c>
      <c r="M1495" t="s">
        <v>58</v>
      </c>
      <c r="Q1495" t="s">
        <v>58</v>
      </c>
      <c r="R1495" s="11" t="str">
        <f>HYPERLINK("\\imagefiles.bcgov\imagery\scanned_maps\moe_terrain_maps\Scanned_T_maps_all\K09\K09-1088","\\imagefiles.bcgov\imagery\scanned_maps\moe_terrain_maps\Scanned_T_maps_all\K09\K09-1088")</f>
        <v>\\imagefiles.bcgov\imagery\scanned_maps\moe_terrain_maps\Scanned_T_maps_all\K09\K09-1088</v>
      </c>
      <c r="S1495" t="s">
        <v>62</v>
      </c>
      <c r="T1495" s="11" t="str">
        <f>HYPERLINK("http://www.env.gov.bc.ca/esd/distdata/ecosystems/TEI_Scanned_Maps/K09/K09-1088","http://www.env.gov.bc.ca/esd/distdata/ecosystems/TEI_Scanned_Maps/K09/K09-1088")</f>
        <v>http://www.env.gov.bc.ca/esd/distdata/ecosystems/TEI_Scanned_Maps/K09/K09-1088</v>
      </c>
      <c r="U1495" t="s">
        <v>2487</v>
      </c>
      <c r="V1495" s="11" t="str">
        <f t="shared" si="71"/>
        <v>http://res.agr.ca/cansis/publications/surveys/bc/</v>
      </c>
      <c r="W1495" t="s">
        <v>2495</v>
      </c>
      <c r="X1495" s="11" t="str">
        <f t="shared" si="72"/>
        <v>http://www.em.gov.bc.ca/mining/geolsurv/terrain&amp;soils/frbcguid.htm</v>
      </c>
      <c r="Y1495" t="s">
        <v>2489</v>
      </c>
      <c r="Z1495" s="11" t="str">
        <f t="shared" si="73"/>
        <v>http://www.em.gov.bc.ca/mining/geolsurv/terrain&amp;soils/frbcguid.htm</v>
      </c>
      <c r="AA1495" t="s">
        <v>269</v>
      </c>
      <c r="AB1495" s="11" t="str">
        <f t="shared" si="74"/>
        <v>http://www.library.for.gov.bc.ca/#focus</v>
      </c>
      <c r="AC1495" t="s">
        <v>2500</v>
      </c>
      <c r="AD1495" s="11" t="str">
        <f t="shared" si="75"/>
        <v>http://www.crownpub.bc.ca/</v>
      </c>
      <c r="AE1495" t="s">
        <v>58</v>
      </c>
      <c r="AG1495" t="s">
        <v>63</v>
      </c>
      <c r="AH1495" s="11" t="str">
        <f t="shared" si="70"/>
        <v>mailto: soilterrain@victoria1.gov.bc.ca</v>
      </c>
    </row>
    <row r="1496" spans="1:34">
      <c r="A1496" t="s">
        <v>3510</v>
      </c>
      <c r="B1496" t="s">
        <v>56</v>
      </c>
      <c r="C1496" s="10" t="s">
        <v>275</v>
      </c>
      <c r="D1496" t="s">
        <v>61</v>
      </c>
      <c r="E1496" t="s">
        <v>3511</v>
      </c>
      <c r="F1496" t="s">
        <v>3512</v>
      </c>
      <c r="G1496">
        <v>50000</v>
      </c>
      <c r="H1496">
        <v>1988</v>
      </c>
      <c r="I1496" t="s">
        <v>3513</v>
      </c>
      <c r="J1496" t="s">
        <v>58</v>
      </c>
      <c r="K1496" t="s">
        <v>58</v>
      </c>
      <c r="L1496" t="s">
        <v>61</v>
      </c>
      <c r="M1496" t="s">
        <v>58</v>
      </c>
      <c r="Q1496" t="s">
        <v>58</v>
      </c>
      <c r="R1496" s="11" t="str">
        <f>HYPERLINK("\\imagefiles.bcgov\imagery\scanned_maps\moe_terrain_maps\Scanned_T_maps_all\K09\K09-1103","\\imagefiles.bcgov\imagery\scanned_maps\moe_terrain_maps\Scanned_T_maps_all\K09\K09-1103")</f>
        <v>\\imagefiles.bcgov\imagery\scanned_maps\moe_terrain_maps\Scanned_T_maps_all\K09\K09-1103</v>
      </c>
      <c r="S1496" t="s">
        <v>62</v>
      </c>
      <c r="T1496" s="11" t="str">
        <f>HYPERLINK("http://www.env.gov.bc.ca/esd/distdata/ecosystems/TEI_Scanned_Maps/K09/K09-1103","http://www.env.gov.bc.ca/esd/distdata/ecosystems/TEI_Scanned_Maps/K09/K09-1103")</f>
        <v>http://www.env.gov.bc.ca/esd/distdata/ecosystems/TEI_Scanned_Maps/K09/K09-1103</v>
      </c>
      <c r="U1496" t="s">
        <v>2495</v>
      </c>
      <c r="V1496" s="11" t="str">
        <f t="shared" ref="V1496:V1502" si="76">HYPERLINK("http://www.em.gov.bc.ca/mining/geolsurv/terrain&amp;soils/frbcguid.htm","http://www.em.gov.bc.ca/mining/geolsurv/terrain&amp;soils/frbcguid.htm")</f>
        <v>http://www.em.gov.bc.ca/mining/geolsurv/terrain&amp;soils/frbcguid.htm</v>
      </c>
      <c r="W1496" t="s">
        <v>2489</v>
      </c>
      <c r="X1496" s="11" t="str">
        <f t="shared" si="72"/>
        <v>http://www.em.gov.bc.ca/mining/geolsurv/terrain&amp;soils/frbcguid.htm</v>
      </c>
      <c r="Y1496" t="s">
        <v>2490</v>
      </c>
      <c r="Z1496" s="11" t="str">
        <f t="shared" ref="Z1496:Z1502" si="77">HYPERLINK("http://res.agr.ca/cansis/publications/surveys/bc/","http://res.agr.ca/cansis/publications/surveys/bc/")</f>
        <v>http://res.agr.ca/cansis/publications/surveys/bc/</v>
      </c>
      <c r="AA1496" t="s">
        <v>269</v>
      </c>
      <c r="AB1496" s="11" t="str">
        <f t="shared" si="74"/>
        <v>http://www.library.for.gov.bc.ca/#focus</v>
      </c>
      <c r="AC1496" t="s">
        <v>58</v>
      </c>
      <c r="AE1496" t="s">
        <v>58</v>
      </c>
      <c r="AG1496" t="s">
        <v>63</v>
      </c>
      <c r="AH1496" s="11" t="str">
        <f t="shared" si="70"/>
        <v>mailto: soilterrain@victoria1.gov.bc.ca</v>
      </c>
    </row>
    <row r="1497" spans="1:34">
      <c r="A1497" t="s">
        <v>3514</v>
      </c>
      <c r="B1497" t="s">
        <v>56</v>
      </c>
      <c r="C1497" s="10" t="s">
        <v>279</v>
      </c>
      <c r="D1497" t="s">
        <v>58</v>
      </c>
      <c r="E1497" t="s">
        <v>3511</v>
      </c>
      <c r="F1497" t="s">
        <v>3515</v>
      </c>
      <c r="G1497">
        <v>50000</v>
      </c>
      <c r="H1497">
        <v>1988</v>
      </c>
      <c r="I1497" t="s">
        <v>3513</v>
      </c>
      <c r="J1497" t="s">
        <v>58</v>
      </c>
      <c r="K1497" t="s">
        <v>58</v>
      </c>
      <c r="L1497" t="s">
        <v>61</v>
      </c>
      <c r="M1497" t="s">
        <v>58</v>
      </c>
      <c r="Q1497" t="s">
        <v>58</v>
      </c>
      <c r="R1497" s="11" t="str">
        <f>HYPERLINK("\\imagefiles.bcgov\imagery\scanned_maps\moe_terrain_maps\Scanned_T_maps_all\K09\K09-1104","\\imagefiles.bcgov\imagery\scanned_maps\moe_terrain_maps\Scanned_T_maps_all\K09\K09-1104")</f>
        <v>\\imagefiles.bcgov\imagery\scanned_maps\moe_terrain_maps\Scanned_T_maps_all\K09\K09-1104</v>
      </c>
      <c r="S1497" t="s">
        <v>62</v>
      </c>
      <c r="T1497" s="11" t="str">
        <f>HYPERLINK("http://www.env.gov.bc.ca/esd/distdata/ecosystems/TEI_Scanned_Maps/K09/K09-1104","http://www.env.gov.bc.ca/esd/distdata/ecosystems/TEI_Scanned_Maps/K09/K09-1104")</f>
        <v>http://www.env.gov.bc.ca/esd/distdata/ecosystems/TEI_Scanned_Maps/K09/K09-1104</v>
      </c>
      <c r="U1497" t="s">
        <v>2495</v>
      </c>
      <c r="V1497" s="11" t="str">
        <f t="shared" si="76"/>
        <v>http://www.em.gov.bc.ca/mining/geolsurv/terrain&amp;soils/frbcguid.htm</v>
      </c>
      <c r="W1497" t="s">
        <v>2489</v>
      </c>
      <c r="X1497" s="11" t="str">
        <f t="shared" si="72"/>
        <v>http://www.em.gov.bc.ca/mining/geolsurv/terrain&amp;soils/frbcguid.htm</v>
      </c>
      <c r="Y1497" t="s">
        <v>2490</v>
      </c>
      <c r="Z1497" s="11" t="str">
        <f t="shared" si="77"/>
        <v>http://res.agr.ca/cansis/publications/surveys/bc/</v>
      </c>
      <c r="AA1497" t="s">
        <v>269</v>
      </c>
      <c r="AB1497" s="11" t="str">
        <f t="shared" si="74"/>
        <v>http://www.library.for.gov.bc.ca/#focus</v>
      </c>
      <c r="AC1497" t="s">
        <v>58</v>
      </c>
      <c r="AE1497" t="s">
        <v>58</v>
      </c>
      <c r="AG1497" t="s">
        <v>63</v>
      </c>
      <c r="AH1497" s="11" t="str">
        <f t="shared" si="70"/>
        <v>mailto: soilterrain@victoria1.gov.bc.ca</v>
      </c>
    </row>
    <row r="1498" spans="1:34">
      <c r="A1498" t="s">
        <v>3516</v>
      </c>
      <c r="B1498" t="s">
        <v>56</v>
      </c>
      <c r="C1498" s="10" t="s">
        <v>283</v>
      </c>
      <c r="D1498" t="s">
        <v>58</v>
      </c>
      <c r="E1498" t="s">
        <v>3511</v>
      </c>
      <c r="F1498" t="s">
        <v>3517</v>
      </c>
      <c r="G1498">
        <v>50000</v>
      </c>
      <c r="H1498">
        <v>1987</v>
      </c>
      <c r="I1498" t="s">
        <v>3513</v>
      </c>
      <c r="J1498" t="s">
        <v>58</v>
      </c>
      <c r="K1498" t="s">
        <v>58</v>
      </c>
      <c r="L1498" t="s">
        <v>61</v>
      </c>
      <c r="M1498" t="s">
        <v>58</v>
      </c>
      <c r="Q1498" t="s">
        <v>58</v>
      </c>
      <c r="R1498" s="11" t="str">
        <f>HYPERLINK("\\imagefiles.bcgov\imagery\scanned_maps\moe_terrain_maps\Scanned_T_maps_all\K09\K09-1105","\\imagefiles.bcgov\imagery\scanned_maps\moe_terrain_maps\Scanned_T_maps_all\K09\K09-1105")</f>
        <v>\\imagefiles.bcgov\imagery\scanned_maps\moe_terrain_maps\Scanned_T_maps_all\K09\K09-1105</v>
      </c>
      <c r="S1498" t="s">
        <v>62</v>
      </c>
      <c r="T1498" s="11" t="str">
        <f>HYPERLINK("http://www.env.gov.bc.ca/esd/distdata/ecosystems/TEI_Scanned_Maps/K09/K09-1105","http://www.env.gov.bc.ca/esd/distdata/ecosystems/TEI_Scanned_Maps/K09/K09-1105")</f>
        <v>http://www.env.gov.bc.ca/esd/distdata/ecosystems/TEI_Scanned_Maps/K09/K09-1105</v>
      </c>
      <c r="U1498" t="s">
        <v>2495</v>
      </c>
      <c r="V1498" s="11" t="str">
        <f t="shared" si="76"/>
        <v>http://www.em.gov.bc.ca/mining/geolsurv/terrain&amp;soils/frbcguid.htm</v>
      </c>
      <c r="W1498" t="s">
        <v>2489</v>
      </c>
      <c r="X1498" s="11" t="str">
        <f t="shared" si="72"/>
        <v>http://www.em.gov.bc.ca/mining/geolsurv/terrain&amp;soils/frbcguid.htm</v>
      </c>
      <c r="Y1498" t="s">
        <v>2490</v>
      </c>
      <c r="Z1498" s="11" t="str">
        <f t="shared" si="77"/>
        <v>http://res.agr.ca/cansis/publications/surveys/bc/</v>
      </c>
      <c r="AA1498" t="s">
        <v>269</v>
      </c>
      <c r="AB1498" s="11" t="str">
        <f t="shared" si="74"/>
        <v>http://www.library.for.gov.bc.ca/#focus</v>
      </c>
      <c r="AC1498" t="s">
        <v>58</v>
      </c>
      <c r="AE1498" t="s">
        <v>58</v>
      </c>
      <c r="AG1498" t="s">
        <v>63</v>
      </c>
      <c r="AH1498" s="11" t="str">
        <f t="shared" si="70"/>
        <v>mailto: soilterrain@victoria1.gov.bc.ca</v>
      </c>
    </row>
    <row r="1499" spans="1:34">
      <c r="A1499" t="s">
        <v>3518</v>
      </c>
      <c r="B1499" t="s">
        <v>56</v>
      </c>
      <c r="C1499" s="10" t="s">
        <v>287</v>
      </c>
      <c r="D1499" t="s">
        <v>58</v>
      </c>
      <c r="E1499" t="s">
        <v>3511</v>
      </c>
      <c r="F1499" t="s">
        <v>3519</v>
      </c>
      <c r="G1499">
        <v>50000</v>
      </c>
      <c r="H1499">
        <v>1985</v>
      </c>
      <c r="I1499" t="s">
        <v>3513</v>
      </c>
      <c r="J1499" t="s">
        <v>58</v>
      </c>
      <c r="K1499" t="s">
        <v>58</v>
      </c>
      <c r="L1499" t="s">
        <v>61</v>
      </c>
      <c r="M1499" t="s">
        <v>58</v>
      </c>
      <c r="Q1499" t="s">
        <v>58</v>
      </c>
      <c r="R1499" s="11" t="str">
        <f>HYPERLINK("\\imagefiles.bcgov\imagery\scanned_maps\moe_terrain_maps\Scanned_T_maps_all\K09\K09-1106","\\imagefiles.bcgov\imagery\scanned_maps\moe_terrain_maps\Scanned_T_maps_all\K09\K09-1106")</f>
        <v>\\imagefiles.bcgov\imagery\scanned_maps\moe_terrain_maps\Scanned_T_maps_all\K09\K09-1106</v>
      </c>
      <c r="S1499" t="s">
        <v>62</v>
      </c>
      <c r="T1499" s="11" t="str">
        <f>HYPERLINK("http://www.env.gov.bc.ca/esd/distdata/ecosystems/TEI_Scanned_Maps/K09/K09-1106","http://www.env.gov.bc.ca/esd/distdata/ecosystems/TEI_Scanned_Maps/K09/K09-1106")</f>
        <v>http://www.env.gov.bc.ca/esd/distdata/ecosystems/TEI_Scanned_Maps/K09/K09-1106</v>
      </c>
      <c r="U1499" t="s">
        <v>2495</v>
      </c>
      <c r="V1499" s="11" t="str">
        <f t="shared" si="76"/>
        <v>http://www.em.gov.bc.ca/mining/geolsurv/terrain&amp;soils/frbcguid.htm</v>
      </c>
      <c r="W1499" t="s">
        <v>2489</v>
      </c>
      <c r="X1499" s="11" t="str">
        <f t="shared" si="72"/>
        <v>http://www.em.gov.bc.ca/mining/geolsurv/terrain&amp;soils/frbcguid.htm</v>
      </c>
      <c r="Y1499" t="s">
        <v>2490</v>
      </c>
      <c r="Z1499" s="11" t="str">
        <f t="shared" si="77"/>
        <v>http://res.agr.ca/cansis/publications/surveys/bc/</v>
      </c>
      <c r="AA1499" t="s">
        <v>269</v>
      </c>
      <c r="AB1499" s="11" t="str">
        <f t="shared" si="74"/>
        <v>http://www.library.for.gov.bc.ca/#focus</v>
      </c>
      <c r="AC1499" t="s">
        <v>58</v>
      </c>
      <c r="AE1499" t="s">
        <v>58</v>
      </c>
      <c r="AG1499" t="s">
        <v>63</v>
      </c>
      <c r="AH1499" s="11" t="str">
        <f t="shared" si="70"/>
        <v>mailto: soilterrain@victoria1.gov.bc.ca</v>
      </c>
    </row>
    <row r="1500" spans="1:34">
      <c r="A1500" t="s">
        <v>3520</v>
      </c>
      <c r="B1500" t="s">
        <v>56</v>
      </c>
      <c r="C1500" s="10" t="s">
        <v>574</v>
      </c>
      <c r="D1500" t="s">
        <v>58</v>
      </c>
      <c r="E1500" t="s">
        <v>3511</v>
      </c>
      <c r="F1500" t="s">
        <v>3521</v>
      </c>
      <c r="G1500">
        <v>50000</v>
      </c>
      <c r="H1500">
        <v>1988</v>
      </c>
      <c r="I1500" t="s">
        <v>3513</v>
      </c>
      <c r="J1500" t="s">
        <v>58</v>
      </c>
      <c r="K1500" t="s">
        <v>58</v>
      </c>
      <c r="L1500" t="s">
        <v>61</v>
      </c>
      <c r="M1500" t="s">
        <v>58</v>
      </c>
      <c r="Q1500" t="s">
        <v>58</v>
      </c>
      <c r="R1500" s="11" t="str">
        <f>HYPERLINK("\\imagefiles.bcgov\imagery\scanned_maps\moe_terrain_maps\Scanned_T_maps_all\K09\K09-1107","\\imagefiles.bcgov\imagery\scanned_maps\moe_terrain_maps\Scanned_T_maps_all\K09\K09-1107")</f>
        <v>\\imagefiles.bcgov\imagery\scanned_maps\moe_terrain_maps\Scanned_T_maps_all\K09\K09-1107</v>
      </c>
      <c r="S1500" t="s">
        <v>62</v>
      </c>
      <c r="T1500" s="11" t="str">
        <f>HYPERLINK("http://www.env.gov.bc.ca/esd/distdata/ecosystems/TEI_Scanned_Maps/K09/K09-1107","http://www.env.gov.bc.ca/esd/distdata/ecosystems/TEI_Scanned_Maps/K09/K09-1107")</f>
        <v>http://www.env.gov.bc.ca/esd/distdata/ecosystems/TEI_Scanned_Maps/K09/K09-1107</v>
      </c>
      <c r="U1500" t="s">
        <v>2495</v>
      </c>
      <c r="V1500" s="11" t="str">
        <f t="shared" si="76"/>
        <v>http://www.em.gov.bc.ca/mining/geolsurv/terrain&amp;soils/frbcguid.htm</v>
      </c>
      <c r="W1500" t="s">
        <v>2489</v>
      </c>
      <c r="X1500" s="11" t="str">
        <f t="shared" si="72"/>
        <v>http://www.em.gov.bc.ca/mining/geolsurv/terrain&amp;soils/frbcguid.htm</v>
      </c>
      <c r="Y1500" t="s">
        <v>2490</v>
      </c>
      <c r="Z1500" s="11" t="str">
        <f t="shared" si="77"/>
        <v>http://res.agr.ca/cansis/publications/surveys/bc/</v>
      </c>
      <c r="AA1500" t="s">
        <v>269</v>
      </c>
      <c r="AB1500" s="11" t="str">
        <f t="shared" si="74"/>
        <v>http://www.library.for.gov.bc.ca/#focus</v>
      </c>
      <c r="AC1500" t="s">
        <v>58</v>
      </c>
      <c r="AE1500" t="s">
        <v>58</v>
      </c>
      <c r="AG1500" t="s">
        <v>63</v>
      </c>
      <c r="AH1500" s="11" t="str">
        <f t="shared" si="70"/>
        <v>mailto: soilterrain@victoria1.gov.bc.ca</v>
      </c>
    </row>
    <row r="1501" spans="1:34">
      <c r="A1501" t="s">
        <v>3522</v>
      </c>
      <c r="B1501" t="s">
        <v>56</v>
      </c>
      <c r="C1501" s="10" t="s">
        <v>3523</v>
      </c>
      <c r="D1501" t="s">
        <v>58</v>
      </c>
      <c r="E1501" t="s">
        <v>3511</v>
      </c>
      <c r="F1501" t="s">
        <v>3524</v>
      </c>
      <c r="G1501">
        <v>50000</v>
      </c>
      <c r="H1501">
        <v>1988</v>
      </c>
      <c r="I1501" t="s">
        <v>3513</v>
      </c>
      <c r="J1501" t="s">
        <v>58</v>
      </c>
      <c r="K1501" t="s">
        <v>58</v>
      </c>
      <c r="L1501" t="s">
        <v>61</v>
      </c>
      <c r="M1501" t="s">
        <v>58</v>
      </c>
      <c r="Q1501" t="s">
        <v>58</v>
      </c>
      <c r="R1501" s="11" t="str">
        <f>HYPERLINK("\\imagefiles.bcgov\imagery\scanned_maps\moe_terrain_maps\Scanned_T_maps_all\K09\K09-1108","\\imagefiles.bcgov\imagery\scanned_maps\moe_terrain_maps\Scanned_T_maps_all\K09\K09-1108")</f>
        <v>\\imagefiles.bcgov\imagery\scanned_maps\moe_terrain_maps\Scanned_T_maps_all\K09\K09-1108</v>
      </c>
      <c r="S1501" t="s">
        <v>62</v>
      </c>
      <c r="T1501" s="11" t="str">
        <f>HYPERLINK("http://www.env.gov.bc.ca/esd/distdata/ecosystems/TEI_Scanned_Maps/K09/K09-1108","http://www.env.gov.bc.ca/esd/distdata/ecosystems/TEI_Scanned_Maps/K09/K09-1108")</f>
        <v>http://www.env.gov.bc.ca/esd/distdata/ecosystems/TEI_Scanned_Maps/K09/K09-1108</v>
      </c>
      <c r="U1501" t="s">
        <v>2495</v>
      </c>
      <c r="V1501" s="11" t="str">
        <f t="shared" si="76"/>
        <v>http://www.em.gov.bc.ca/mining/geolsurv/terrain&amp;soils/frbcguid.htm</v>
      </c>
      <c r="W1501" t="s">
        <v>2489</v>
      </c>
      <c r="X1501" s="11" t="str">
        <f t="shared" si="72"/>
        <v>http://www.em.gov.bc.ca/mining/geolsurv/terrain&amp;soils/frbcguid.htm</v>
      </c>
      <c r="Y1501" t="s">
        <v>2490</v>
      </c>
      <c r="Z1501" s="11" t="str">
        <f t="shared" si="77"/>
        <v>http://res.agr.ca/cansis/publications/surveys/bc/</v>
      </c>
      <c r="AA1501" t="s">
        <v>269</v>
      </c>
      <c r="AB1501" s="11" t="str">
        <f t="shared" si="74"/>
        <v>http://www.library.for.gov.bc.ca/#focus</v>
      </c>
      <c r="AC1501" t="s">
        <v>58</v>
      </c>
      <c r="AE1501" t="s">
        <v>58</v>
      </c>
      <c r="AG1501" t="s">
        <v>63</v>
      </c>
      <c r="AH1501" s="11" t="str">
        <f t="shared" si="70"/>
        <v>mailto: soilterrain@victoria1.gov.bc.ca</v>
      </c>
    </row>
    <row r="1502" spans="1:34">
      <c r="A1502" t="s">
        <v>3525</v>
      </c>
      <c r="B1502" t="s">
        <v>56</v>
      </c>
      <c r="C1502" s="10" t="s">
        <v>577</v>
      </c>
      <c r="D1502" t="s">
        <v>58</v>
      </c>
      <c r="E1502" t="s">
        <v>3511</v>
      </c>
      <c r="F1502" t="s">
        <v>3526</v>
      </c>
      <c r="G1502">
        <v>50000</v>
      </c>
      <c r="H1502">
        <v>1985</v>
      </c>
      <c r="I1502" t="s">
        <v>3513</v>
      </c>
      <c r="J1502" t="s">
        <v>58</v>
      </c>
      <c r="K1502" t="s">
        <v>58</v>
      </c>
      <c r="L1502" t="s">
        <v>61</v>
      </c>
      <c r="M1502" t="s">
        <v>58</v>
      </c>
      <c r="Q1502" t="s">
        <v>58</v>
      </c>
      <c r="R1502" s="11" t="str">
        <f>HYPERLINK("\\imagefiles.bcgov\imagery\scanned_maps\moe_terrain_maps\Scanned_T_maps_all\K09\K09-1109","\\imagefiles.bcgov\imagery\scanned_maps\moe_terrain_maps\Scanned_T_maps_all\K09\K09-1109")</f>
        <v>\\imagefiles.bcgov\imagery\scanned_maps\moe_terrain_maps\Scanned_T_maps_all\K09\K09-1109</v>
      </c>
      <c r="S1502" t="s">
        <v>62</v>
      </c>
      <c r="T1502" s="11" t="str">
        <f>HYPERLINK("http://www.env.gov.bc.ca/esd/distdata/ecosystems/TEI_Scanned_Maps/K09/K09-1109","http://www.env.gov.bc.ca/esd/distdata/ecosystems/TEI_Scanned_Maps/K09/K09-1109")</f>
        <v>http://www.env.gov.bc.ca/esd/distdata/ecosystems/TEI_Scanned_Maps/K09/K09-1109</v>
      </c>
      <c r="U1502" t="s">
        <v>2495</v>
      </c>
      <c r="V1502" s="11" t="str">
        <f t="shared" si="76"/>
        <v>http://www.em.gov.bc.ca/mining/geolsurv/terrain&amp;soils/frbcguid.htm</v>
      </c>
      <c r="W1502" t="s">
        <v>2489</v>
      </c>
      <c r="X1502" s="11" t="str">
        <f t="shared" si="72"/>
        <v>http://www.em.gov.bc.ca/mining/geolsurv/terrain&amp;soils/frbcguid.htm</v>
      </c>
      <c r="Y1502" t="s">
        <v>2490</v>
      </c>
      <c r="Z1502" s="11" t="str">
        <f t="shared" si="77"/>
        <v>http://res.agr.ca/cansis/publications/surveys/bc/</v>
      </c>
      <c r="AA1502" t="s">
        <v>269</v>
      </c>
      <c r="AB1502" s="11" t="str">
        <f t="shared" si="74"/>
        <v>http://www.library.for.gov.bc.ca/#focus</v>
      </c>
      <c r="AC1502" t="s">
        <v>58</v>
      </c>
      <c r="AE1502" t="s">
        <v>58</v>
      </c>
      <c r="AG1502" t="s">
        <v>63</v>
      </c>
      <c r="AH1502" s="11" t="str">
        <f t="shared" si="70"/>
        <v>mailto: soilterrain@victoria1.gov.bc.ca</v>
      </c>
    </row>
    <row r="1503" spans="1:34">
      <c r="A1503" t="s">
        <v>3527</v>
      </c>
      <c r="B1503" t="s">
        <v>56</v>
      </c>
      <c r="C1503" s="10" t="s">
        <v>141</v>
      </c>
      <c r="D1503" t="s">
        <v>58</v>
      </c>
      <c r="E1503" t="s">
        <v>3058</v>
      </c>
      <c r="F1503" t="s">
        <v>3528</v>
      </c>
      <c r="G1503">
        <v>50000</v>
      </c>
      <c r="H1503">
        <v>1988</v>
      </c>
      <c r="I1503" t="s">
        <v>3060</v>
      </c>
      <c r="J1503" t="s">
        <v>58</v>
      </c>
      <c r="K1503" t="s">
        <v>58</v>
      </c>
      <c r="L1503" t="s">
        <v>61</v>
      </c>
      <c r="M1503" t="s">
        <v>58</v>
      </c>
      <c r="Q1503" t="s">
        <v>58</v>
      </c>
      <c r="R1503" s="11" t="str">
        <f>HYPERLINK("\\imagefiles.bcgov\imagery\scanned_maps\moe_terrain_maps\Scanned_T_maps_all\K09\K09-1303","\\imagefiles.bcgov\imagery\scanned_maps\moe_terrain_maps\Scanned_T_maps_all\K09\K09-1303")</f>
        <v>\\imagefiles.bcgov\imagery\scanned_maps\moe_terrain_maps\Scanned_T_maps_all\K09\K09-1303</v>
      </c>
      <c r="S1503" t="s">
        <v>62</v>
      </c>
      <c r="T1503" s="11" t="str">
        <f>HYPERLINK("http://www.env.gov.bc.ca/esd/distdata/ecosystems/TEI_Scanned_Maps/K09/K09-1303","http://www.env.gov.bc.ca/esd/distdata/ecosystems/TEI_Scanned_Maps/K09/K09-1303")</f>
        <v>http://www.env.gov.bc.ca/esd/distdata/ecosystems/TEI_Scanned_Maps/K09/K09-1303</v>
      </c>
      <c r="U1503" t="s">
        <v>2487</v>
      </c>
      <c r="V1503" s="11" t="str">
        <f t="shared" ref="V1503:V1515" si="78">HYPERLINK("http://res.agr.ca/cansis/publications/surveys/bc/","http://res.agr.ca/cansis/publications/surveys/bc/")</f>
        <v>http://res.agr.ca/cansis/publications/surveys/bc/</v>
      </c>
      <c r="W1503" t="s">
        <v>2495</v>
      </c>
      <c r="X1503" s="11" t="str">
        <f t="shared" si="72"/>
        <v>http://www.em.gov.bc.ca/mining/geolsurv/terrain&amp;soils/frbcguid.htm</v>
      </c>
      <c r="Y1503" t="s">
        <v>2489</v>
      </c>
      <c r="Z1503" s="11" t="str">
        <f t="shared" ref="Z1503:Z1515" si="79">HYPERLINK("http://www.em.gov.bc.ca/mining/geolsurv/terrain&amp;soils/frbcguid.htm","http://www.em.gov.bc.ca/mining/geolsurv/terrain&amp;soils/frbcguid.htm")</f>
        <v>http://www.em.gov.bc.ca/mining/geolsurv/terrain&amp;soils/frbcguid.htm</v>
      </c>
      <c r="AA1503" t="s">
        <v>269</v>
      </c>
      <c r="AB1503" s="11" t="str">
        <f t="shared" si="74"/>
        <v>http://www.library.for.gov.bc.ca/#focus</v>
      </c>
      <c r="AC1503" t="s">
        <v>2500</v>
      </c>
      <c r="AD1503" s="11" t="str">
        <f t="shared" ref="AD1503:AD1515" si="80">HYPERLINK("http://www.crownpub.bc.ca/","http://www.crownpub.bc.ca/")</f>
        <v>http://www.crownpub.bc.ca/</v>
      </c>
      <c r="AE1503" t="s">
        <v>58</v>
      </c>
      <c r="AG1503" t="s">
        <v>63</v>
      </c>
      <c r="AH1503" s="11" t="str">
        <f t="shared" si="70"/>
        <v>mailto: soilterrain@victoria1.gov.bc.ca</v>
      </c>
    </row>
    <row r="1504" spans="1:34">
      <c r="A1504" t="s">
        <v>3529</v>
      </c>
      <c r="B1504" t="s">
        <v>56</v>
      </c>
      <c r="C1504" s="10" t="s">
        <v>145</v>
      </c>
      <c r="D1504" t="s">
        <v>58</v>
      </c>
      <c r="E1504" t="s">
        <v>3058</v>
      </c>
      <c r="F1504" t="s">
        <v>3530</v>
      </c>
      <c r="G1504">
        <v>50000</v>
      </c>
      <c r="H1504">
        <v>1988</v>
      </c>
      <c r="I1504" t="s">
        <v>3060</v>
      </c>
      <c r="J1504" t="s">
        <v>58</v>
      </c>
      <c r="K1504" t="s">
        <v>58</v>
      </c>
      <c r="L1504" t="s">
        <v>61</v>
      </c>
      <c r="M1504" t="s">
        <v>58</v>
      </c>
      <c r="Q1504" t="s">
        <v>58</v>
      </c>
      <c r="R1504" s="11" t="str">
        <f>HYPERLINK("\\imagefiles.bcgov\imagery\scanned_maps\moe_terrain_maps\Scanned_T_maps_all\K09\K09-1306","\\imagefiles.bcgov\imagery\scanned_maps\moe_terrain_maps\Scanned_T_maps_all\K09\K09-1306")</f>
        <v>\\imagefiles.bcgov\imagery\scanned_maps\moe_terrain_maps\Scanned_T_maps_all\K09\K09-1306</v>
      </c>
      <c r="S1504" t="s">
        <v>62</v>
      </c>
      <c r="T1504" s="11" t="str">
        <f>HYPERLINK("http://www.env.gov.bc.ca/esd/distdata/ecosystems/TEI_Scanned_Maps/K09/K09-1306","http://www.env.gov.bc.ca/esd/distdata/ecosystems/TEI_Scanned_Maps/K09/K09-1306")</f>
        <v>http://www.env.gov.bc.ca/esd/distdata/ecosystems/TEI_Scanned_Maps/K09/K09-1306</v>
      </c>
      <c r="U1504" t="s">
        <v>2487</v>
      </c>
      <c r="V1504" s="11" t="str">
        <f t="shared" si="78"/>
        <v>http://res.agr.ca/cansis/publications/surveys/bc/</v>
      </c>
      <c r="W1504" t="s">
        <v>2495</v>
      </c>
      <c r="X1504" s="11" t="str">
        <f t="shared" si="72"/>
        <v>http://www.em.gov.bc.ca/mining/geolsurv/terrain&amp;soils/frbcguid.htm</v>
      </c>
      <c r="Y1504" t="s">
        <v>2489</v>
      </c>
      <c r="Z1504" s="11" t="str">
        <f t="shared" si="79"/>
        <v>http://www.em.gov.bc.ca/mining/geolsurv/terrain&amp;soils/frbcguid.htm</v>
      </c>
      <c r="AA1504" t="s">
        <v>269</v>
      </c>
      <c r="AB1504" s="11" t="str">
        <f t="shared" si="74"/>
        <v>http://www.library.for.gov.bc.ca/#focus</v>
      </c>
      <c r="AC1504" t="s">
        <v>2500</v>
      </c>
      <c r="AD1504" s="11" t="str">
        <f t="shared" si="80"/>
        <v>http://www.crownpub.bc.ca/</v>
      </c>
      <c r="AE1504" t="s">
        <v>58</v>
      </c>
      <c r="AG1504" t="s">
        <v>63</v>
      </c>
      <c r="AH1504" s="11" t="str">
        <f t="shared" si="70"/>
        <v>mailto: soilterrain@victoria1.gov.bc.ca</v>
      </c>
    </row>
    <row r="1505" spans="1:34">
      <c r="A1505" t="s">
        <v>3531</v>
      </c>
      <c r="B1505" t="s">
        <v>56</v>
      </c>
      <c r="C1505" s="10" t="s">
        <v>149</v>
      </c>
      <c r="D1505" t="s">
        <v>58</v>
      </c>
      <c r="E1505" t="s">
        <v>3058</v>
      </c>
      <c r="F1505" t="s">
        <v>3532</v>
      </c>
      <c r="G1505">
        <v>50000</v>
      </c>
      <c r="H1505">
        <v>1987</v>
      </c>
      <c r="I1505" t="s">
        <v>3060</v>
      </c>
      <c r="J1505" t="s">
        <v>58</v>
      </c>
      <c r="K1505" t="s">
        <v>58</v>
      </c>
      <c r="L1505" t="s">
        <v>61</v>
      </c>
      <c r="M1505" t="s">
        <v>58</v>
      </c>
      <c r="Q1505" t="s">
        <v>58</v>
      </c>
      <c r="R1505" s="11" t="str">
        <f>HYPERLINK("\\imagefiles.bcgov\imagery\scanned_maps\moe_terrain_maps\Scanned_T_maps_all\K09\K09-1307","\\imagefiles.bcgov\imagery\scanned_maps\moe_terrain_maps\Scanned_T_maps_all\K09\K09-1307")</f>
        <v>\\imagefiles.bcgov\imagery\scanned_maps\moe_terrain_maps\Scanned_T_maps_all\K09\K09-1307</v>
      </c>
      <c r="S1505" t="s">
        <v>62</v>
      </c>
      <c r="T1505" s="11" t="str">
        <f>HYPERLINK("http://www.env.gov.bc.ca/esd/distdata/ecosystems/TEI_Scanned_Maps/K09/K09-1307","http://www.env.gov.bc.ca/esd/distdata/ecosystems/TEI_Scanned_Maps/K09/K09-1307")</f>
        <v>http://www.env.gov.bc.ca/esd/distdata/ecosystems/TEI_Scanned_Maps/K09/K09-1307</v>
      </c>
      <c r="U1505" t="s">
        <v>2487</v>
      </c>
      <c r="V1505" s="11" t="str">
        <f t="shared" si="78"/>
        <v>http://res.agr.ca/cansis/publications/surveys/bc/</v>
      </c>
      <c r="W1505" t="s">
        <v>2495</v>
      </c>
      <c r="X1505" s="11" t="str">
        <f t="shared" si="72"/>
        <v>http://www.em.gov.bc.ca/mining/geolsurv/terrain&amp;soils/frbcguid.htm</v>
      </c>
      <c r="Y1505" t="s">
        <v>2489</v>
      </c>
      <c r="Z1505" s="11" t="str">
        <f t="shared" si="79"/>
        <v>http://www.em.gov.bc.ca/mining/geolsurv/terrain&amp;soils/frbcguid.htm</v>
      </c>
      <c r="AA1505" t="s">
        <v>269</v>
      </c>
      <c r="AB1505" s="11" t="str">
        <f t="shared" si="74"/>
        <v>http://www.library.for.gov.bc.ca/#focus</v>
      </c>
      <c r="AC1505" t="s">
        <v>2500</v>
      </c>
      <c r="AD1505" s="11" t="str">
        <f t="shared" si="80"/>
        <v>http://www.crownpub.bc.ca/</v>
      </c>
      <c r="AE1505" t="s">
        <v>58</v>
      </c>
      <c r="AG1505" t="s">
        <v>63</v>
      </c>
      <c r="AH1505" s="11" t="str">
        <f t="shared" si="70"/>
        <v>mailto: soilterrain@victoria1.gov.bc.ca</v>
      </c>
    </row>
    <row r="1506" spans="1:34">
      <c r="A1506" t="s">
        <v>3533</v>
      </c>
      <c r="B1506" t="s">
        <v>56</v>
      </c>
      <c r="C1506" s="10" t="s">
        <v>153</v>
      </c>
      <c r="D1506" t="s">
        <v>58</v>
      </c>
      <c r="E1506" t="s">
        <v>3058</v>
      </c>
      <c r="F1506" t="s">
        <v>3534</v>
      </c>
      <c r="G1506">
        <v>50000</v>
      </c>
      <c r="H1506">
        <v>1988</v>
      </c>
      <c r="I1506" t="s">
        <v>3060</v>
      </c>
      <c r="J1506" t="s">
        <v>58</v>
      </c>
      <c r="K1506" t="s">
        <v>58</v>
      </c>
      <c r="L1506" t="s">
        <v>61</v>
      </c>
      <c r="M1506" t="s">
        <v>58</v>
      </c>
      <c r="Q1506" t="s">
        <v>58</v>
      </c>
      <c r="R1506" s="11" t="str">
        <f>HYPERLINK("\\imagefiles.bcgov\imagery\scanned_maps\moe_terrain_maps\Scanned_T_maps_all\K09\K09-1308","\\imagefiles.bcgov\imagery\scanned_maps\moe_terrain_maps\Scanned_T_maps_all\K09\K09-1308")</f>
        <v>\\imagefiles.bcgov\imagery\scanned_maps\moe_terrain_maps\Scanned_T_maps_all\K09\K09-1308</v>
      </c>
      <c r="S1506" t="s">
        <v>62</v>
      </c>
      <c r="T1506" s="11" t="str">
        <f>HYPERLINK("http://www.env.gov.bc.ca/esd/distdata/ecosystems/TEI_Scanned_Maps/K09/K09-1308","http://www.env.gov.bc.ca/esd/distdata/ecosystems/TEI_Scanned_Maps/K09/K09-1308")</f>
        <v>http://www.env.gov.bc.ca/esd/distdata/ecosystems/TEI_Scanned_Maps/K09/K09-1308</v>
      </c>
      <c r="U1506" t="s">
        <v>2487</v>
      </c>
      <c r="V1506" s="11" t="str">
        <f t="shared" si="78"/>
        <v>http://res.agr.ca/cansis/publications/surveys/bc/</v>
      </c>
      <c r="W1506" t="s">
        <v>2495</v>
      </c>
      <c r="X1506" s="11" t="str">
        <f t="shared" si="72"/>
        <v>http://www.em.gov.bc.ca/mining/geolsurv/terrain&amp;soils/frbcguid.htm</v>
      </c>
      <c r="Y1506" t="s">
        <v>2489</v>
      </c>
      <c r="Z1506" s="11" t="str">
        <f t="shared" si="79"/>
        <v>http://www.em.gov.bc.ca/mining/geolsurv/terrain&amp;soils/frbcguid.htm</v>
      </c>
      <c r="AA1506" t="s">
        <v>269</v>
      </c>
      <c r="AB1506" s="11" t="str">
        <f t="shared" si="74"/>
        <v>http://www.library.for.gov.bc.ca/#focus</v>
      </c>
      <c r="AC1506" t="s">
        <v>2500</v>
      </c>
      <c r="AD1506" s="11" t="str">
        <f t="shared" si="80"/>
        <v>http://www.crownpub.bc.ca/</v>
      </c>
      <c r="AE1506" t="s">
        <v>58</v>
      </c>
      <c r="AG1506" t="s">
        <v>63</v>
      </c>
      <c r="AH1506" s="11" t="str">
        <f t="shared" si="70"/>
        <v>mailto: soilterrain@victoria1.gov.bc.ca</v>
      </c>
    </row>
    <row r="1507" spans="1:34">
      <c r="A1507" t="s">
        <v>3535</v>
      </c>
      <c r="B1507" t="s">
        <v>56</v>
      </c>
      <c r="C1507" s="10" t="s">
        <v>157</v>
      </c>
      <c r="D1507" t="s">
        <v>58</v>
      </c>
      <c r="E1507" t="s">
        <v>3058</v>
      </c>
      <c r="F1507" t="s">
        <v>3536</v>
      </c>
      <c r="G1507">
        <v>50000</v>
      </c>
      <c r="H1507">
        <v>1978</v>
      </c>
      <c r="I1507" t="s">
        <v>3060</v>
      </c>
      <c r="J1507" t="s">
        <v>58</v>
      </c>
      <c r="K1507" t="s">
        <v>58</v>
      </c>
      <c r="L1507" t="s">
        <v>61</v>
      </c>
      <c r="M1507" t="s">
        <v>58</v>
      </c>
      <c r="Q1507" t="s">
        <v>58</v>
      </c>
      <c r="R1507" s="11" t="str">
        <f>HYPERLINK("\\imagefiles.bcgov\imagery\scanned_maps\moe_terrain_maps\Scanned_T_maps_all\K09\K09-1309","\\imagefiles.bcgov\imagery\scanned_maps\moe_terrain_maps\Scanned_T_maps_all\K09\K09-1309")</f>
        <v>\\imagefiles.bcgov\imagery\scanned_maps\moe_terrain_maps\Scanned_T_maps_all\K09\K09-1309</v>
      </c>
      <c r="S1507" t="s">
        <v>62</v>
      </c>
      <c r="T1507" s="11" t="str">
        <f>HYPERLINK("http://www.env.gov.bc.ca/esd/distdata/ecosystems/TEI_Scanned_Maps/K09/K09-1309","http://www.env.gov.bc.ca/esd/distdata/ecosystems/TEI_Scanned_Maps/K09/K09-1309")</f>
        <v>http://www.env.gov.bc.ca/esd/distdata/ecosystems/TEI_Scanned_Maps/K09/K09-1309</v>
      </c>
      <c r="U1507" t="s">
        <v>2487</v>
      </c>
      <c r="V1507" s="11" t="str">
        <f t="shared" si="78"/>
        <v>http://res.agr.ca/cansis/publications/surveys/bc/</v>
      </c>
      <c r="W1507" t="s">
        <v>2495</v>
      </c>
      <c r="X1507" s="11" t="str">
        <f t="shared" si="72"/>
        <v>http://www.em.gov.bc.ca/mining/geolsurv/terrain&amp;soils/frbcguid.htm</v>
      </c>
      <c r="Y1507" t="s">
        <v>2489</v>
      </c>
      <c r="Z1507" s="11" t="str">
        <f t="shared" si="79"/>
        <v>http://www.em.gov.bc.ca/mining/geolsurv/terrain&amp;soils/frbcguid.htm</v>
      </c>
      <c r="AA1507" t="s">
        <v>269</v>
      </c>
      <c r="AB1507" s="11" t="str">
        <f t="shared" si="74"/>
        <v>http://www.library.for.gov.bc.ca/#focus</v>
      </c>
      <c r="AC1507" t="s">
        <v>2500</v>
      </c>
      <c r="AD1507" s="11" t="str">
        <f t="shared" si="80"/>
        <v>http://www.crownpub.bc.ca/</v>
      </c>
      <c r="AE1507" t="s">
        <v>58</v>
      </c>
      <c r="AG1507" t="s">
        <v>63</v>
      </c>
      <c r="AH1507" s="11" t="str">
        <f t="shared" si="70"/>
        <v>mailto: soilterrain@victoria1.gov.bc.ca</v>
      </c>
    </row>
    <row r="1508" spans="1:34">
      <c r="A1508" t="s">
        <v>3537</v>
      </c>
      <c r="B1508" t="s">
        <v>56</v>
      </c>
      <c r="C1508" s="10" t="s">
        <v>1233</v>
      </c>
      <c r="D1508" t="s">
        <v>58</v>
      </c>
      <c r="E1508" t="s">
        <v>3058</v>
      </c>
      <c r="F1508" t="s">
        <v>3538</v>
      </c>
      <c r="G1508">
        <v>50000</v>
      </c>
      <c r="H1508">
        <v>1978</v>
      </c>
      <c r="I1508" t="s">
        <v>3060</v>
      </c>
      <c r="J1508" t="s">
        <v>58</v>
      </c>
      <c r="K1508" t="s">
        <v>58</v>
      </c>
      <c r="L1508" t="s">
        <v>61</v>
      </c>
      <c r="M1508" t="s">
        <v>58</v>
      </c>
      <c r="Q1508" t="s">
        <v>58</v>
      </c>
      <c r="R1508" s="11" t="str">
        <f>HYPERLINK("\\imagefiles.bcgov\imagery\scanned_maps\moe_terrain_maps\Scanned_T_maps_all\K09\K09-1311","\\imagefiles.bcgov\imagery\scanned_maps\moe_terrain_maps\Scanned_T_maps_all\K09\K09-1311")</f>
        <v>\\imagefiles.bcgov\imagery\scanned_maps\moe_terrain_maps\Scanned_T_maps_all\K09\K09-1311</v>
      </c>
      <c r="S1508" t="s">
        <v>62</v>
      </c>
      <c r="T1508" s="11" t="str">
        <f>HYPERLINK("http://www.env.gov.bc.ca/esd/distdata/ecosystems/TEI_Scanned_Maps/K09/K09-1311","http://www.env.gov.bc.ca/esd/distdata/ecosystems/TEI_Scanned_Maps/K09/K09-1311")</f>
        <v>http://www.env.gov.bc.ca/esd/distdata/ecosystems/TEI_Scanned_Maps/K09/K09-1311</v>
      </c>
      <c r="U1508" t="s">
        <v>2487</v>
      </c>
      <c r="V1508" s="11" t="str">
        <f t="shared" si="78"/>
        <v>http://res.agr.ca/cansis/publications/surveys/bc/</v>
      </c>
      <c r="W1508" t="s">
        <v>2495</v>
      </c>
      <c r="X1508" s="11" t="str">
        <f t="shared" si="72"/>
        <v>http://www.em.gov.bc.ca/mining/geolsurv/terrain&amp;soils/frbcguid.htm</v>
      </c>
      <c r="Y1508" t="s">
        <v>2489</v>
      </c>
      <c r="Z1508" s="11" t="str">
        <f t="shared" si="79"/>
        <v>http://www.em.gov.bc.ca/mining/geolsurv/terrain&amp;soils/frbcguid.htm</v>
      </c>
      <c r="AA1508" t="s">
        <v>269</v>
      </c>
      <c r="AB1508" s="11" t="str">
        <f t="shared" si="74"/>
        <v>http://www.library.for.gov.bc.ca/#focus</v>
      </c>
      <c r="AC1508" t="s">
        <v>2500</v>
      </c>
      <c r="AD1508" s="11" t="str">
        <f t="shared" si="80"/>
        <v>http://www.crownpub.bc.ca/</v>
      </c>
      <c r="AE1508" t="s">
        <v>58</v>
      </c>
      <c r="AG1508" t="s">
        <v>63</v>
      </c>
      <c r="AH1508" s="11" t="str">
        <f t="shared" si="70"/>
        <v>mailto: soilterrain@victoria1.gov.bc.ca</v>
      </c>
    </row>
    <row r="1509" spans="1:34">
      <c r="A1509" t="s">
        <v>3539</v>
      </c>
      <c r="B1509" t="s">
        <v>56</v>
      </c>
      <c r="C1509" s="10" t="s">
        <v>161</v>
      </c>
      <c r="D1509" t="s">
        <v>58</v>
      </c>
      <c r="E1509" t="s">
        <v>3058</v>
      </c>
      <c r="F1509" t="s">
        <v>3540</v>
      </c>
      <c r="G1509">
        <v>50000</v>
      </c>
      <c r="H1509">
        <v>1978</v>
      </c>
      <c r="I1509" t="s">
        <v>3060</v>
      </c>
      <c r="J1509" t="s">
        <v>58</v>
      </c>
      <c r="K1509" t="s">
        <v>58</v>
      </c>
      <c r="L1509" t="s">
        <v>61</v>
      </c>
      <c r="M1509" t="s">
        <v>58</v>
      </c>
      <c r="Q1509" t="s">
        <v>58</v>
      </c>
      <c r="R1509" s="11" t="str">
        <f>HYPERLINK("\\imagefiles.bcgov\imagery\scanned_maps\moe_terrain_maps\Scanned_T_maps_all\K09\K09-1313","\\imagefiles.bcgov\imagery\scanned_maps\moe_terrain_maps\Scanned_T_maps_all\K09\K09-1313")</f>
        <v>\\imagefiles.bcgov\imagery\scanned_maps\moe_terrain_maps\Scanned_T_maps_all\K09\K09-1313</v>
      </c>
      <c r="S1509" t="s">
        <v>62</v>
      </c>
      <c r="T1509" s="11" t="str">
        <f>HYPERLINK("http://www.env.gov.bc.ca/esd/distdata/ecosystems/TEI_Scanned_Maps/K09/K09-1313","http://www.env.gov.bc.ca/esd/distdata/ecosystems/TEI_Scanned_Maps/K09/K09-1313")</f>
        <v>http://www.env.gov.bc.ca/esd/distdata/ecosystems/TEI_Scanned_Maps/K09/K09-1313</v>
      </c>
      <c r="U1509" t="s">
        <v>2487</v>
      </c>
      <c r="V1509" s="11" t="str">
        <f t="shared" si="78"/>
        <v>http://res.agr.ca/cansis/publications/surveys/bc/</v>
      </c>
      <c r="W1509" t="s">
        <v>2495</v>
      </c>
      <c r="X1509" s="11" t="str">
        <f t="shared" si="72"/>
        <v>http://www.em.gov.bc.ca/mining/geolsurv/terrain&amp;soils/frbcguid.htm</v>
      </c>
      <c r="Y1509" t="s">
        <v>2489</v>
      </c>
      <c r="Z1509" s="11" t="str">
        <f t="shared" si="79"/>
        <v>http://www.em.gov.bc.ca/mining/geolsurv/terrain&amp;soils/frbcguid.htm</v>
      </c>
      <c r="AA1509" t="s">
        <v>269</v>
      </c>
      <c r="AB1509" s="11" t="str">
        <f t="shared" si="74"/>
        <v>http://www.library.for.gov.bc.ca/#focus</v>
      </c>
      <c r="AC1509" t="s">
        <v>2500</v>
      </c>
      <c r="AD1509" s="11" t="str">
        <f t="shared" si="80"/>
        <v>http://www.crownpub.bc.ca/</v>
      </c>
      <c r="AE1509" t="s">
        <v>58</v>
      </c>
      <c r="AG1509" t="s">
        <v>63</v>
      </c>
      <c r="AH1509" s="11" t="str">
        <f t="shared" si="70"/>
        <v>mailto: soilterrain@victoria1.gov.bc.ca</v>
      </c>
    </row>
    <row r="1510" spans="1:34">
      <c r="A1510" t="s">
        <v>3541</v>
      </c>
      <c r="B1510" t="s">
        <v>56</v>
      </c>
      <c r="C1510" s="10" t="s">
        <v>653</v>
      </c>
      <c r="D1510" t="s">
        <v>58</v>
      </c>
      <c r="E1510" t="s">
        <v>3058</v>
      </c>
      <c r="F1510" t="s">
        <v>3542</v>
      </c>
      <c r="G1510">
        <v>50000</v>
      </c>
      <c r="H1510">
        <v>1988</v>
      </c>
      <c r="I1510" t="s">
        <v>3060</v>
      </c>
      <c r="J1510" t="s">
        <v>58</v>
      </c>
      <c r="K1510" t="s">
        <v>58</v>
      </c>
      <c r="L1510" t="s">
        <v>61</v>
      </c>
      <c r="M1510" t="s">
        <v>58</v>
      </c>
      <c r="Q1510" t="s">
        <v>58</v>
      </c>
      <c r="R1510" s="11" t="str">
        <f>HYPERLINK("\\imagefiles.bcgov\imagery\scanned_maps\moe_terrain_maps\Scanned_T_maps_all\K09\K09-1316","\\imagefiles.bcgov\imagery\scanned_maps\moe_terrain_maps\Scanned_T_maps_all\K09\K09-1316")</f>
        <v>\\imagefiles.bcgov\imagery\scanned_maps\moe_terrain_maps\Scanned_T_maps_all\K09\K09-1316</v>
      </c>
      <c r="S1510" t="s">
        <v>62</v>
      </c>
      <c r="T1510" s="11" t="str">
        <f>HYPERLINK("http://www.env.gov.bc.ca/esd/distdata/ecosystems/TEI_Scanned_Maps/K09/K09-1316","http://www.env.gov.bc.ca/esd/distdata/ecosystems/TEI_Scanned_Maps/K09/K09-1316")</f>
        <v>http://www.env.gov.bc.ca/esd/distdata/ecosystems/TEI_Scanned_Maps/K09/K09-1316</v>
      </c>
      <c r="U1510" t="s">
        <v>2487</v>
      </c>
      <c r="V1510" s="11" t="str">
        <f t="shared" si="78"/>
        <v>http://res.agr.ca/cansis/publications/surveys/bc/</v>
      </c>
      <c r="W1510" t="s">
        <v>2495</v>
      </c>
      <c r="X1510" s="11" t="str">
        <f t="shared" si="72"/>
        <v>http://www.em.gov.bc.ca/mining/geolsurv/terrain&amp;soils/frbcguid.htm</v>
      </c>
      <c r="Y1510" t="s">
        <v>2489</v>
      </c>
      <c r="Z1510" s="11" t="str">
        <f t="shared" si="79"/>
        <v>http://www.em.gov.bc.ca/mining/geolsurv/terrain&amp;soils/frbcguid.htm</v>
      </c>
      <c r="AA1510" t="s">
        <v>269</v>
      </c>
      <c r="AB1510" s="11" t="str">
        <f t="shared" si="74"/>
        <v>http://www.library.for.gov.bc.ca/#focus</v>
      </c>
      <c r="AC1510" t="s">
        <v>2500</v>
      </c>
      <c r="AD1510" s="11" t="str">
        <f t="shared" si="80"/>
        <v>http://www.crownpub.bc.ca/</v>
      </c>
      <c r="AE1510" t="s">
        <v>58</v>
      </c>
      <c r="AG1510" t="s">
        <v>63</v>
      </c>
      <c r="AH1510" s="11" t="str">
        <f t="shared" si="70"/>
        <v>mailto: soilterrain@victoria1.gov.bc.ca</v>
      </c>
    </row>
    <row r="1511" spans="1:34">
      <c r="A1511" t="s">
        <v>3543</v>
      </c>
      <c r="B1511" t="s">
        <v>56</v>
      </c>
      <c r="C1511" s="10" t="s">
        <v>1238</v>
      </c>
      <c r="D1511" t="s">
        <v>58</v>
      </c>
      <c r="E1511" t="s">
        <v>3058</v>
      </c>
      <c r="F1511" t="s">
        <v>3544</v>
      </c>
      <c r="G1511">
        <v>50000</v>
      </c>
      <c r="H1511">
        <v>1988</v>
      </c>
      <c r="I1511" t="s">
        <v>3060</v>
      </c>
      <c r="J1511" t="s">
        <v>58</v>
      </c>
      <c r="K1511" t="s">
        <v>58</v>
      </c>
      <c r="L1511" t="s">
        <v>61</v>
      </c>
      <c r="M1511" t="s">
        <v>58</v>
      </c>
      <c r="Q1511" t="s">
        <v>58</v>
      </c>
      <c r="R1511" s="11" t="str">
        <f>HYPERLINK("\\imagefiles.bcgov\imagery\scanned_maps\moe_terrain_maps\Scanned_T_maps_all\K09\K09-1319","\\imagefiles.bcgov\imagery\scanned_maps\moe_terrain_maps\Scanned_T_maps_all\K09\K09-1319")</f>
        <v>\\imagefiles.bcgov\imagery\scanned_maps\moe_terrain_maps\Scanned_T_maps_all\K09\K09-1319</v>
      </c>
      <c r="S1511" t="s">
        <v>62</v>
      </c>
      <c r="T1511" s="11" t="str">
        <f>HYPERLINK("http://www.env.gov.bc.ca/esd/distdata/ecosystems/TEI_Scanned_Maps/K09/K09-1319","http://www.env.gov.bc.ca/esd/distdata/ecosystems/TEI_Scanned_Maps/K09/K09-1319")</f>
        <v>http://www.env.gov.bc.ca/esd/distdata/ecosystems/TEI_Scanned_Maps/K09/K09-1319</v>
      </c>
      <c r="U1511" t="s">
        <v>2487</v>
      </c>
      <c r="V1511" s="11" t="str">
        <f t="shared" si="78"/>
        <v>http://res.agr.ca/cansis/publications/surveys/bc/</v>
      </c>
      <c r="W1511" t="s">
        <v>2495</v>
      </c>
      <c r="X1511" s="11" t="str">
        <f t="shared" si="72"/>
        <v>http://www.em.gov.bc.ca/mining/geolsurv/terrain&amp;soils/frbcguid.htm</v>
      </c>
      <c r="Y1511" t="s">
        <v>2489</v>
      </c>
      <c r="Z1511" s="11" t="str">
        <f t="shared" si="79"/>
        <v>http://www.em.gov.bc.ca/mining/geolsurv/terrain&amp;soils/frbcguid.htm</v>
      </c>
      <c r="AA1511" t="s">
        <v>269</v>
      </c>
      <c r="AB1511" s="11" t="str">
        <f t="shared" si="74"/>
        <v>http://www.library.for.gov.bc.ca/#focus</v>
      </c>
      <c r="AC1511" t="s">
        <v>2500</v>
      </c>
      <c r="AD1511" s="11" t="str">
        <f t="shared" si="80"/>
        <v>http://www.crownpub.bc.ca/</v>
      </c>
      <c r="AE1511" t="s">
        <v>58</v>
      </c>
      <c r="AG1511" t="s">
        <v>63</v>
      </c>
      <c r="AH1511" s="11" t="str">
        <f t="shared" si="70"/>
        <v>mailto: soilterrain@victoria1.gov.bc.ca</v>
      </c>
    </row>
    <row r="1512" spans="1:34">
      <c r="A1512" t="s">
        <v>3545</v>
      </c>
      <c r="B1512" t="s">
        <v>56</v>
      </c>
      <c r="C1512" s="10" t="s">
        <v>3546</v>
      </c>
      <c r="D1512" t="s">
        <v>58</v>
      </c>
      <c r="E1512" t="s">
        <v>3058</v>
      </c>
      <c r="F1512" t="s">
        <v>3547</v>
      </c>
      <c r="G1512">
        <v>50000</v>
      </c>
      <c r="H1512">
        <v>1988</v>
      </c>
      <c r="I1512" t="s">
        <v>3060</v>
      </c>
      <c r="J1512" t="s">
        <v>58</v>
      </c>
      <c r="K1512" t="s">
        <v>58</v>
      </c>
      <c r="L1512" t="s">
        <v>61</v>
      </c>
      <c r="M1512" t="s">
        <v>58</v>
      </c>
      <c r="Q1512" t="s">
        <v>58</v>
      </c>
      <c r="R1512" s="11" t="str">
        <f>HYPERLINK("\\imagefiles.bcgov\imagery\scanned_maps\moe_terrain_maps\Scanned_T_maps_all\K09\K09-1321","\\imagefiles.bcgov\imagery\scanned_maps\moe_terrain_maps\Scanned_T_maps_all\K09\K09-1321")</f>
        <v>\\imagefiles.bcgov\imagery\scanned_maps\moe_terrain_maps\Scanned_T_maps_all\K09\K09-1321</v>
      </c>
      <c r="S1512" t="s">
        <v>62</v>
      </c>
      <c r="T1512" s="11" t="str">
        <f>HYPERLINK("http://www.env.gov.bc.ca/esd/distdata/ecosystems/TEI_Scanned_Maps/K09/K09-1321","http://www.env.gov.bc.ca/esd/distdata/ecosystems/TEI_Scanned_Maps/K09/K09-1321")</f>
        <v>http://www.env.gov.bc.ca/esd/distdata/ecosystems/TEI_Scanned_Maps/K09/K09-1321</v>
      </c>
      <c r="U1512" t="s">
        <v>2487</v>
      </c>
      <c r="V1512" s="11" t="str">
        <f t="shared" si="78"/>
        <v>http://res.agr.ca/cansis/publications/surveys/bc/</v>
      </c>
      <c r="W1512" t="s">
        <v>2495</v>
      </c>
      <c r="X1512" s="11" t="str">
        <f t="shared" si="72"/>
        <v>http://www.em.gov.bc.ca/mining/geolsurv/terrain&amp;soils/frbcguid.htm</v>
      </c>
      <c r="Y1512" t="s">
        <v>2489</v>
      </c>
      <c r="Z1512" s="11" t="str">
        <f t="shared" si="79"/>
        <v>http://www.em.gov.bc.ca/mining/geolsurv/terrain&amp;soils/frbcguid.htm</v>
      </c>
      <c r="AA1512" t="s">
        <v>269</v>
      </c>
      <c r="AB1512" s="11" t="str">
        <f t="shared" si="74"/>
        <v>http://www.library.for.gov.bc.ca/#focus</v>
      </c>
      <c r="AC1512" t="s">
        <v>2500</v>
      </c>
      <c r="AD1512" s="11" t="str">
        <f t="shared" si="80"/>
        <v>http://www.crownpub.bc.ca/</v>
      </c>
      <c r="AE1512" t="s">
        <v>58</v>
      </c>
      <c r="AG1512" t="s">
        <v>63</v>
      </c>
      <c r="AH1512" s="11" t="str">
        <f t="shared" si="70"/>
        <v>mailto: soilterrain@victoria1.gov.bc.ca</v>
      </c>
    </row>
    <row r="1513" spans="1:34">
      <c r="A1513" t="s">
        <v>3548</v>
      </c>
      <c r="B1513" t="s">
        <v>56</v>
      </c>
      <c r="C1513" s="10" t="s">
        <v>3549</v>
      </c>
      <c r="D1513" t="s">
        <v>58</v>
      </c>
      <c r="E1513" t="s">
        <v>3058</v>
      </c>
      <c r="F1513" t="s">
        <v>3550</v>
      </c>
      <c r="G1513">
        <v>50000</v>
      </c>
      <c r="H1513">
        <v>1987</v>
      </c>
      <c r="I1513" t="s">
        <v>3060</v>
      </c>
      <c r="J1513" t="s">
        <v>58</v>
      </c>
      <c r="K1513" t="s">
        <v>58</v>
      </c>
      <c r="L1513" t="s">
        <v>61</v>
      </c>
      <c r="M1513" t="s">
        <v>58</v>
      </c>
      <c r="Q1513" t="s">
        <v>58</v>
      </c>
      <c r="R1513" s="11" t="str">
        <f>HYPERLINK("\\imagefiles.bcgov\imagery\scanned_maps\moe_terrain_maps\Scanned_T_maps_all\K09\K09-1323","\\imagefiles.bcgov\imagery\scanned_maps\moe_terrain_maps\Scanned_T_maps_all\K09\K09-1323")</f>
        <v>\\imagefiles.bcgov\imagery\scanned_maps\moe_terrain_maps\Scanned_T_maps_all\K09\K09-1323</v>
      </c>
      <c r="S1513" t="s">
        <v>62</v>
      </c>
      <c r="T1513" s="11" t="str">
        <f>HYPERLINK("http://www.env.gov.bc.ca/esd/distdata/ecosystems/TEI_Scanned_Maps/K09/K09-1323","http://www.env.gov.bc.ca/esd/distdata/ecosystems/TEI_Scanned_Maps/K09/K09-1323")</f>
        <v>http://www.env.gov.bc.ca/esd/distdata/ecosystems/TEI_Scanned_Maps/K09/K09-1323</v>
      </c>
      <c r="U1513" t="s">
        <v>2487</v>
      </c>
      <c r="V1513" s="11" t="str">
        <f t="shared" si="78"/>
        <v>http://res.agr.ca/cansis/publications/surveys/bc/</v>
      </c>
      <c r="W1513" t="s">
        <v>2495</v>
      </c>
      <c r="X1513" s="11" t="str">
        <f t="shared" si="72"/>
        <v>http://www.em.gov.bc.ca/mining/geolsurv/terrain&amp;soils/frbcguid.htm</v>
      </c>
      <c r="Y1513" t="s">
        <v>2489</v>
      </c>
      <c r="Z1513" s="11" t="str">
        <f t="shared" si="79"/>
        <v>http://www.em.gov.bc.ca/mining/geolsurv/terrain&amp;soils/frbcguid.htm</v>
      </c>
      <c r="AA1513" t="s">
        <v>269</v>
      </c>
      <c r="AB1513" s="11" t="str">
        <f t="shared" si="74"/>
        <v>http://www.library.for.gov.bc.ca/#focus</v>
      </c>
      <c r="AC1513" t="s">
        <v>2500</v>
      </c>
      <c r="AD1513" s="11" t="str">
        <f t="shared" si="80"/>
        <v>http://www.crownpub.bc.ca/</v>
      </c>
      <c r="AE1513" t="s">
        <v>58</v>
      </c>
      <c r="AG1513" t="s">
        <v>63</v>
      </c>
      <c r="AH1513" s="11" t="str">
        <f t="shared" si="70"/>
        <v>mailto: soilterrain@victoria1.gov.bc.ca</v>
      </c>
    </row>
    <row r="1514" spans="1:34">
      <c r="A1514" t="s">
        <v>3551</v>
      </c>
      <c r="B1514" t="s">
        <v>56</v>
      </c>
      <c r="C1514" s="10" t="s">
        <v>1241</v>
      </c>
      <c r="D1514" t="s">
        <v>58</v>
      </c>
      <c r="E1514" t="s">
        <v>3058</v>
      </c>
      <c r="F1514" t="s">
        <v>3552</v>
      </c>
      <c r="G1514">
        <v>50000</v>
      </c>
      <c r="H1514" t="s">
        <v>187</v>
      </c>
      <c r="I1514" t="s">
        <v>3060</v>
      </c>
      <c r="J1514" t="s">
        <v>58</v>
      </c>
      <c r="K1514" t="s">
        <v>58</v>
      </c>
      <c r="L1514" t="s">
        <v>61</v>
      </c>
      <c r="M1514" t="s">
        <v>58</v>
      </c>
      <c r="Q1514" t="s">
        <v>58</v>
      </c>
      <c r="R1514" s="11" t="str">
        <f>HYPERLINK("\\imagefiles.bcgov\imagery\scanned_maps\moe_terrain_maps\Scanned_T_maps_all\K09\K09-1325","\\imagefiles.bcgov\imagery\scanned_maps\moe_terrain_maps\Scanned_T_maps_all\K09\K09-1325")</f>
        <v>\\imagefiles.bcgov\imagery\scanned_maps\moe_terrain_maps\Scanned_T_maps_all\K09\K09-1325</v>
      </c>
      <c r="S1514" t="s">
        <v>62</v>
      </c>
      <c r="T1514" s="11" t="str">
        <f>HYPERLINK("http://www.env.gov.bc.ca/esd/distdata/ecosystems/TEI_Scanned_Maps/K09/K09-1325","http://www.env.gov.bc.ca/esd/distdata/ecosystems/TEI_Scanned_Maps/K09/K09-1325")</f>
        <v>http://www.env.gov.bc.ca/esd/distdata/ecosystems/TEI_Scanned_Maps/K09/K09-1325</v>
      </c>
      <c r="U1514" t="s">
        <v>2487</v>
      </c>
      <c r="V1514" s="11" t="str">
        <f t="shared" si="78"/>
        <v>http://res.agr.ca/cansis/publications/surveys/bc/</v>
      </c>
      <c r="W1514" t="s">
        <v>2495</v>
      </c>
      <c r="X1514" s="11" t="str">
        <f t="shared" si="72"/>
        <v>http://www.em.gov.bc.ca/mining/geolsurv/terrain&amp;soils/frbcguid.htm</v>
      </c>
      <c r="Y1514" t="s">
        <v>2489</v>
      </c>
      <c r="Z1514" s="11" t="str">
        <f t="shared" si="79"/>
        <v>http://www.em.gov.bc.ca/mining/geolsurv/terrain&amp;soils/frbcguid.htm</v>
      </c>
      <c r="AA1514" t="s">
        <v>269</v>
      </c>
      <c r="AB1514" s="11" t="str">
        <f t="shared" si="74"/>
        <v>http://www.library.for.gov.bc.ca/#focus</v>
      </c>
      <c r="AC1514" t="s">
        <v>2500</v>
      </c>
      <c r="AD1514" s="11" t="str">
        <f t="shared" si="80"/>
        <v>http://www.crownpub.bc.ca/</v>
      </c>
      <c r="AE1514" t="s">
        <v>58</v>
      </c>
      <c r="AG1514" t="s">
        <v>63</v>
      </c>
      <c r="AH1514" s="11" t="str">
        <f t="shared" si="70"/>
        <v>mailto: soilterrain@victoria1.gov.bc.ca</v>
      </c>
    </row>
    <row r="1515" spans="1:34">
      <c r="A1515" t="s">
        <v>3553</v>
      </c>
      <c r="B1515" t="s">
        <v>56</v>
      </c>
      <c r="C1515" s="10" t="s">
        <v>647</v>
      </c>
      <c r="D1515" t="s">
        <v>58</v>
      </c>
      <c r="E1515" t="s">
        <v>3058</v>
      </c>
      <c r="F1515" t="s">
        <v>3554</v>
      </c>
      <c r="G1515">
        <v>50000</v>
      </c>
      <c r="H1515">
        <v>1978</v>
      </c>
      <c r="I1515" t="s">
        <v>3060</v>
      </c>
      <c r="J1515" t="s">
        <v>58</v>
      </c>
      <c r="K1515" t="s">
        <v>58</v>
      </c>
      <c r="L1515" t="s">
        <v>61</v>
      </c>
      <c r="M1515" t="s">
        <v>58</v>
      </c>
      <c r="Q1515" t="s">
        <v>58</v>
      </c>
      <c r="R1515" s="11" t="str">
        <f>HYPERLINK("\\imagefiles.bcgov\imagery\scanned_maps\moe_terrain_maps\Scanned_T_maps_all\K09\K09-1328","\\imagefiles.bcgov\imagery\scanned_maps\moe_terrain_maps\Scanned_T_maps_all\K09\K09-1328")</f>
        <v>\\imagefiles.bcgov\imagery\scanned_maps\moe_terrain_maps\Scanned_T_maps_all\K09\K09-1328</v>
      </c>
      <c r="S1515" t="s">
        <v>62</v>
      </c>
      <c r="T1515" s="11" t="str">
        <f>HYPERLINK("http://www.env.gov.bc.ca/esd/distdata/ecosystems/TEI_Scanned_Maps/K09/K09-1328","http://www.env.gov.bc.ca/esd/distdata/ecosystems/TEI_Scanned_Maps/K09/K09-1328")</f>
        <v>http://www.env.gov.bc.ca/esd/distdata/ecosystems/TEI_Scanned_Maps/K09/K09-1328</v>
      </c>
      <c r="U1515" t="s">
        <v>2487</v>
      </c>
      <c r="V1515" s="11" t="str">
        <f t="shared" si="78"/>
        <v>http://res.agr.ca/cansis/publications/surveys/bc/</v>
      </c>
      <c r="W1515" t="s">
        <v>2495</v>
      </c>
      <c r="X1515" s="11" t="str">
        <f t="shared" si="72"/>
        <v>http://www.em.gov.bc.ca/mining/geolsurv/terrain&amp;soils/frbcguid.htm</v>
      </c>
      <c r="Y1515" t="s">
        <v>2489</v>
      </c>
      <c r="Z1515" s="11" t="str">
        <f t="shared" si="79"/>
        <v>http://www.em.gov.bc.ca/mining/geolsurv/terrain&amp;soils/frbcguid.htm</v>
      </c>
      <c r="AA1515" t="s">
        <v>269</v>
      </c>
      <c r="AB1515" s="11" t="str">
        <f t="shared" si="74"/>
        <v>http://www.library.for.gov.bc.ca/#focus</v>
      </c>
      <c r="AC1515" t="s">
        <v>2500</v>
      </c>
      <c r="AD1515" s="11" t="str">
        <f t="shared" si="80"/>
        <v>http://www.crownpub.bc.ca/</v>
      </c>
      <c r="AE1515" t="s">
        <v>58</v>
      </c>
      <c r="AG1515" t="s">
        <v>63</v>
      </c>
      <c r="AH1515" s="11" t="str">
        <f t="shared" si="70"/>
        <v>mailto: soilterrain@victoria1.gov.bc.ca</v>
      </c>
    </row>
    <row r="1516" spans="1:34">
      <c r="A1516" t="s">
        <v>3555</v>
      </c>
      <c r="B1516" t="s">
        <v>56</v>
      </c>
      <c r="C1516" s="10" t="s">
        <v>1252</v>
      </c>
      <c r="D1516" t="s">
        <v>58</v>
      </c>
      <c r="E1516" t="s">
        <v>3058</v>
      </c>
      <c r="F1516" t="s">
        <v>3556</v>
      </c>
      <c r="G1516">
        <v>50000</v>
      </c>
      <c r="H1516" t="s">
        <v>3065</v>
      </c>
      <c r="I1516" t="s">
        <v>3060</v>
      </c>
      <c r="J1516" t="s">
        <v>58</v>
      </c>
      <c r="K1516" t="s">
        <v>58</v>
      </c>
      <c r="L1516" t="s">
        <v>61</v>
      </c>
      <c r="M1516" t="s">
        <v>58</v>
      </c>
      <c r="Q1516" t="s">
        <v>58</v>
      </c>
      <c r="R1516" s="11" t="str">
        <f>HYPERLINK("\\imagefiles.bcgov\imagery\scanned_maps\moe_terrain_maps\Scanned_T_maps_all\K10\K10-1484","\\imagefiles.bcgov\imagery\scanned_maps\moe_terrain_maps\Scanned_T_maps_all\K10\K10-1484")</f>
        <v>\\imagefiles.bcgov\imagery\scanned_maps\moe_terrain_maps\Scanned_T_maps_all\K10\K10-1484</v>
      </c>
      <c r="S1516" t="s">
        <v>62</v>
      </c>
      <c r="T1516" s="11" t="str">
        <f>HYPERLINK("http://www.env.gov.bc.ca/esd/distdata/ecosystems/TEI_Scanned_Maps/K10/K10-1484","http://www.env.gov.bc.ca/esd/distdata/ecosystems/TEI_Scanned_Maps/K10/K10-1484")</f>
        <v>http://www.env.gov.bc.ca/esd/distdata/ecosystems/TEI_Scanned_Maps/K10/K10-1484</v>
      </c>
      <c r="U1516" t="s">
        <v>269</v>
      </c>
      <c r="V1516" s="11" t="str">
        <f>HYPERLINK("http://www.library.for.gov.bc.ca/#focus","http://www.library.for.gov.bc.ca/#focus")</f>
        <v>http://www.library.for.gov.bc.ca/#focus</v>
      </c>
      <c r="W1516" t="s">
        <v>2500</v>
      </c>
      <c r="X1516" s="11" t="str">
        <f>HYPERLINK("http://www.crownpub.bc.ca/","http://www.crownpub.bc.ca/")</f>
        <v>http://www.crownpub.bc.ca/</v>
      </c>
      <c r="Y1516" t="s">
        <v>58</v>
      </c>
      <c r="Z1516" t="s">
        <v>58</v>
      </c>
      <c r="AA1516" t="s">
        <v>58</v>
      </c>
      <c r="AC1516" t="s">
        <v>58</v>
      </c>
      <c r="AE1516" t="s">
        <v>58</v>
      </c>
      <c r="AG1516" t="s">
        <v>63</v>
      </c>
      <c r="AH1516" s="11" t="str">
        <f t="shared" si="70"/>
        <v>mailto: soilterrain@victoria1.gov.bc.ca</v>
      </c>
    </row>
    <row r="1517" spans="1:34">
      <c r="A1517" t="s">
        <v>3557</v>
      </c>
      <c r="B1517" t="s">
        <v>56</v>
      </c>
      <c r="C1517" s="10" t="s">
        <v>635</v>
      </c>
      <c r="D1517" t="s">
        <v>58</v>
      </c>
      <c r="E1517" t="s">
        <v>58</v>
      </c>
      <c r="F1517" t="s">
        <v>3558</v>
      </c>
      <c r="G1517">
        <v>50000</v>
      </c>
      <c r="H1517">
        <v>1988</v>
      </c>
      <c r="I1517" t="s">
        <v>58</v>
      </c>
      <c r="J1517" t="s">
        <v>58</v>
      </c>
      <c r="K1517" t="s">
        <v>58</v>
      </c>
      <c r="L1517" t="s">
        <v>61</v>
      </c>
      <c r="M1517" t="s">
        <v>58</v>
      </c>
      <c r="Q1517" t="s">
        <v>58</v>
      </c>
      <c r="R1517" s="11" t="str">
        <f>HYPERLINK("\\imagefiles.bcgov\imagery\scanned_maps\moe_terrain_maps\Scanned_T_maps_all\K10\K10-1487","\\imagefiles.bcgov\imagery\scanned_maps\moe_terrain_maps\Scanned_T_maps_all\K10\K10-1487")</f>
        <v>\\imagefiles.bcgov\imagery\scanned_maps\moe_terrain_maps\Scanned_T_maps_all\K10\K10-1487</v>
      </c>
      <c r="S1517" t="s">
        <v>62</v>
      </c>
      <c r="T1517" s="11" t="str">
        <f>HYPERLINK("http://www.env.gov.bc.ca/esd/distdata/ecosystems/TEI_Scanned_Maps/K10/K10-1487","http://www.env.gov.bc.ca/esd/distdata/ecosystems/TEI_Scanned_Maps/K10/K10-1487")</f>
        <v>http://www.env.gov.bc.ca/esd/distdata/ecosystems/TEI_Scanned_Maps/K10/K10-1487</v>
      </c>
      <c r="U1517" t="s">
        <v>58</v>
      </c>
      <c r="V1517" t="s">
        <v>58</v>
      </c>
      <c r="W1517" t="s">
        <v>58</v>
      </c>
      <c r="X1517" t="s">
        <v>58</v>
      </c>
      <c r="Y1517" t="s">
        <v>58</v>
      </c>
      <c r="Z1517" t="s">
        <v>58</v>
      </c>
      <c r="AA1517" t="s">
        <v>58</v>
      </c>
      <c r="AC1517" t="s">
        <v>58</v>
      </c>
      <c r="AE1517" t="s">
        <v>58</v>
      </c>
      <c r="AG1517" t="s">
        <v>63</v>
      </c>
      <c r="AH1517" s="11" t="str">
        <f t="shared" si="70"/>
        <v>mailto: soilterrain@victoria1.gov.bc.ca</v>
      </c>
    </row>
    <row r="1518" spans="1:34">
      <c r="A1518" t="s">
        <v>3559</v>
      </c>
      <c r="B1518" t="s">
        <v>56</v>
      </c>
      <c r="C1518" s="10" t="s">
        <v>195</v>
      </c>
      <c r="D1518" t="s">
        <v>58</v>
      </c>
      <c r="E1518" t="s">
        <v>58</v>
      </c>
      <c r="F1518" t="s">
        <v>3560</v>
      </c>
      <c r="G1518">
        <v>50000</v>
      </c>
      <c r="H1518">
        <v>1988</v>
      </c>
      <c r="I1518" t="s">
        <v>58</v>
      </c>
      <c r="J1518" t="s">
        <v>58</v>
      </c>
      <c r="K1518" t="s">
        <v>58</v>
      </c>
      <c r="L1518" t="s">
        <v>61</v>
      </c>
      <c r="M1518" t="s">
        <v>58</v>
      </c>
      <c r="Q1518" t="s">
        <v>58</v>
      </c>
      <c r="R1518" s="11" t="str">
        <f>HYPERLINK("\\imagefiles.bcgov\imagery\scanned_maps\moe_terrain_maps\Scanned_T_maps_all\K10\K10-1490","\\imagefiles.bcgov\imagery\scanned_maps\moe_terrain_maps\Scanned_T_maps_all\K10\K10-1490")</f>
        <v>\\imagefiles.bcgov\imagery\scanned_maps\moe_terrain_maps\Scanned_T_maps_all\K10\K10-1490</v>
      </c>
      <c r="S1518" t="s">
        <v>62</v>
      </c>
      <c r="T1518" s="11" t="str">
        <f>HYPERLINK("http://www.env.gov.bc.ca/esd/distdata/ecosystems/TEI_Scanned_Maps/K10/K10-1490","http://www.env.gov.bc.ca/esd/distdata/ecosystems/TEI_Scanned_Maps/K10/K10-1490")</f>
        <v>http://www.env.gov.bc.ca/esd/distdata/ecosystems/TEI_Scanned_Maps/K10/K10-1490</v>
      </c>
      <c r="U1518" t="s">
        <v>58</v>
      </c>
      <c r="V1518" t="s">
        <v>58</v>
      </c>
      <c r="W1518" t="s">
        <v>58</v>
      </c>
      <c r="X1518" t="s">
        <v>58</v>
      </c>
      <c r="Y1518" t="s">
        <v>58</v>
      </c>
      <c r="Z1518" t="s">
        <v>58</v>
      </c>
      <c r="AA1518" t="s">
        <v>58</v>
      </c>
      <c r="AC1518" t="s">
        <v>58</v>
      </c>
      <c r="AE1518" t="s">
        <v>58</v>
      </c>
      <c r="AG1518" t="s">
        <v>63</v>
      </c>
      <c r="AH1518" s="11" t="str">
        <f t="shared" si="70"/>
        <v>mailto: soilterrain@victoria1.gov.bc.ca</v>
      </c>
    </row>
    <row r="1519" spans="1:34">
      <c r="A1519" t="s">
        <v>3561</v>
      </c>
      <c r="B1519" t="s">
        <v>56</v>
      </c>
      <c r="C1519" s="10" t="s">
        <v>173</v>
      </c>
      <c r="D1519" t="s">
        <v>58</v>
      </c>
      <c r="E1519" t="s">
        <v>58</v>
      </c>
      <c r="F1519" t="s">
        <v>3562</v>
      </c>
      <c r="G1519">
        <v>50000</v>
      </c>
      <c r="H1519">
        <v>1987</v>
      </c>
      <c r="I1519" t="s">
        <v>58</v>
      </c>
      <c r="J1519" t="s">
        <v>58</v>
      </c>
      <c r="K1519" t="s">
        <v>58</v>
      </c>
      <c r="L1519" t="s">
        <v>61</v>
      </c>
      <c r="M1519" t="s">
        <v>58</v>
      </c>
      <c r="Q1519" t="s">
        <v>58</v>
      </c>
      <c r="R1519" s="11" t="str">
        <f>HYPERLINK("\\imagefiles.bcgov\imagery\scanned_maps\moe_terrain_maps\Scanned_T_maps_all\K10\K10-1492","\\imagefiles.bcgov\imagery\scanned_maps\moe_terrain_maps\Scanned_T_maps_all\K10\K10-1492")</f>
        <v>\\imagefiles.bcgov\imagery\scanned_maps\moe_terrain_maps\Scanned_T_maps_all\K10\K10-1492</v>
      </c>
      <c r="S1519" t="s">
        <v>62</v>
      </c>
      <c r="T1519" s="11" t="str">
        <f>HYPERLINK("http://www.env.gov.bc.ca/esd/distdata/ecosystems/TEI_Scanned_Maps/K10/K10-1492","http://www.env.gov.bc.ca/esd/distdata/ecosystems/TEI_Scanned_Maps/K10/K10-1492")</f>
        <v>http://www.env.gov.bc.ca/esd/distdata/ecosystems/TEI_Scanned_Maps/K10/K10-1492</v>
      </c>
      <c r="U1519" t="s">
        <v>58</v>
      </c>
      <c r="V1519" t="s">
        <v>58</v>
      </c>
      <c r="W1519" t="s">
        <v>58</v>
      </c>
      <c r="X1519" t="s">
        <v>58</v>
      </c>
      <c r="Y1519" t="s">
        <v>58</v>
      </c>
      <c r="Z1519" t="s">
        <v>58</v>
      </c>
      <c r="AA1519" t="s">
        <v>58</v>
      </c>
      <c r="AC1519" t="s">
        <v>58</v>
      </c>
      <c r="AE1519" t="s">
        <v>58</v>
      </c>
      <c r="AG1519" t="s">
        <v>63</v>
      </c>
      <c r="AH1519" s="11" t="str">
        <f t="shared" si="70"/>
        <v>mailto: soilterrain@victoria1.gov.bc.ca</v>
      </c>
    </row>
    <row r="1520" spans="1:34">
      <c r="A1520" t="s">
        <v>3563</v>
      </c>
      <c r="B1520" t="s">
        <v>56</v>
      </c>
      <c r="C1520" s="10" t="s">
        <v>176</v>
      </c>
      <c r="D1520" t="s">
        <v>58</v>
      </c>
      <c r="E1520" t="s">
        <v>58</v>
      </c>
      <c r="F1520" t="s">
        <v>3564</v>
      </c>
      <c r="G1520">
        <v>50000</v>
      </c>
      <c r="H1520" t="s">
        <v>187</v>
      </c>
      <c r="I1520" t="s">
        <v>58</v>
      </c>
      <c r="J1520" t="s">
        <v>58</v>
      </c>
      <c r="K1520" t="s">
        <v>58</v>
      </c>
      <c r="L1520" t="s">
        <v>61</v>
      </c>
      <c r="M1520" t="s">
        <v>58</v>
      </c>
      <c r="Q1520" t="s">
        <v>58</v>
      </c>
      <c r="R1520" s="11" t="str">
        <f>HYPERLINK("\\imagefiles.bcgov\imagery\scanned_maps\moe_terrain_maps\Scanned_T_maps_all\K10\K10-1494","\\imagefiles.bcgov\imagery\scanned_maps\moe_terrain_maps\Scanned_T_maps_all\K10\K10-1494")</f>
        <v>\\imagefiles.bcgov\imagery\scanned_maps\moe_terrain_maps\Scanned_T_maps_all\K10\K10-1494</v>
      </c>
      <c r="S1520" t="s">
        <v>62</v>
      </c>
      <c r="T1520" s="11" t="str">
        <f>HYPERLINK("http://www.env.gov.bc.ca/esd/distdata/ecosystems/TEI_Scanned_Maps/K10/K10-1494","http://www.env.gov.bc.ca/esd/distdata/ecosystems/TEI_Scanned_Maps/K10/K10-1494")</f>
        <v>http://www.env.gov.bc.ca/esd/distdata/ecosystems/TEI_Scanned_Maps/K10/K10-1494</v>
      </c>
      <c r="U1520" t="s">
        <v>58</v>
      </c>
      <c r="V1520" t="s">
        <v>58</v>
      </c>
      <c r="W1520" t="s">
        <v>58</v>
      </c>
      <c r="X1520" t="s">
        <v>58</v>
      </c>
      <c r="Y1520" t="s">
        <v>58</v>
      </c>
      <c r="Z1520" t="s">
        <v>58</v>
      </c>
      <c r="AA1520" t="s">
        <v>58</v>
      </c>
      <c r="AC1520" t="s">
        <v>58</v>
      </c>
      <c r="AE1520" t="s">
        <v>58</v>
      </c>
      <c r="AG1520" t="s">
        <v>63</v>
      </c>
      <c r="AH1520" s="11" t="str">
        <f t="shared" si="70"/>
        <v>mailto: soilterrain@victoria1.gov.bc.ca</v>
      </c>
    </row>
    <row r="1521" spans="1:34">
      <c r="A1521" t="s">
        <v>3565</v>
      </c>
      <c r="B1521" t="s">
        <v>56</v>
      </c>
      <c r="C1521" s="10" t="s">
        <v>182</v>
      </c>
      <c r="D1521" t="s">
        <v>58</v>
      </c>
      <c r="E1521" t="s">
        <v>58</v>
      </c>
      <c r="F1521" t="s">
        <v>3566</v>
      </c>
      <c r="G1521">
        <v>50000</v>
      </c>
      <c r="H1521">
        <v>1986</v>
      </c>
      <c r="I1521" t="s">
        <v>58</v>
      </c>
      <c r="J1521" t="s">
        <v>58</v>
      </c>
      <c r="K1521" t="s">
        <v>58</v>
      </c>
      <c r="L1521" t="s">
        <v>61</v>
      </c>
      <c r="M1521" t="s">
        <v>58</v>
      </c>
      <c r="Q1521" t="s">
        <v>58</v>
      </c>
      <c r="R1521" s="11" t="str">
        <f>HYPERLINK("\\imagefiles.bcgov\imagery\scanned_maps\moe_terrain_maps\Scanned_T_maps_all\K10\K10-1496","\\imagefiles.bcgov\imagery\scanned_maps\moe_terrain_maps\Scanned_T_maps_all\K10\K10-1496")</f>
        <v>\\imagefiles.bcgov\imagery\scanned_maps\moe_terrain_maps\Scanned_T_maps_all\K10\K10-1496</v>
      </c>
      <c r="S1521" t="s">
        <v>62</v>
      </c>
      <c r="T1521" s="11" t="str">
        <f>HYPERLINK("http://www.env.gov.bc.ca/esd/distdata/ecosystems/TEI_Scanned_Maps/K10/K10-1496","http://www.env.gov.bc.ca/esd/distdata/ecosystems/TEI_Scanned_Maps/K10/K10-1496")</f>
        <v>http://www.env.gov.bc.ca/esd/distdata/ecosystems/TEI_Scanned_Maps/K10/K10-1496</v>
      </c>
      <c r="U1521" t="s">
        <v>58</v>
      </c>
      <c r="V1521" t="s">
        <v>58</v>
      </c>
      <c r="W1521" t="s">
        <v>58</v>
      </c>
      <c r="X1521" t="s">
        <v>58</v>
      </c>
      <c r="Y1521" t="s">
        <v>58</v>
      </c>
      <c r="Z1521" t="s">
        <v>58</v>
      </c>
      <c r="AA1521" t="s">
        <v>58</v>
      </c>
      <c r="AC1521" t="s">
        <v>58</v>
      </c>
      <c r="AE1521" t="s">
        <v>58</v>
      </c>
      <c r="AG1521" t="s">
        <v>63</v>
      </c>
      <c r="AH1521" s="11" t="str">
        <f t="shared" si="70"/>
        <v>mailto: soilterrain@victoria1.gov.bc.ca</v>
      </c>
    </row>
    <row r="1522" spans="1:34">
      <c r="A1522" t="s">
        <v>3567</v>
      </c>
      <c r="B1522" t="s">
        <v>56</v>
      </c>
      <c r="C1522" s="10" t="s">
        <v>3568</v>
      </c>
      <c r="D1522" t="s">
        <v>58</v>
      </c>
      <c r="E1522" t="s">
        <v>58</v>
      </c>
      <c r="F1522" t="s">
        <v>3569</v>
      </c>
      <c r="G1522">
        <v>50000</v>
      </c>
      <c r="H1522">
        <v>1985</v>
      </c>
      <c r="I1522" t="s">
        <v>58</v>
      </c>
      <c r="J1522" t="s">
        <v>58</v>
      </c>
      <c r="K1522" t="s">
        <v>58</v>
      </c>
      <c r="L1522" t="s">
        <v>61</v>
      </c>
      <c r="M1522" t="s">
        <v>58</v>
      </c>
      <c r="Q1522" t="s">
        <v>58</v>
      </c>
      <c r="R1522" s="11" t="str">
        <f>HYPERLINK("\\imagefiles.bcgov\imagery\scanned_maps\moe_terrain_maps\Scanned_T_maps_all\K10\K10-1497","\\imagefiles.bcgov\imagery\scanned_maps\moe_terrain_maps\Scanned_T_maps_all\K10\K10-1497")</f>
        <v>\\imagefiles.bcgov\imagery\scanned_maps\moe_terrain_maps\Scanned_T_maps_all\K10\K10-1497</v>
      </c>
      <c r="S1522" t="s">
        <v>62</v>
      </c>
      <c r="T1522" s="11" t="str">
        <f>HYPERLINK("http://www.env.gov.bc.ca/esd/distdata/ecosystems/TEI_Scanned_Maps/K10/K10-1497","http://www.env.gov.bc.ca/esd/distdata/ecosystems/TEI_Scanned_Maps/K10/K10-1497")</f>
        <v>http://www.env.gov.bc.ca/esd/distdata/ecosystems/TEI_Scanned_Maps/K10/K10-1497</v>
      </c>
      <c r="U1522" t="s">
        <v>58</v>
      </c>
      <c r="V1522" t="s">
        <v>58</v>
      </c>
      <c r="W1522" t="s">
        <v>58</v>
      </c>
      <c r="X1522" t="s">
        <v>58</v>
      </c>
      <c r="Y1522" t="s">
        <v>58</v>
      </c>
      <c r="Z1522" t="s">
        <v>58</v>
      </c>
      <c r="AA1522" t="s">
        <v>58</v>
      </c>
      <c r="AC1522" t="s">
        <v>58</v>
      </c>
      <c r="AE1522" t="s">
        <v>58</v>
      </c>
      <c r="AG1522" t="s">
        <v>63</v>
      </c>
      <c r="AH1522" s="11" t="str">
        <f t="shared" si="70"/>
        <v>mailto: soilterrain@victoria1.gov.bc.ca</v>
      </c>
    </row>
    <row r="1523" spans="1:34">
      <c r="A1523" t="s">
        <v>3570</v>
      </c>
      <c r="B1523" t="s">
        <v>56</v>
      </c>
      <c r="C1523" s="10" t="s">
        <v>1287</v>
      </c>
      <c r="D1523" t="s">
        <v>58</v>
      </c>
      <c r="E1523" t="s">
        <v>3080</v>
      </c>
      <c r="F1523" t="s">
        <v>3571</v>
      </c>
      <c r="G1523">
        <v>50000</v>
      </c>
      <c r="H1523">
        <v>1985</v>
      </c>
      <c r="I1523" t="s">
        <v>3082</v>
      </c>
      <c r="J1523" t="s">
        <v>58</v>
      </c>
      <c r="K1523" t="s">
        <v>61</v>
      </c>
      <c r="L1523" t="s">
        <v>61</v>
      </c>
      <c r="M1523" t="s">
        <v>58</v>
      </c>
      <c r="Q1523" t="s">
        <v>58</v>
      </c>
      <c r="R1523" s="11" t="str">
        <f>HYPERLINK("\\imagefiles.bcgov\imagery\scanned_maps\moe_terrain_maps\Scanned_T_maps_all\K10\K10-1747","\\imagefiles.bcgov\imagery\scanned_maps\moe_terrain_maps\Scanned_T_maps_all\K10\K10-1747")</f>
        <v>\\imagefiles.bcgov\imagery\scanned_maps\moe_terrain_maps\Scanned_T_maps_all\K10\K10-1747</v>
      </c>
      <c r="S1523" t="s">
        <v>62</v>
      </c>
      <c r="T1523" s="11" t="str">
        <f>HYPERLINK("http://www.env.gov.bc.ca/esd/distdata/ecosystems/TEI_Scanned_Maps/K10/K10-1747","http://www.env.gov.bc.ca/esd/distdata/ecosystems/TEI_Scanned_Maps/K10/K10-1747")</f>
        <v>http://www.env.gov.bc.ca/esd/distdata/ecosystems/TEI_Scanned_Maps/K10/K10-1747</v>
      </c>
      <c r="U1523" t="s">
        <v>2495</v>
      </c>
      <c r="V1523" s="11" t="str">
        <f t="shared" ref="V1523:V1538" si="81">HYPERLINK("http://www.em.gov.bc.ca/mining/geolsurv/terrain&amp;soils/frbcguid.htm","http://www.em.gov.bc.ca/mining/geolsurv/terrain&amp;soils/frbcguid.htm")</f>
        <v>http://www.em.gov.bc.ca/mining/geolsurv/terrain&amp;soils/frbcguid.htm</v>
      </c>
      <c r="W1523" t="s">
        <v>2489</v>
      </c>
      <c r="X1523" s="11" t="str">
        <f t="shared" ref="X1523:X1554" si="82">HYPERLINK("http://www.em.gov.bc.ca/mining/geolsurv/terrain&amp;soils/frbcguid.htm","http://www.em.gov.bc.ca/mining/geolsurv/terrain&amp;soils/frbcguid.htm")</f>
        <v>http://www.em.gov.bc.ca/mining/geolsurv/terrain&amp;soils/frbcguid.htm</v>
      </c>
      <c r="Y1523" t="s">
        <v>269</v>
      </c>
      <c r="Z1523" s="11" t="str">
        <f t="shared" ref="Z1523:Z1538" si="83">HYPERLINK("http://www.library.for.gov.bc.ca/#focus","http://www.library.for.gov.bc.ca/#focus")</f>
        <v>http://www.library.for.gov.bc.ca/#focus</v>
      </c>
      <c r="AA1523" t="s">
        <v>2500</v>
      </c>
      <c r="AB1523" s="11" t="str">
        <f t="shared" ref="AB1523:AB1538" si="84">HYPERLINK("http://www.crownpub.bc.ca/","http://www.crownpub.bc.ca/")</f>
        <v>http://www.crownpub.bc.ca/</v>
      </c>
      <c r="AC1523" t="s">
        <v>58</v>
      </c>
      <c r="AD1523" s="11" t="str">
        <f t="shared" ref="AD1523:AD1538" si="85">HYPERLINK("http://www.env.gov.bc.ca/soils/project/report.html","http://www.env.gov.bc.ca/soils/project/report.html")</f>
        <v>http://www.env.gov.bc.ca/soils/project/report.html</v>
      </c>
      <c r="AE1523" t="s">
        <v>58</v>
      </c>
      <c r="AG1523" t="s">
        <v>63</v>
      </c>
      <c r="AH1523" s="11" t="str">
        <f t="shared" si="70"/>
        <v>mailto: soilterrain@victoria1.gov.bc.ca</v>
      </c>
    </row>
    <row r="1524" spans="1:34">
      <c r="A1524" t="s">
        <v>3572</v>
      </c>
      <c r="B1524" t="s">
        <v>56</v>
      </c>
      <c r="C1524" s="10" t="s">
        <v>1289</v>
      </c>
      <c r="D1524" t="s">
        <v>58</v>
      </c>
      <c r="E1524" t="s">
        <v>3080</v>
      </c>
      <c r="F1524" t="s">
        <v>3573</v>
      </c>
      <c r="G1524">
        <v>50000</v>
      </c>
      <c r="H1524">
        <v>1988</v>
      </c>
      <c r="I1524" t="s">
        <v>3082</v>
      </c>
      <c r="J1524" t="s">
        <v>58</v>
      </c>
      <c r="K1524" t="s">
        <v>61</v>
      </c>
      <c r="L1524" t="s">
        <v>61</v>
      </c>
      <c r="M1524" t="s">
        <v>58</v>
      </c>
      <c r="Q1524" t="s">
        <v>58</v>
      </c>
      <c r="R1524" s="11" t="str">
        <f>HYPERLINK("\\imagefiles.bcgov\imagery\scanned_maps\moe_terrain_maps\Scanned_T_maps_all\K10\K10-1750","\\imagefiles.bcgov\imagery\scanned_maps\moe_terrain_maps\Scanned_T_maps_all\K10\K10-1750")</f>
        <v>\\imagefiles.bcgov\imagery\scanned_maps\moe_terrain_maps\Scanned_T_maps_all\K10\K10-1750</v>
      </c>
      <c r="S1524" t="s">
        <v>62</v>
      </c>
      <c r="T1524" s="11" t="str">
        <f>HYPERLINK("http://www.env.gov.bc.ca/esd/distdata/ecosystems/TEI_Scanned_Maps/K10/K10-1750","http://www.env.gov.bc.ca/esd/distdata/ecosystems/TEI_Scanned_Maps/K10/K10-1750")</f>
        <v>http://www.env.gov.bc.ca/esd/distdata/ecosystems/TEI_Scanned_Maps/K10/K10-1750</v>
      </c>
      <c r="U1524" t="s">
        <v>2495</v>
      </c>
      <c r="V1524" s="11" t="str">
        <f t="shared" si="81"/>
        <v>http://www.em.gov.bc.ca/mining/geolsurv/terrain&amp;soils/frbcguid.htm</v>
      </c>
      <c r="W1524" t="s">
        <v>2489</v>
      </c>
      <c r="X1524" s="11" t="str">
        <f t="shared" si="82"/>
        <v>http://www.em.gov.bc.ca/mining/geolsurv/terrain&amp;soils/frbcguid.htm</v>
      </c>
      <c r="Y1524" t="s">
        <v>269</v>
      </c>
      <c r="Z1524" s="11" t="str">
        <f t="shared" si="83"/>
        <v>http://www.library.for.gov.bc.ca/#focus</v>
      </c>
      <c r="AA1524" t="s">
        <v>2500</v>
      </c>
      <c r="AB1524" s="11" t="str">
        <f t="shared" si="84"/>
        <v>http://www.crownpub.bc.ca/</v>
      </c>
      <c r="AC1524" t="s">
        <v>58</v>
      </c>
      <c r="AD1524" s="11" t="str">
        <f t="shared" si="85"/>
        <v>http://www.env.gov.bc.ca/soils/project/report.html</v>
      </c>
      <c r="AE1524" t="s">
        <v>58</v>
      </c>
      <c r="AG1524" t="s">
        <v>63</v>
      </c>
      <c r="AH1524" s="11" t="str">
        <f t="shared" si="70"/>
        <v>mailto: soilterrain@victoria1.gov.bc.ca</v>
      </c>
    </row>
    <row r="1525" spans="1:34">
      <c r="A1525" t="s">
        <v>3574</v>
      </c>
      <c r="B1525" t="s">
        <v>56</v>
      </c>
      <c r="C1525" s="10" t="s">
        <v>1291</v>
      </c>
      <c r="D1525" t="s">
        <v>58</v>
      </c>
      <c r="E1525" t="s">
        <v>3080</v>
      </c>
      <c r="F1525" t="s">
        <v>3575</v>
      </c>
      <c r="G1525">
        <v>50000</v>
      </c>
      <c r="H1525">
        <v>1988</v>
      </c>
      <c r="I1525" t="s">
        <v>3082</v>
      </c>
      <c r="J1525" t="s">
        <v>58</v>
      </c>
      <c r="K1525" t="s">
        <v>61</v>
      </c>
      <c r="L1525" t="s">
        <v>61</v>
      </c>
      <c r="M1525" t="s">
        <v>58</v>
      </c>
      <c r="Q1525" t="s">
        <v>58</v>
      </c>
      <c r="R1525" s="11" t="str">
        <f>HYPERLINK("\\imagefiles.bcgov\imagery\scanned_maps\moe_terrain_maps\Scanned_T_maps_all\K10\K10-1752","\\imagefiles.bcgov\imagery\scanned_maps\moe_terrain_maps\Scanned_T_maps_all\K10\K10-1752")</f>
        <v>\\imagefiles.bcgov\imagery\scanned_maps\moe_terrain_maps\Scanned_T_maps_all\K10\K10-1752</v>
      </c>
      <c r="S1525" t="s">
        <v>62</v>
      </c>
      <c r="T1525" s="11" t="str">
        <f>HYPERLINK("http://www.env.gov.bc.ca/esd/distdata/ecosystems/TEI_Scanned_Maps/K10/K10-1752","http://www.env.gov.bc.ca/esd/distdata/ecosystems/TEI_Scanned_Maps/K10/K10-1752")</f>
        <v>http://www.env.gov.bc.ca/esd/distdata/ecosystems/TEI_Scanned_Maps/K10/K10-1752</v>
      </c>
      <c r="U1525" t="s">
        <v>2495</v>
      </c>
      <c r="V1525" s="11" t="str">
        <f t="shared" si="81"/>
        <v>http://www.em.gov.bc.ca/mining/geolsurv/terrain&amp;soils/frbcguid.htm</v>
      </c>
      <c r="W1525" t="s">
        <v>2489</v>
      </c>
      <c r="X1525" s="11" t="str">
        <f t="shared" si="82"/>
        <v>http://www.em.gov.bc.ca/mining/geolsurv/terrain&amp;soils/frbcguid.htm</v>
      </c>
      <c r="Y1525" t="s">
        <v>269</v>
      </c>
      <c r="Z1525" s="11" t="str">
        <f t="shared" si="83"/>
        <v>http://www.library.for.gov.bc.ca/#focus</v>
      </c>
      <c r="AA1525" t="s">
        <v>2500</v>
      </c>
      <c r="AB1525" s="11" t="str">
        <f t="shared" si="84"/>
        <v>http://www.crownpub.bc.ca/</v>
      </c>
      <c r="AC1525" t="s">
        <v>58</v>
      </c>
      <c r="AD1525" s="11" t="str">
        <f t="shared" si="85"/>
        <v>http://www.env.gov.bc.ca/soils/project/report.html</v>
      </c>
      <c r="AE1525" t="s">
        <v>58</v>
      </c>
      <c r="AG1525" t="s">
        <v>63</v>
      </c>
      <c r="AH1525" s="11" t="str">
        <f t="shared" si="70"/>
        <v>mailto: soilterrain@victoria1.gov.bc.ca</v>
      </c>
    </row>
    <row r="1526" spans="1:34">
      <c r="A1526" t="s">
        <v>3576</v>
      </c>
      <c r="B1526" t="s">
        <v>56</v>
      </c>
      <c r="C1526" s="10" t="s">
        <v>1293</v>
      </c>
      <c r="D1526" t="s">
        <v>58</v>
      </c>
      <c r="E1526" t="s">
        <v>3080</v>
      </c>
      <c r="F1526" t="s">
        <v>3577</v>
      </c>
      <c r="G1526">
        <v>50000</v>
      </c>
      <c r="H1526">
        <v>1988</v>
      </c>
      <c r="I1526" t="s">
        <v>3082</v>
      </c>
      <c r="J1526" t="s">
        <v>58</v>
      </c>
      <c r="K1526" t="s">
        <v>61</v>
      </c>
      <c r="L1526" t="s">
        <v>61</v>
      </c>
      <c r="M1526" t="s">
        <v>58</v>
      </c>
      <c r="Q1526" t="s">
        <v>58</v>
      </c>
      <c r="R1526" s="11" t="str">
        <f>HYPERLINK("\\imagefiles.bcgov\imagery\scanned_maps\moe_terrain_maps\Scanned_T_maps_all\K10\K10-1754","\\imagefiles.bcgov\imagery\scanned_maps\moe_terrain_maps\Scanned_T_maps_all\K10\K10-1754")</f>
        <v>\\imagefiles.bcgov\imagery\scanned_maps\moe_terrain_maps\Scanned_T_maps_all\K10\K10-1754</v>
      </c>
      <c r="S1526" t="s">
        <v>62</v>
      </c>
      <c r="T1526" s="11" t="str">
        <f>HYPERLINK("http://www.env.gov.bc.ca/esd/distdata/ecosystems/TEI_Scanned_Maps/K10/K10-1754","http://www.env.gov.bc.ca/esd/distdata/ecosystems/TEI_Scanned_Maps/K10/K10-1754")</f>
        <v>http://www.env.gov.bc.ca/esd/distdata/ecosystems/TEI_Scanned_Maps/K10/K10-1754</v>
      </c>
      <c r="U1526" t="s">
        <v>2495</v>
      </c>
      <c r="V1526" s="11" t="str">
        <f t="shared" si="81"/>
        <v>http://www.em.gov.bc.ca/mining/geolsurv/terrain&amp;soils/frbcguid.htm</v>
      </c>
      <c r="W1526" t="s">
        <v>2489</v>
      </c>
      <c r="X1526" s="11" t="str">
        <f t="shared" si="82"/>
        <v>http://www.em.gov.bc.ca/mining/geolsurv/terrain&amp;soils/frbcguid.htm</v>
      </c>
      <c r="Y1526" t="s">
        <v>269</v>
      </c>
      <c r="Z1526" s="11" t="str">
        <f t="shared" si="83"/>
        <v>http://www.library.for.gov.bc.ca/#focus</v>
      </c>
      <c r="AA1526" t="s">
        <v>2500</v>
      </c>
      <c r="AB1526" s="11" t="str">
        <f t="shared" si="84"/>
        <v>http://www.crownpub.bc.ca/</v>
      </c>
      <c r="AC1526" t="s">
        <v>58</v>
      </c>
      <c r="AD1526" s="11" t="str">
        <f t="shared" si="85"/>
        <v>http://www.env.gov.bc.ca/soils/project/report.html</v>
      </c>
      <c r="AE1526" t="s">
        <v>58</v>
      </c>
      <c r="AG1526" t="s">
        <v>63</v>
      </c>
      <c r="AH1526" s="11" t="str">
        <f t="shared" si="70"/>
        <v>mailto: soilterrain@victoria1.gov.bc.ca</v>
      </c>
    </row>
    <row r="1527" spans="1:34">
      <c r="A1527" t="s">
        <v>3578</v>
      </c>
      <c r="B1527" t="s">
        <v>56</v>
      </c>
      <c r="C1527" s="10" t="s">
        <v>1295</v>
      </c>
      <c r="D1527" t="s">
        <v>58</v>
      </c>
      <c r="E1527" t="s">
        <v>3080</v>
      </c>
      <c r="F1527" t="s">
        <v>3579</v>
      </c>
      <c r="G1527">
        <v>50000</v>
      </c>
      <c r="H1527">
        <v>1987</v>
      </c>
      <c r="I1527" t="s">
        <v>3082</v>
      </c>
      <c r="J1527" t="s">
        <v>58</v>
      </c>
      <c r="K1527" t="s">
        <v>61</v>
      </c>
      <c r="L1527" t="s">
        <v>61</v>
      </c>
      <c r="M1527" t="s">
        <v>58</v>
      </c>
      <c r="Q1527" t="s">
        <v>58</v>
      </c>
      <c r="R1527" s="11" t="str">
        <f>HYPERLINK("\\imagefiles.bcgov\imagery\scanned_maps\moe_terrain_maps\Scanned_T_maps_all\K10\K10-1757","\\imagefiles.bcgov\imagery\scanned_maps\moe_terrain_maps\Scanned_T_maps_all\K10\K10-1757")</f>
        <v>\\imagefiles.bcgov\imagery\scanned_maps\moe_terrain_maps\Scanned_T_maps_all\K10\K10-1757</v>
      </c>
      <c r="S1527" t="s">
        <v>62</v>
      </c>
      <c r="T1527" s="11" t="str">
        <f>HYPERLINK("http://www.env.gov.bc.ca/esd/distdata/ecosystems/TEI_Scanned_Maps/K10/K10-1757","http://www.env.gov.bc.ca/esd/distdata/ecosystems/TEI_Scanned_Maps/K10/K10-1757")</f>
        <v>http://www.env.gov.bc.ca/esd/distdata/ecosystems/TEI_Scanned_Maps/K10/K10-1757</v>
      </c>
      <c r="U1527" t="s">
        <v>2495</v>
      </c>
      <c r="V1527" s="11" t="str">
        <f t="shared" si="81"/>
        <v>http://www.em.gov.bc.ca/mining/geolsurv/terrain&amp;soils/frbcguid.htm</v>
      </c>
      <c r="W1527" t="s">
        <v>2489</v>
      </c>
      <c r="X1527" s="11" t="str">
        <f t="shared" si="82"/>
        <v>http://www.em.gov.bc.ca/mining/geolsurv/terrain&amp;soils/frbcguid.htm</v>
      </c>
      <c r="Y1527" t="s">
        <v>269</v>
      </c>
      <c r="Z1527" s="11" t="str">
        <f t="shared" si="83"/>
        <v>http://www.library.for.gov.bc.ca/#focus</v>
      </c>
      <c r="AA1527" t="s">
        <v>2500</v>
      </c>
      <c r="AB1527" s="11" t="str">
        <f t="shared" si="84"/>
        <v>http://www.crownpub.bc.ca/</v>
      </c>
      <c r="AC1527" t="s">
        <v>58</v>
      </c>
      <c r="AD1527" s="11" t="str">
        <f t="shared" si="85"/>
        <v>http://www.env.gov.bc.ca/soils/project/report.html</v>
      </c>
      <c r="AE1527" t="s">
        <v>58</v>
      </c>
      <c r="AG1527" t="s">
        <v>63</v>
      </c>
      <c r="AH1527" s="11" t="str">
        <f t="shared" si="70"/>
        <v>mailto: soilterrain@victoria1.gov.bc.ca</v>
      </c>
    </row>
    <row r="1528" spans="1:34">
      <c r="A1528" t="s">
        <v>3580</v>
      </c>
      <c r="B1528" t="s">
        <v>56</v>
      </c>
      <c r="C1528" s="10" t="s">
        <v>1297</v>
      </c>
      <c r="D1528" t="s">
        <v>58</v>
      </c>
      <c r="E1528" t="s">
        <v>3080</v>
      </c>
      <c r="F1528" t="s">
        <v>3581</v>
      </c>
      <c r="G1528">
        <v>50000</v>
      </c>
      <c r="H1528" t="s">
        <v>187</v>
      </c>
      <c r="I1528" t="s">
        <v>3082</v>
      </c>
      <c r="J1528" t="s">
        <v>58</v>
      </c>
      <c r="K1528" t="s">
        <v>61</v>
      </c>
      <c r="L1528" t="s">
        <v>61</v>
      </c>
      <c r="M1528" t="s">
        <v>58</v>
      </c>
      <c r="Q1528" t="s">
        <v>58</v>
      </c>
      <c r="R1528" s="11" t="str">
        <f>HYPERLINK("\\imagefiles.bcgov\imagery\scanned_maps\moe_terrain_maps\Scanned_T_maps_all\K10\K10-1760","\\imagefiles.bcgov\imagery\scanned_maps\moe_terrain_maps\Scanned_T_maps_all\K10\K10-1760")</f>
        <v>\\imagefiles.bcgov\imagery\scanned_maps\moe_terrain_maps\Scanned_T_maps_all\K10\K10-1760</v>
      </c>
      <c r="S1528" t="s">
        <v>62</v>
      </c>
      <c r="T1528" s="11" t="str">
        <f>HYPERLINK("http://www.env.gov.bc.ca/esd/distdata/ecosystems/TEI_Scanned_Maps/K10/K10-1760","http://www.env.gov.bc.ca/esd/distdata/ecosystems/TEI_Scanned_Maps/K10/K10-1760")</f>
        <v>http://www.env.gov.bc.ca/esd/distdata/ecosystems/TEI_Scanned_Maps/K10/K10-1760</v>
      </c>
      <c r="U1528" t="s">
        <v>2495</v>
      </c>
      <c r="V1528" s="11" t="str">
        <f t="shared" si="81"/>
        <v>http://www.em.gov.bc.ca/mining/geolsurv/terrain&amp;soils/frbcguid.htm</v>
      </c>
      <c r="W1528" t="s">
        <v>2489</v>
      </c>
      <c r="X1528" s="11" t="str">
        <f t="shared" si="82"/>
        <v>http://www.em.gov.bc.ca/mining/geolsurv/terrain&amp;soils/frbcguid.htm</v>
      </c>
      <c r="Y1528" t="s">
        <v>269</v>
      </c>
      <c r="Z1528" s="11" t="str">
        <f t="shared" si="83"/>
        <v>http://www.library.for.gov.bc.ca/#focus</v>
      </c>
      <c r="AA1528" t="s">
        <v>2500</v>
      </c>
      <c r="AB1528" s="11" t="str">
        <f t="shared" si="84"/>
        <v>http://www.crownpub.bc.ca/</v>
      </c>
      <c r="AC1528" t="s">
        <v>58</v>
      </c>
      <c r="AD1528" s="11" t="str">
        <f t="shared" si="85"/>
        <v>http://www.env.gov.bc.ca/soils/project/report.html</v>
      </c>
      <c r="AE1528" t="s">
        <v>58</v>
      </c>
      <c r="AG1528" t="s">
        <v>63</v>
      </c>
      <c r="AH1528" s="11" t="str">
        <f t="shared" si="70"/>
        <v>mailto: soilterrain@victoria1.gov.bc.ca</v>
      </c>
    </row>
    <row r="1529" spans="1:34">
      <c r="A1529" t="s">
        <v>3582</v>
      </c>
      <c r="B1529" t="s">
        <v>56</v>
      </c>
      <c r="C1529" s="10" t="s">
        <v>1299</v>
      </c>
      <c r="D1529" t="s">
        <v>58</v>
      </c>
      <c r="E1529" t="s">
        <v>3080</v>
      </c>
      <c r="F1529" t="s">
        <v>3081</v>
      </c>
      <c r="G1529">
        <v>50000</v>
      </c>
      <c r="H1529">
        <v>1985</v>
      </c>
      <c r="I1529" t="s">
        <v>3082</v>
      </c>
      <c r="J1529" t="s">
        <v>58</v>
      </c>
      <c r="K1529" t="s">
        <v>61</v>
      </c>
      <c r="L1529" t="s">
        <v>61</v>
      </c>
      <c r="M1529" t="s">
        <v>58</v>
      </c>
      <c r="Q1529" t="s">
        <v>58</v>
      </c>
      <c r="R1529" s="11" t="str">
        <f>HYPERLINK("\\imagefiles.bcgov\imagery\scanned_maps\moe_terrain_maps\Scanned_T_maps_all\K10\K10-1763","\\imagefiles.bcgov\imagery\scanned_maps\moe_terrain_maps\Scanned_T_maps_all\K10\K10-1763")</f>
        <v>\\imagefiles.bcgov\imagery\scanned_maps\moe_terrain_maps\Scanned_T_maps_all\K10\K10-1763</v>
      </c>
      <c r="S1529" t="s">
        <v>62</v>
      </c>
      <c r="T1529" s="11" t="str">
        <f>HYPERLINK("http://www.env.gov.bc.ca/esd/distdata/ecosystems/TEI_Scanned_Maps/K10/K10-1763","http://www.env.gov.bc.ca/esd/distdata/ecosystems/TEI_Scanned_Maps/K10/K10-1763")</f>
        <v>http://www.env.gov.bc.ca/esd/distdata/ecosystems/TEI_Scanned_Maps/K10/K10-1763</v>
      </c>
      <c r="U1529" t="s">
        <v>2495</v>
      </c>
      <c r="V1529" s="11" t="str">
        <f t="shared" si="81"/>
        <v>http://www.em.gov.bc.ca/mining/geolsurv/terrain&amp;soils/frbcguid.htm</v>
      </c>
      <c r="W1529" t="s">
        <v>2489</v>
      </c>
      <c r="X1529" s="11" t="str">
        <f t="shared" si="82"/>
        <v>http://www.em.gov.bc.ca/mining/geolsurv/terrain&amp;soils/frbcguid.htm</v>
      </c>
      <c r="Y1529" t="s">
        <v>269</v>
      </c>
      <c r="Z1529" s="11" t="str">
        <f t="shared" si="83"/>
        <v>http://www.library.for.gov.bc.ca/#focus</v>
      </c>
      <c r="AA1529" t="s">
        <v>2500</v>
      </c>
      <c r="AB1529" s="11" t="str">
        <f t="shared" si="84"/>
        <v>http://www.crownpub.bc.ca/</v>
      </c>
      <c r="AC1529" t="s">
        <v>58</v>
      </c>
      <c r="AD1529" s="11" t="str">
        <f t="shared" si="85"/>
        <v>http://www.env.gov.bc.ca/soils/project/report.html</v>
      </c>
      <c r="AE1529" t="s">
        <v>58</v>
      </c>
      <c r="AG1529" t="s">
        <v>63</v>
      </c>
      <c r="AH1529" s="11" t="str">
        <f t="shared" si="70"/>
        <v>mailto: soilterrain@victoria1.gov.bc.ca</v>
      </c>
    </row>
    <row r="1530" spans="1:34">
      <c r="A1530" t="s">
        <v>3583</v>
      </c>
      <c r="B1530" t="s">
        <v>56</v>
      </c>
      <c r="C1530" s="10" t="s">
        <v>1301</v>
      </c>
      <c r="D1530" t="s">
        <v>58</v>
      </c>
      <c r="E1530" t="s">
        <v>3080</v>
      </c>
      <c r="F1530" t="s">
        <v>3081</v>
      </c>
      <c r="G1530">
        <v>50000</v>
      </c>
      <c r="H1530">
        <v>1985</v>
      </c>
      <c r="I1530" t="s">
        <v>3082</v>
      </c>
      <c r="J1530" t="s">
        <v>58</v>
      </c>
      <c r="K1530" t="s">
        <v>61</v>
      </c>
      <c r="L1530" t="s">
        <v>61</v>
      </c>
      <c r="M1530" t="s">
        <v>58</v>
      </c>
      <c r="Q1530" t="s">
        <v>58</v>
      </c>
      <c r="R1530" s="11" t="str">
        <f>HYPERLINK("\\imagefiles.bcgov\imagery\scanned_maps\moe_terrain_maps\Scanned_T_maps_all\K10\K10-1766","\\imagefiles.bcgov\imagery\scanned_maps\moe_terrain_maps\Scanned_T_maps_all\K10\K10-1766")</f>
        <v>\\imagefiles.bcgov\imagery\scanned_maps\moe_terrain_maps\Scanned_T_maps_all\K10\K10-1766</v>
      </c>
      <c r="S1530" t="s">
        <v>62</v>
      </c>
      <c r="T1530" s="11" t="str">
        <f>HYPERLINK("http://www.env.gov.bc.ca/esd/distdata/ecosystems/TEI_Scanned_Maps/K10/K10-1766","http://www.env.gov.bc.ca/esd/distdata/ecosystems/TEI_Scanned_Maps/K10/K10-1766")</f>
        <v>http://www.env.gov.bc.ca/esd/distdata/ecosystems/TEI_Scanned_Maps/K10/K10-1766</v>
      </c>
      <c r="U1530" t="s">
        <v>2495</v>
      </c>
      <c r="V1530" s="11" t="str">
        <f t="shared" si="81"/>
        <v>http://www.em.gov.bc.ca/mining/geolsurv/terrain&amp;soils/frbcguid.htm</v>
      </c>
      <c r="W1530" t="s">
        <v>2489</v>
      </c>
      <c r="X1530" s="11" t="str">
        <f t="shared" si="82"/>
        <v>http://www.em.gov.bc.ca/mining/geolsurv/terrain&amp;soils/frbcguid.htm</v>
      </c>
      <c r="Y1530" t="s">
        <v>269</v>
      </c>
      <c r="Z1530" s="11" t="str">
        <f t="shared" si="83"/>
        <v>http://www.library.for.gov.bc.ca/#focus</v>
      </c>
      <c r="AA1530" t="s">
        <v>2500</v>
      </c>
      <c r="AB1530" s="11" t="str">
        <f t="shared" si="84"/>
        <v>http://www.crownpub.bc.ca/</v>
      </c>
      <c r="AC1530" t="s">
        <v>58</v>
      </c>
      <c r="AD1530" s="11" t="str">
        <f t="shared" si="85"/>
        <v>http://www.env.gov.bc.ca/soils/project/report.html</v>
      </c>
      <c r="AE1530" t="s">
        <v>58</v>
      </c>
      <c r="AG1530" t="s">
        <v>63</v>
      </c>
      <c r="AH1530" s="11" t="str">
        <f t="shared" si="70"/>
        <v>mailto: soilterrain@victoria1.gov.bc.ca</v>
      </c>
    </row>
    <row r="1531" spans="1:34">
      <c r="A1531" t="s">
        <v>3584</v>
      </c>
      <c r="B1531" t="s">
        <v>56</v>
      </c>
      <c r="C1531" s="10" t="s">
        <v>716</v>
      </c>
      <c r="D1531" t="s">
        <v>58</v>
      </c>
      <c r="E1531" t="s">
        <v>3080</v>
      </c>
      <c r="F1531" t="s">
        <v>3585</v>
      </c>
      <c r="G1531">
        <v>50000</v>
      </c>
      <c r="H1531">
        <v>1985</v>
      </c>
      <c r="I1531" t="s">
        <v>3082</v>
      </c>
      <c r="J1531" t="s">
        <v>58</v>
      </c>
      <c r="K1531" t="s">
        <v>61</v>
      </c>
      <c r="L1531" t="s">
        <v>61</v>
      </c>
      <c r="M1531" t="s">
        <v>58</v>
      </c>
      <c r="Q1531" t="s">
        <v>58</v>
      </c>
      <c r="R1531" s="11" t="str">
        <f>HYPERLINK("\\imagefiles.bcgov\imagery\scanned_maps\moe_terrain_maps\Scanned_T_maps_all\K10\K10-1769","\\imagefiles.bcgov\imagery\scanned_maps\moe_terrain_maps\Scanned_T_maps_all\K10\K10-1769")</f>
        <v>\\imagefiles.bcgov\imagery\scanned_maps\moe_terrain_maps\Scanned_T_maps_all\K10\K10-1769</v>
      </c>
      <c r="S1531" t="s">
        <v>62</v>
      </c>
      <c r="T1531" s="11" t="str">
        <f>HYPERLINK("http://www.env.gov.bc.ca/esd/distdata/ecosystems/TEI_Scanned_Maps/K10/K10-1769","http://www.env.gov.bc.ca/esd/distdata/ecosystems/TEI_Scanned_Maps/K10/K10-1769")</f>
        <v>http://www.env.gov.bc.ca/esd/distdata/ecosystems/TEI_Scanned_Maps/K10/K10-1769</v>
      </c>
      <c r="U1531" t="s">
        <v>2495</v>
      </c>
      <c r="V1531" s="11" t="str">
        <f t="shared" si="81"/>
        <v>http://www.em.gov.bc.ca/mining/geolsurv/terrain&amp;soils/frbcguid.htm</v>
      </c>
      <c r="W1531" t="s">
        <v>2489</v>
      </c>
      <c r="X1531" s="11" t="str">
        <f t="shared" si="82"/>
        <v>http://www.em.gov.bc.ca/mining/geolsurv/terrain&amp;soils/frbcguid.htm</v>
      </c>
      <c r="Y1531" t="s">
        <v>269</v>
      </c>
      <c r="Z1531" s="11" t="str">
        <f t="shared" si="83"/>
        <v>http://www.library.for.gov.bc.ca/#focus</v>
      </c>
      <c r="AA1531" t="s">
        <v>2500</v>
      </c>
      <c r="AB1531" s="11" t="str">
        <f t="shared" si="84"/>
        <v>http://www.crownpub.bc.ca/</v>
      </c>
      <c r="AC1531" t="s">
        <v>58</v>
      </c>
      <c r="AD1531" s="11" t="str">
        <f t="shared" si="85"/>
        <v>http://www.env.gov.bc.ca/soils/project/report.html</v>
      </c>
      <c r="AE1531" t="s">
        <v>58</v>
      </c>
      <c r="AG1531" t="s">
        <v>63</v>
      </c>
      <c r="AH1531" s="11" t="str">
        <f t="shared" si="70"/>
        <v>mailto: soilterrain@victoria1.gov.bc.ca</v>
      </c>
    </row>
    <row r="1532" spans="1:34">
      <c r="A1532" t="s">
        <v>3586</v>
      </c>
      <c r="B1532" t="s">
        <v>56</v>
      </c>
      <c r="C1532" s="10" t="s">
        <v>1304</v>
      </c>
      <c r="D1532" t="s">
        <v>58</v>
      </c>
      <c r="E1532" t="s">
        <v>3080</v>
      </c>
      <c r="F1532" t="s">
        <v>3587</v>
      </c>
      <c r="G1532">
        <v>50000</v>
      </c>
      <c r="H1532">
        <v>1985</v>
      </c>
      <c r="I1532" t="s">
        <v>3082</v>
      </c>
      <c r="J1532" t="s">
        <v>58</v>
      </c>
      <c r="K1532" t="s">
        <v>61</v>
      </c>
      <c r="L1532" t="s">
        <v>61</v>
      </c>
      <c r="M1532" t="s">
        <v>58</v>
      </c>
      <c r="Q1532" t="s">
        <v>58</v>
      </c>
      <c r="R1532" s="11" t="str">
        <f>HYPERLINK("\\imagefiles.bcgov\imagery\scanned_maps\moe_terrain_maps\Scanned_T_maps_all\K10\K10-1772","\\imagefiles.bcgov\imagery\scanned_maps\moe_terrain_maps\Scanned_T_maps_all\K10\K10-1772")</f>
        <v>\\imagefiles.bcgov\imagery\scanned_maps\moe_terrain_maps\Scanned_T_maps_all\K10\K10-1772</v>
      </c>
      <c r="S1532" t="s">
        <v>62</v>
      </c>
      <c r="T1532" s="11" t="str">
        <f>HYPERLINK("http://www.env.gov.bc.ca/esd/distdata/ecosystems/TEI_Scanned_Maps/K10/K10-1772","http://www.env.gov.bc.ca/esd/distdata/ecosystems/TEI_Scanned_Maps/K10/K10-1772")</f>
        <v>http://www.env.gov.bc.ca/esd/distdata/ecosystems/TEI_Scanned_Maps/K10/K10-1772</v>
      </c>
      <c r="U1532" t="s">
        <v>2495</v>
      </c>
      <c r="V1532" s="11" t="str">
        <f t="shared" si="81"/>
        <v>http://www.em.gov.bc.ca/mining/geolsurv/terrain&amp;soils/frbcguid.htm</v>
      </c>
      <c r="W1532" t="s">
        <v>2489</v>
      </c>
      <c r="X1532" s="11" t="str">
        <f t="shared" si="82"/>
        <v>http://www.em.gov.bc.ca/mining/geolsurv/terrain&amp;soils/frbcguid.htm</v>
      </c>
      <c r="Y1532" t="s">
        <v>269</v>
      </c>
      <c r="Z1532" s="11" t="str">
        <f t="shared" si="83"/>
        <v>http://www.library.for.gov.bc.ca/#focus</v>
      </c>
      <c r="AA1532" t="s">
        <v>2500</v>
      </c>
      <c r="AB1532" s="11" t="str">
        <f t="shared" si="84"/>
        <v>http://www.crownpub.bc.ca/</v>
      </c>
      <c r="AC1532" t="s">
        <v>58</v>
      </c>
      <c r="AD1532" s="11" t="str">
        <f t="shared" si="85"/>
        <v>http://www.env.gov.bc.ca/soils/project/report.html</v>
      </c>
      <c r="AE1532" t="s">
        <v>58</v>
      </c>
      <c r="AG1532" t="s">
        <v>63</v>
      </c>
      <c r="AH1532" s="11" t="str">
        <f t="shared" si="70"/>
        <v>mailto: soilterrain@victoria1.gov.bc.ca</v>
      </c>
    </row>
    <row r="1533" spans="1:34">
      <c r="A1533" t="s">
        <v>3588</v>
      </c>
      <c r="B1533" t="s">
        <v>56</v>
      </c>
      <c r="C1533" s="10" t="s">
        <v>1306</v>
      </c>
      <c r="D1533" t="s">
        <v>58</v>
      </c>
      <c r="E1533" t="s">
        <v>3080</v>
      </c>
      <c r="F1533" t="s">
        <v>3589</v>
      </c>
      <c r="G1533">
        <v>50000</v>
      </c>
      <c r="H1533">
        <v>1988</v>
      </c>
      <c r="I1533" t="s">
        <v>3082</v>
      </c>
      <c r="J1533" t="s">
        <v>58</v>
      </c>
      <c r="K1533" t="s">
        <v>61</v>
      </c>
      <c r="L1533" t="s">
        <v>61</v>
      </c>
      <c r="M1533" t="s">
        <v>58</v>
      </c>
      <c r="Q1533" t="s">
        <v>58</v>
      </c>
      <c r="R1533" s="11" t="str">
        <f>HYPERLINK("\\imagefiles.bcgov\imagery\scanned_maps\moe_terrain_maps\Scanned_T_maps_all\K10\K10-1775","\\imagefiles.bcgov\imagery\scanned_maps\moe_terrain_maps\Scanned_T_maps_all\K10\K10-1775")</f>
        <v>\\imagefiles.bcgov\imagery\scanned_maps\moe_terrain_maps\Scanned_T_maps_all\K10\K10-1775</v>
      </c>
      <c r="S1533" t="s">
        <v>62</v>
      </c>
      <c r="T1533" s="11" t="str">
        <f>HYPERLINK("http://www.env.gov.bc.ca/esd/distdata/ecosystems/TEI_Scanned_Maps/K10/K10-1775","http://www.env.gov.bc.ca/esd/distdata/ecosystems/TEI_Scanned_Maps/K10/K10-1775")</f>
        <v>http://www.env.gov.bc.ca/esd/distdata/ecosystems/TEI_Scanned_Maps/K10/K10-1775</v>
      </c>
      <c r="U1533" t="s">
        <v>2495</v>
      </c>
      <c r="V1533" s="11" t="str">
        <f t="shared" si="81"/>
        <v>http://www.em.gov.bc.ca/mining/geolsurv/terrain&amp;soils/frbcguid.htm</v>
      </c>
      <c r="W1533" t="s">
        <v>2489</v>
      </c>
      <c r="X1533" s="11" t="str">
        <f t="shared" si="82"/>
        <v>http://www.em.gov.bc.ca/mining/geolsurv/terrain&amp;soils/frbcguid.htm</v>
      </c>
      <c r="Y1533" t="s">
        <v>269</v>
      </c>
      <c r="Z1533" s="11" t="str">
        <f t="shared" si="83"/>
        <v>http://www.library.for.gov.bc.ca/#focus</v>
      </c>
      <c r="AA1533" t="s">
        <v>2500</v>
      </c>
      <c r="AB1533" s="11" t="str">
        <f t="shared" si="84"/>
        <v>http://www.crownpub.bc.ca/</v>
      </c>
      <c r="AC1533" t="s">
        <v>58</v>
      </c>
      <c r="AD1533" s="11" t="str">
        <f t="shared" si="85"/>
        <v>http://www.env.gov.bc.ca/soils/project/report.html</v>
      </c>
      <c r="AE1533" t="s">
        <v>58</v>
      </c>
      <c r="AG1533" t="s">
        <v>63</v>
      </c>
      <c r="AH1533" s="11" t="str">
        <f t="shared" si="70"/>
        <v>mailto: soilterrain@victoria1.gov.bc.ca</v>
      </c>
    </row>
    <row r="1534" spans="1:34">
      <c r="A1534" t="s">
        <v>3590</v>
      </c>
      <c r="B1534" t="s">
        <v>56</v>
      </c>
      <c r="C1534" s="10" t="s">
        <v>1308</v>
      </c>
      <c r="D1534" t="s">
        <v>58</v>
      </c>
      <c r="E1534" t="s">
        <v>3080</v>
      </c>
      <c r="F1534" t="s">
        <v>3591</v>
      </c>
      <c r="G1534">
        <v>50000</v>
      </c>
      <c r="H1534">
        <v>1988</v>
      </c>
      <c r="I1534" t="s">
        <v>3082</v>
      </c>
      <c r="J1534" t="s">
        <v>58</v>
      </c>
      <c r="K1534" t="s">
        <v>61</v>
      </c>
      <c r="L1534" t="s">
        <v>61</v>
      </c>
      <c r="M1534" t="s">
        <v>58</v>
      </c>
      <c r="Q1534" t="s">
        <v>58</v>
      </c>
      <c r="R1534" s="11" t="str">
        <f>HYPERLINK("\\imagefiles.bcgov\imagery\scanned_maps\moe_terrain_maps\Scanned_T_maps_all\K10\K10-1778","\\imagefiles.bcgov\imagery\scanned_maps\moe_terrain_maps\Scanned_T_maps_all\K10\K10-1778")</f>
        <v>\\imagefiles.bcgov\imagery\scanned_maps\moe_terrain_maps\Scanned_T_maps_all\K10\K10-1778</v>
      </c>
      <c r="S1534" t="s">
        <v>62</v>
      </c>
      <c r="T1534" s="11" t="str">
        <f>HYPERLINK("http://www.env.gov.bc.ca/esd/distdata/ecosystems/TEI_Scanned_Maps/K10/K10-1778","http://www.env.gov.bc.ca/esd/distdata/ecosystems/TEI_Scanned_Maps/K10/K10-1778")</f>
        <v>http://www.env.gov.bc.ca/esd/distdata/ecosystems/TEI_Scanned_Maps/K10/K10-1778</v>
      </c>
      <c r="U1534" t="s">
        <v>2495</v>
      </c>
      <c r="V1534" s="11" t="str">
        <f t="shared" si="81"/>
        <v>http://www.em.gov.bc.ca/mining/geolsurv/terrain&amp;soils/frbcguid.htm</v>
      </c>
      <c r="W1534" t="s">
        <v>2489</v>
      </c>
      <c r="X1534" s="11" t="str">
        <f t="shared" si="82"/>
        <v>http://www.em.gov.bc.ca/mining/geolsurv/terrain&amp;soils/frbcguid.htm</v>
      </c>
      <c r="Y1534" t="s">
        <v>269</v>
      </c>
      <c r="Z1534" s="11" t="str">
        <f t="shared" si="83"/>
        <v>http://www.library.for.gov.bc.ca/#focus</v>
      </c>
      <c r="AA1534" t="s">
        <v>2500</v>
      </c>
      <c r="AB1534" s="11" t="str">
        <f t="shared" si="84"/>
        <v>http://www.crownpub.bc.ca/</v>
      </c>
      <c r="AC1534" t="s">
        <v>58</v>
      </c>
      <c r="AD1534" s="11" t="str">
        <f t="shared" si="85"/>
        <v>http://www.env.gov.bc.ca/soils/project/report.html</v>
      </c>
      <c r="AE1534" t="s">
        <v>58</v>
      </c>
      <c r="AG1534" t="s">
        <v>63</v>
      </c>
      <c r="AH1534" s="11" t="str">
        <f t="shared" si="70"/>
        <v>mailto: soilterrain@victoria1.gov.bc.ca</v>
      </c>
    </row>
    <row r="1535" spans="1:34">
      <c r="A1535" t="s">
        <v>3592</v>
      </c>
      <c r="B1535" t="s">
        <v>56</v>
      </c>
      <c r="C1535" s="10" t="s">
        <v>1310</v>
      </c>
      <c r="D1535" t="s">
        <v>58</v>
      </c>
      <c r="E1535" t="s">
        <v>3080</v>
      </c>
      <c r="F1535" t="s">
        <v>3593</v>
      </c>
      <c r="G1535">
        <v>50000</v>
      </c>
      <c r="H1535">
        <v>1988</v>
      </c>
      <c r="I1535" t="s">
        <v>3082</v>
      </c>
      <c r="J1535" t="s">
        <v>58</v>
      </c>
      <c r="K1535" t="s">
        <v>61</v>
      </c>
      <c r="L1535" t="s">
        <v>61</v>
      </c>
      <c r="M1535" t="s">
        <v>58</v>
      </c>
      <c r="Q1535" t="s">
        <v>58</v>
      </c>
      <c r="R1535" s="11" t="str">
        <f>HYPERLINK("\\imagefiles.bcgov\imagery\scanned_maps\moe_terrain_maps\Scanned_T_maps_all\K10\K10-1781","\\imagefiles.bcgov\imagery\scanned_maps\moe_terrain_maps\Scanned_T_maps_all\K10\K10-1781")</f>
        <v>\\imagefiles.bcgov\imagery\scanned_maps\moe_terrain_maps\Scanned_T_maps_all\K10\K10-1781</v>
      </c>
      <c r="S1535" t="s">
        <v>62</v>
      </c>
      <c r="T1535" s="11" t="str">
        <f>HYPERLINK("http://www.env.gov.bc.ca/esd/distdata/ecosystems/TEI_Scanned_Maps/K10/K10-1781","http://www.env.gov.bc.ca/esd/distdata/ecosystems/TEI_Scanned_Maps/K10/K10-1781")</f>
        <v>http://www.env.gov.bc.ca/esd/distdata/ecosystems/TEI_Scanned_Maps/K10/K10-1781</v>
      </c>
      <c r="U1535" t="s">
        <v>2495</v>
      </c>
      <c r="V1535" s="11" t="str">
        <f t="shared" si="81"/>
        <v>http://www.em.gov.bc.ca/mining/geolsurv/terrain&amp;soils/frbcguid.htm</v>
      </c>
      <c r="W1535" t="s">
        <v>2489</v>
      </c>
      <c r="X1535" s="11" t="str">
        <f t="shared" si="82"/>
        <v>http://www.em.gov.bc.ca/mining/geolsurv/terrain&amp;soils/frbcguid.htm</v>
      </c>
      <c r="Y1535" t="s">
        <v>269</v>
      </c>
      <c r="Z1535" s="11" t="str">
        <f t="shared" si="83"/>
        <v>http://www.library.for.gov.bc.ca/#focus</v>
      </c>
      <c r="AA1535" t="s">
        <v>2500</v>
      </c>
      <c r="AB1535" s="11" t="str">
        <f t="shared" si="84"/>
        <v>http://www.crownpub.bc.ca/</v>
      </c>
      <c r="AC1535" t="s">
        <v>58</v>
      </c>
      <c r="AD1535" s="11" t="str">
        <f t="shared" si="85"/>
        <v>http://www.env.gov.bc.ca/soils/project/report.html</v>
      </c>
      <c r="AE1535" t="s">
        <v>58</v>
      </c>
      <c r="AG1535" t="s">
        <v>63</v>
      </c>
      <c r="AH1535" s="11" t="str">
        <f t="shared" si="70"/>
        <v>mailto: soilterrain@victoria1.gov.bc.ca</v>
      </c>
    </row>
    <row r="1536" spans="1:34">
      <c r="A1536" t="s">
        <v>3594</v>
      </c>
      <c r="B1536" t="s">
        <v>56</v>
      </c>
      <c r="C1536" s="10" t="s">
        <v>1312</v>
      </c>
      <c r="D1536" t="s">
        <v>58</v>
      </c>
      <c r="E1536" t="s">
        <v>3080</v>
      </c>
      <c r="F1536" t="s">
        <v>3595</v>
      </c>
      <c r="G1536">
        <v>50000</v>
      </c>
      <c r="H1536">
        <v>1987</v>
      </c>
      <c r="I1536" t="s">
        <v>3082</v>
      </c>
      <c r="J1536" t="s">
        <v>58</v>
      </c>
      <c r="K1536" t="s">
        <v>61</v>
      </c>
      <c r="L1536" t="s">
        <v>61</v>
      </c>
      <c r="M1536" t="s">
        <v>58</v>
      </c>
      <c r="Q1536" t="s">
        <v>58</v>
      </c>
      <c r="R1536" s="11" t="str">
        <f>HYPERLINK("\\imagefiles.bcgov\imagery\scanned_maps\moe_terrain_maps\Scanned_T_maps_all\K10\K10-1784","\\imagefiles.bcgov\imagery\scanned_maps\moe_terrain_maps\Scanned_T_maps_all\K10\K10-1784")</f>
        <v>\\imagefiles.bcgov\imagery\scanned_maps\moe_terrain_maps\Scanned_T_maps_all\K10\K10-1784</v>
      </c>
      <c r="S1536" t="s">
        <v>62</v>
      </c>
      <c r="T1536" s="11" t="str">
        <f>HYPERLINK("http://www.env.gov.bc.ca/esd/distdata/ecosystems/TEI_Scanned_Maps/K10/K10-1784","http://www.env.gov.bc.ca/esd/distdata/ecosystems/TEI_Scanned_Maps/K10/K10-1784")</f>
        <v>http://www.env.gov.bc.ca/esd/distdata/ecosystems/TEI_Scanned_Maps/K10/K10-1784</v>
      </c>
      <c r="U1536" t="s">
        <v>2495</v>
      </c>
      <c r="V1536" s="11" t="str">
        <f t="shared" si="81"/>
        <v>http://www.em.gov.bc.ca/mining/geolsurv/terrain&amp;soils/frbcguid.htm</v>
      </c>
      <c r="W1536" t="s">
        <v>2489</v>
      </c>
      <c r="X1536" s="11" t="str">
        <f t="shared" si="82"/>
        <v>http://www.em.gov.bc.ca/mining/geolsurv/terrain&amp;soils/frbcguid.htm</v>
      </c>
      <c r="Y1536" t="s">
        <v>269</v>
      </c>
      <c r="Z1536" s="11" t="str">
        <f t="shared" si="83"/>
        <v>http://www.library.for.gov.bc.ca/#focus</v>
      </c>
      <c r="AA1536" t="s">
        <v>2500</v>
      </c>
      <c r="AB1536" s="11" t="str">
        <f t="shared" si="84"/>
        <v>http://www.crownpub.bc.ca/</v>
      </c>
      <c r="AC1536" t="s">
        <v>58</v>
      </c>
      <c r="AD1536" s="11" t="str">
        <f t="shared" si="85"/>
        <v>http://www.env.gov.bc.ca/soils/project/report.html</v>
      </c>
      <c r="AE1536" t="s">
        <v>58</v>
      </c>
      <c r="AG1536" t="s">
        <v>63</v>
      </c>
      <c r="AH1536" s="11" t="str">
        <f t="shared" si="70"/>
        <v>mailto: soilterrain@victoria1.gov.bc.ca</v>
      </c>
    </row>
    <row r="1537" spans="1:34">
      <c r="A1537" t="s">
        <v>3596</v>
      </c>
      <c r="B1537" t="s">
        <v>56</v>
      </c>
      <c r="C1537" s="10" t="s">
        <v>1314</v>
      </c>
      <c r="D1537" t="s">
        <v>58</v>
      </c>
      <c r="E1537" t="s">
        <v>3080</v>
      </c>
      <c r="F1537" t="s">
        <v>3597</v>
      </c>
      <c r="G1537">
        <v>50000</v>
      </c>
      <c r="H1537" t="s">
        <v>187</v>
      </c>
      <c r="I1537" t="s">
        <v>3082</v>
      </c>
      <c r="J1537" t="s">
        <v>58</v>
      </c>
      <c r="K1537" t="s">
        <v>61</v>
      </c>
      <c r="L1537" t="s">
        <v>61</v>
      </c>
      <c r="M1537" t="s">
        <v>58</v>
      </c>
      <c r="Q1537" t="s">
        <v>58</v>
      </c>
      <c r="R1537" s="11" t="str">
        <f>HYPERLINK("\\imagefiles.bcgov\imagery\scanned_maps\moe_terrain_maps\Scanned_T_maps_all\K10\K10-1787","\\imagefiles.bcgov\imagery\scanned_maps\moe_terrain_maps\Scanned_T_maps_all\K10\K10-1787")</f>
        <v>\\imagefiles.bcgov\imagery\scanned_maps\moe_terrain_maps\Scanned_T_maps_all\K10\K10-1787</v>
      </c>
      <c r="S1537" t="s">
        <v>62</v>
      </c>
      <c r="T1537" s="11" t="str">
        <f>HYPERLINK("http://www.env.gov.bc.ca/esd/distdata/ecosystems/TEI_Scanned_Maps/K10/K10-1787","http://www.env.gov.bc.ca/esd/distdata/ecosystems/TEI_Scanned_Maps/K10/K10-1787")</f>
        <v>http://www.env.gov.bc.ca/esd/distdata/ecosystems/TEI_Scanned_Maps/K10/K10-1787</v>
      </c>
      <c r="U1537" t="s">
        <v>2495</v>
      </c>
      <c r="V1537" s="11" t="str">
        <f t="shared" si="81"/>
        <v>http://www.em.gov.bc.ca/mining/geolsurv/terrain&amp;soils/frbcguid.htm</v>
      </c>
      <c r="W1537" t="s">
        <v>2489</v>
      </c>
      <c r="X1537" s="11" t="str">
        <f t="shared" si="82"/>
        <v>http://www.em.gov.bc.ca/mining/geolsurv/terrain&amp;soils/frbcguid.htm</v>
      </c>
      <c r="Y1537" t="s">
        <v>269</v>
      </c>
      <c r="Z1537" s="11" t="str">
        <f t="shared" si="83"/>
        <v>http://www.library.for.gov.bc.ca/#focus</v>
      </c>
      <c r="AA1537" t="s">
        <v>2500</v>
      </c>
      <c r="AB1537" s="11" t="str">
        <f t="shared" si="84"/>
        <v>http://www.crownpub.bc.ca/</v>
      </c>
      <c r="AC1537" t="s">
        <v>58</v>
      </c>
      <c r="AD1537" s="11" t="str">
        <f t="shared" si="85"/>
        <v>http://www.env.gov.bc.ca/soils/project/report.html</v>
      </c>
      <c r="AE1537" t="s">
        <v>58</v>
      </c>
      <c r="AG1537" t="s">
        <v>63</v>
      </c>
      <c r="AH1537" s="11" t="str">
        <f t="shared" si="70"/>
        <v>mailto: soilterrain@victoria1.gov.bc.ca</v>
      </c>
    </row>
    <row r="1538" spans="1:34">
      <c r="A1538" t="s">
        <v>3598</v>
      </c>
      <c r="B1538" t="s">
        <v>56</v>
      </c>
      <c r="C1538" s="10" t="s">
        <v>1316</v>
      </c>
      <c r="D1538" t="s">
        <v>58</v>
      </c>
      <c r="E1538" t="s">
        <v>3080</v>
      </c>
      <c r="F1538" t="s">
        <v>3599</v>
      </c>
      <c r="G1538">
        <v>50000</v>
      </c>
      <c r="H1538">
        <v>1985</v>
      </c>
      <c r="I1538" t="s">
        <v>3082</v>
      </c>
      <c r="J1538" t="s">
        <v>58</v>
      </c>
      <c r="K1538" t="s">
        <v>61</v>
      </c>
      <c r="L1538" t="s">
        <v>61</v>
      </c>
      <c r="M1538" t="s">
        <v>58</v>
      </c>
      <c r="Q1538" t="s">
        <v>58</v>
      </c>
      <c r="R1538" s="11" t="str">
        <f>HYPERLINK("\\imagefiles.bcgov\imagery\scanned_maps\moe_terrain_maps\Scanned_T_maps_all\K10\K10-1790","\\imagefiles.bcgov\imagery\scanned_maps\moe_terrain_maps\Scanned_T_maps_all\K10\K10-1790")</f>
        <v>\\imagefiles.bcgov\imagery\scanned_maps\moe_terrain_maps\Scanned_T_maps_all\K10\K10-1790</v>
      </c>
      <c r="S1538" t="s">
        <v>62</v>
      </c>
      <c r="T1538" s="11" t="str">
        <f>HYPERLINK("http://www.env.gov.bc.ca/esd/distdata/ecosystems/TEI_Scanned_Maps/K10/K10-1790","http://www.env.gov.bc.ca/esd/distdata/ecosystems/TEI_Scanned_Maps/K10/K10-1790")</f>
        <v>http://www.env.gov.bc.ca/esd/distdata/ecosystems/TEI_Scanned_Maps/K10/K10-1790</v>
      </c>
      <c r="U1538" t="s">
        <v>2495</v>
      </c>
      <c r="V1538" s="11" t="str">
        <f t="shared" si="81"/>
        <v>http://www.em.gov.bc.ca/mining/geolsurv/terrain&amp;soils/frbcguid.htm</v>
      </c>
      <c r="W1538" t="s">
        <v>2489</v>
      </c>
      <c r="X1538" s="11" t="str">
        <f t="shared" si="82"/>
        <v>http://www.em.gov.bc.ca/mining/geolsurv/terrain&amp;soils/frbcguid.htm</v>
      </c>
      <c r="Y1538" t="s">
        <v>269</v>
      </c>
      <c r="Z1538" s="11" t="str">
        <f t="shared" si="83"/>
        <v>http://www.library.for.gov.bc.ca/#focus</v>
      </c>
      <c r="AA1538" t="s">
        <v>2500</v>
      </c>
      <c r="AB1538" s="11" t="str">
        <f t="shared" si="84"/>
        <v>http://www.crownpub.bc.ca/</v>
      </c>
      <c r="AC1538" t="s">
        <v>58</v>
      </c>
      <c r="AD1538" s="11" t="str">
        <f t="shared" si="85"/>
        <v>http://www.env.gov.bc.ca/soils/project/report.html</v>
      </c>
      <c r="AE1538" t="s">
        <v>58</v>
      </c>
      <c r="AG1538" t="s">
        <v>63</v>
      </c>
      <c r="AH1538" s="11" t="str">
        <f t="shared" ref="AH1538:AH1601" si="86">HYPERLINK("mailto: soilterrain@victoria1.gov.bc.ca","mailto: soilterrain@victoria1.gov.bc.ca")</f>
        <v>mailto: soilterrain@victoria1.gov.bc.ca</v>
      </c>
    </row>
    <row r="1539" spans="1:34">
      <c r="A1539" t="s">
        <v>3600</v>
      </c>
      <c r="B1539" t="s">
        <v>56</v>
      </c>
      <c r="C1539" s="10" t="s">
        <v>594</v>
      </c>
      <c r="D1539" t="s">
        <v>58</v>
      </c>
      <c r="E1539" t="s">
        <v>3058</v>
      </c>
      <c r="F1539" t="s">
        <v>3601</v>
      </c>
      <c r="G1539">
        <v>50000</v>
      </c>
      <c r="H1539">
        <v>1978</v>
      </c>
      <c r="I1539" t="s">
        <v>3060</v>
      </c>
      <c r="J1539" t="s">
        <v>58</v>
      </c>
      <c r="K1539" t="s">
        <v>58</v>
      </c>
      <c r="L1539" t="s">
        <v>61</v>
      </c>
      <c r="M1539" t="s">
        <v>58</v>
      </c>
      <c r="Q1539" t="s">
        <v>58</v>
      </c>
      <c r="R1539" s="11" t="str">
        <f>HYPERLINK("\\imagefiles.bcgov\imagery\scanned_maps\moe_terrain_maps\Scanned_T_maps_all\K10\K10-1856","\\imagefiles.bcgov\imagery\scanned_maps\moe_terrain_maps\Scanned_T_maps_all\K10\K10-1856")</f>
        <v>\\imagefiles.bcgov\imagery\scanned_maps\moe_terrain_maps\Scanned_T_maps_all\K10\K10-1856</v>
      </c>
      <c r="S1539" t="s">
        <v>62</v>
      </c>
      <c r="T1539" s="11" t="str">
        <f>HYPERLINK("http://www.env.gov.bc.ca/esd/distdata/ecosystems/TEI_Scanned_Maps/K10/K10-1856","http://www.env.gov.bc.ca/esd/distdata/ecosystems/TEI_Scanned_Maps/K10/K10-1856")</f>
        <v>http://www.env.gov.bc.ca/esd/distdata/ecosystems/TEI_Scanned_Maps/K10/K10-1856</v>
      </c>
      <c r="U1539" t="s">
        <v>2487</v>
      </c>
      <c r="V1539" s="11" t="str">
        <f>HYPERLINK("http://res.agr.ca/cansis/publications/surveys/bc/","http://res.agr.ca/cansis/publications/surveys/bc/")</f>
        <v>http://res.agr.ca/cansis/publications/surveys/bc/</v>
      </c>
      <c r="W1539" t="s">
        <v>2495</v>
      </c>
      <c r="X1539" s="11" t="str">
        <f t="shared" si="82"/>
        <v>http://www.em.gov.bc.ca/mining/geolsurv/terrain&amp;soils/frbcguid.htm</v>
      </c>
      <c r="Y1539" t="s">
        <v>2489</v>
      </c>
      <c r="Z1539" s="11" t="str">
        <f>HYPERLINK("http://www.em.gov.bc.ca/mining/geolsurv/terrain&amp;soils/frbcguid.htm","http://www.em.gov.bc.ca/mining/geolsurv/terrain&amp;soils/frbcguid.htm")</f>
        <v>http://www.em.gov.bc.ca/mining/geolsurv/terrain&amp;soils/frbcguid.htm</v>
      </c>
      <c r="AA1539" t="s">
        <v>269</v>
      </c>
      <c r="AB1539" s="11" t="str">
        <f t="shared" ref="AB1539:AB1554" si="87">HYPERLINK("http://www.library.for.gov.bc.ca/#focus","http://www.library.for.gov.bc.ca/#focus")</f>
        <v>http://www.library.for.gov.bc.ca/#focus</v>
      </c>
      <c r="AC1539" t="s">
        <v>2500</v>
      </c>
      <c r="AD1539" s="11" t="str">
        <f>HYPERLINK("http://www.crownpub.bc.ca/","http://www.crownpub.bc.ca/")</f>
        <v>http://www.crownpub.bc.ca/</v>
      </c>
      <c r="AE1539" t="s">
        <v>58</v>
      </c>
      <c r="AG1539" t="s">
        <v>63</v>
      </c>
      <c r="AH1539" s="11" t="str">
        <f t="shared" si="86"/>
        <v>mailto: soilterrain@victoria1.gov.bc.ca</v>
      </c>
    </row>
    <row r="1540" spans="1:34">
      <c r="A1540" t="s">
        <v>3602</v>
      </c>
      <c r="B1540" t="s">
        <v>56</v>
      </c>
      <c r="C1540" s="10" t="s">
        <v>210</v>
      </c>
      <c r="D1540" t="s">
        <v>58</v>
      </c>
      <c r="E1540" t="s">
        <v>3058</v>
      </c>
      <c r="F1540" t="s">
        <v>3603</v>
      </c>
      <c r="G1540">
        <v>50000</v>
      </c>
      <c r="H1540">
        <v>1978</v>
      </c>
      <c r="I1540" t="s">
        <v>3060</v>
      </c>
      <c r="J1540" t="s">
        <v>58</v>
      </c>
      <c r="K1540" t="s">
        <v>58</v>
      </c>
      <c r="L1540" t="s">
        <v>61</v>
      </c>
      <c r="M1540" t="s">
        <v>58</v>
      </c>
      <c r="Q1540" t="s">
        <v>58</v>
      </c>
      <c r="R1540" s="11" t="str">
        <f>HYPERLINK("\\imagefiles.bcgov\imagery\scanned_maps\moe_terrain_maps\Scanned_T_maps_all\K10\K10-1858","\\imagefiles.bcgov\imagery\scanned_maps\moe_terrain_maps\Scanned_T_maps_all\K10\K10-1858")</f>
        <v>\\imagefiles.bcgov\imagery\scanned_maps\moe_terrain_maps\Scanned_T_maps_all\K10\K10-1858</v>
      </c>
      <c r="S1540" t="s">
        <v>62</v>
      </c>
      <c r="T1540" s="11" t="str">
        <f>HYPERLINK("http://www.env.gov.bc.ca/esd/distdata/ecosystems/TEI_Scanned_Maps/K10/K10-1858","http://www.env.gov.bc.ca/esd/distdata/ecosystems/TEI_Scanned_Maps/K10/K10-1858")</f>
        <v>http://www.env.gov.bc.ca/esd/distdata/ecosystems/TEI_Scanned_Maps/K10/K10-1858</v>
      </c>
      <c r="U1540" t="s">
        <v>2487</v>
      </c>
      <c r="V1540" s="11" t="str">
        <f>HYPERLINK("http://res.agr.ca/cansis/publications/surveys/bc/","http://res.agr.ca/cansis/publications/surveys/bc/")</f>
        <v>http://res.agr.ca/cansis/publications/surveys/bc/</v>
      </c>
      <c r="W1540" t="s">
        <v>2495</v>
      </c>
      <c r="X1540" s="11" t="str">
        <f t="shared" si="82"/>
        <v>http://www.em.gov.bc.ca/mining/geolsurv/terrain&amp;soils/frbcguid.htm</v>
      </c>
      <c r="Y1540" t="s">
        <v>2489</v>
      </c>
      <c r="Z1540" s="11" t="str">
        <f>HYPERLINK("http://www.em.gov.bc.ca/mining/geolsurv/terrain&amp;soils/frbcguid.htm","http://www.em.gov.bc.ca/mining/geolsurv/terrain&amp;soils/frbcguid.htm")</f>
        <v>http://www.em.gov.bc.ca/mining/geolsurv/terrain&amp;soils/frbcguid.htm</v>
      </c>
      <c r="AA1540" t="s">
        <v>269</v>
      </c>
      <c r="AB1540" s="11" t="str">
        <f t="shared" si="87"/>
        <v>http://www.library.for.gov.bc.ca/#focus</v>
      </c>
      <c r="AC1540" t="s">
        <v>2500</v>
      </c>
      <c r="AD1540" s="11" t="str">
        <f>HYPERLINK("http://www.crownpub.bc.ca/","http://www.crownpub.bc.ca/")</f>
        <v>http://www.crownpub.bc.ca/</v>
      </c>
      <c r="AE1540" t="s">
        <v>58</v>
      </c>
      <c r="AG1540" t="s">
        <v>63</v>
      </c>
      <c r="AH1540" s="11" t="str">
        <f t="shared" si="86"/>
        <v>mailto: soilterrain@victoria1.gov.bc.ca</v>
      </c>
    </row>
    <row r="1541" spans="1:34">
      <c r="A1541" t="s">
        <v>3604</v>
      </c>
      <c r="B1541" t="s">
        <v>56</v>
      </c>
      <c r="C1541" s="10" t="s">
        <v>213</v>
      </c>
      <c r="D1541" t="s">
        <v>58</v>
      </c>
      <c r="E1541" t="s">
        <v>3058</v>
      </c>
      <c r="F1541" t="s">
        <v>3605</v>
      </c>
      <c r="G1541">
        <v>50000</v>
      </c>
      <c r="H1541">
        <v>1988</v>
      </c>
      <c r="I1541" t="s">
        <v>3060</v>
      </c>
      <c r="J1541" t="s">
        <v>58</v>
      </c>
      <c r="K1541" t="s">
        <v>58</v>
      </c>
      <c r="L1541" t="s">
        <v>61</v>
      </c>
      <c r="M1541" t="s">
        <v>58</v>
      </c>
      <c r="Q1541" t="s">
        <v>58</v>
      </c>
      <c r="R1541" s="11" t="str">
        <f>HYPERLINK("\\imagefiles.bcgov\imagery\scanned_maps\moe_terrain_maps\Scanned_T_maps_all\K10\K10-1860","\\imagefiles.bcgov\imagery\scanned_maps\moe_terrain_maps\Scanned_T_maps_all\K10\K10-1860")</f>
        <v>\\imagefiles.bcgov\imagery\scanned_maps\moe_terrain_maps\Scanned_T_maps_all\K10\K10-1860</v>
      </c>
      <c r="S1541" t="s">
        <v>62</v>
      </c>
      <c r="T1541" s="11" t="str">
        <f>HYPERLINK("http://www.env.gov.bc.ca/esd/distdata/ecosystems/TEI_Scanned_Maps/K10/K10-1860","http://www.env.gov.bc.ca/esd/distdata/ecosystems/TEI_Scanned_Maps/K10/K10-1860")</f>
        <v>http://www.env.gov.bc.ca/esd/distdata/ecosystems/TEI_Scanned_Maps/K10/K10-1860</v>
      </c>
      <c r="U1541" t="s">
        <v>2487</v>
      </c>
      <c r="V1541" s="11" t="str">
        <f>HYPERLINK("http://res.agr.ca/cansis/publications/surveys/bc/","http://res.agr.ca/cansis/publications/surveys/bc/")</f>
        <v>http://res.agr.ca/cansis/publications/surveys/bc/</v>
      </c>
      <c r="W1541" t="s">
        <v>2495</v>
      </c>
      <c r="X1541" s="11" t="str">
        <f t="shared" si="82"/>
        <v>http://www.em.gov.bc.ca/mining/geolsurv/terrain&amp;soils/frbcguid.htm</v>
      </c>
      <c r="Y1541" t="s">
        <v>2489</v>
      </c>
      <c r="Z1541" s="11" t="str">
        <f>HYPERLINK("http://www.em.gov.bc.ca/mining/geolsurv/terrain&amp;soils/frbcguid.htm","http://www.em.gov.bc.ca/mining/geolsurv/terrain&amp;soils/frbcguid.htm")</f>
        <v>http://www.em.gov.bc.ca/mining/geolsurv/terrain&amp;soils/frbcguid.htm</v>
      </c>
      <c r="AA1541" t="s">
        <v>269</v>
      </c>
      <c r="AB1541" s="11" t="str">
        <f t="shared" si="87"/>
        <v>http://www.library.for.gov.bc.ca/#focus</v>
      </c>
      <c r="AC1541" t="s">
        <v>2500</v>
      </c>
      <c r="AD1541" s="11" t="str">
        <f>HYPERLINK("http://www.crownpub.bc.ca/","http://www.crownpub.bc.ca/")</f>
        <v>http://www.crownpub.bc.ca/</v>
      </c>
      <c r="AE1541" t="s">
        <v>58</v>
      </c>
      <c r="AG1541" t="s">
        <v>63</v>
      </c>
      <c r="AH1541" s="11" t="str">
        <f t="shared" si="86"/>
        <v>mailto: soilterrain@victoria1.gov.bc.ca</v>
      </c>
    </row>
    <row r="1542" spans="1:34">
      <c r="A1542" t="s">
        <v>3606</v>
      </c>
      <c r="B1542" t="s">
        <v>56</v>
      </c>
      <c r="C1542" s="10" t="s">
        <v>216</v>
      </c>
      <c r="D1542" t="s">
        <v>58</v>
      </c>
      <c r="E1542" t="s">
        <v>3058</v>
      </c>
      <c r="F1542" t="s">
        <v>3607</v>
      </c>
      <c r="G1542">
        <v>50000</v>
      </c>
      <c r="H1542">
        <v>1988</v>
      </c>
      <c r="I1542" t="s">
        <v>3060</v>
      </c>
      <c r="J1542" t="s">
        <v>58</v>
      </c>
      <c r="K1542" t="s">
        <v>58</v>
      </c>
      <c r="L1542" t="s">
        <v>61</v>
      </c>
      <c r="M1542" t="s">
        <v>58</v>
      </c>
      <c r="Q1542" t="s">
        <v>58</v>
      </c>
      <c r="R1542" s="11" t="str">
        <f>HYPERLINK("\\imagefiles.bcgov\imagery\scanned_maps\moe_terrain_maps\Scanned_T_maps_all\K10\K10-1861","\\imagefiles.bcgov\imagery\scanned_maps\moe_terrain_maps\Scanned_T_maps_all\K10\K10-1861")</f>
        <v>\\imagefiles.bcgov\imagery\scanned_maps\moe_terrain_maps\Scanned_T_maps_all\K10\K10-1861</v>
      </c>
      <c r="S1542" t="s">
        <v>62</v>
      </c>
      <c r="T1542" s="11" t="str">
        <f>HYPERLINK("http://www.env.gov.bc.ca/esd/distdata/ecosystems/TEI_Scanned_Maps/K10/K10-1861","http://www.env.gov.bc.ca/esd/distdata/ecosystems/TEI_Scanned_Maps/K10/K10-1861")</f>
        <v>http://www.env.gov.bc.ca/esd/distdata/ecosystems/TEI_Scanned_Maps/K10/K10-1861</v>
      </c>
      <c r="U1542" t="s">
        <v>2487</v>
      </c>
      <c r="V1542" s="11" t="str">
        <f>HYPERLINK("http://res.agr.ca/cansis/publications/surveys/bc/","http://res.agr.ca/cansis/publications/surveys/bc/")</f>
        <v>http://res.agr.ca/cansis/publications/surveys/bc/</v>
      </c>
      <c r="W1542" t="s">
        <v>2495</v>
      </c>
      <c r="X1542" s="11" t="str">
        <f t="shared" si="82"/>
        <v>http://www.em.gov.bc.ca/mining/geolsurv/terrain&amp;soils/frbcguid.htm</v>
      </c>
      <c r="Y1542" t="s">
        <v>2489</v>
      </c>
      <c r="Z1542" s="11" t="str">
        <f>HYPERLINK("http://www.em.gov.bc.ca/mining/geolsurv/terrain&amp;soils/frbcguid.htm","http://www.em.gov.bc.ca/mining/geolsurv/terrain&amp;soils/frbcguid.htm")</f>
        <v>http://www.em.gov.bc.ca/mining/geolsurv/terrain&amp;soils/frbcguid.htm</v>
      </c>
      <c r="AA1542" t="s">
        <v>269</v>
      </c>
      <c r="AB1542" s="11" t="str">
        <f t="shared" si="87"/>
        <v>http://www.library.for.gov.bc.ca/#focus</v>
      </c>
      <c r="AC1542" t="s">
        <v>2500</v>
      </c>
      <c r="AD1542" s="11" t="str">
        <f>HYPERLINK("http://www.crownpub.bc.ca/","http://www.crownpub.bc.ca/")</f>
        <v>http://www.crownpub.bc.ca/</v>
      </c>
      <c r="AE1542" t="s">
        <v>58</v>
      </c>
      <c r="AG1542" t="s">
        <v>63</v>
      </c>
      <c r="AH1542" s="11" t="str">
        <f t="shared" si="86"/>
        <v>mailto: soilterrain@victoria1.gov.bc.ca</v>
      </c>
    </row>
    <row r="1543" spans="1:34">
      <c r="A1543" t="s">
        <v>3608</v>
      </c>
      <c r="B1543" t="s">
        <v>56</v>
      </c>
      <c r="C1543" s="10" t="s">
        <v>291</v>
      </c>
      <c r="D1543" t="s">
        <v>58</v>
      </c>
      <c r="E1543" t="s">
        <v>3511</v>
      </c>
      <c r="F1543" t="s">
        <v>3609</v>
      </c>
      <c r="G1543">
        <v>50000</v>
      </c>
      <c r="H1543">
        <v>1988</v>
      </c>
      <c r="I1543" t="s">
        <v>3513</v>
      </c>
      <c r="J1543" t="s">
        <v>58</v>
      </c>
      <c r="K1543" t="s">
        <v>58</v>
      </c>
      <c r="L1543" t="s">
        <v>61</v>
      </c>
      <c r="M1543" t="s">
        <v>58</v>
      </c>
      <c r="Q1543" t="s">
        <v>58</v>
      </c>
      <c r="R1543" s="11" t="str">
        <f>HYPERLINK("\\imagefiles.bcgov\imagery\scanned_maps\moe_terrain_maps\Scanned_T_maps_all\K10\K10-1884","\\imagefiles.bcgov\imagery\scanned_maps\moe_terrain_maps\Scanned_T_maps_all\K10\K10-1884")</f>
        <v>\\imagefiles.bcgov\imagery\scanned_maps\moe_terrain_maps\Scanned_T_maps_all\K10\K10-1884</v>
      </c>
      <c r="S1543" t="s">
        <v>62</v>
      </c>
      <c r="T1543" s="11" t="str">
        <f>HYPERLINK("http://www.env.gov.bc.ca/esd/distdata/ecosystems/TEI_Scanned_Maps/K10/K10-1884","http://www.env.gov.bc.ca/esd/distdata/ecosystems/TEI_Scanned_Maps/K10/K10-1884")</f>
        <v>http://www.env.gov.bc.ca/esd/distdata/ecosystems/TEI_Scanned_Maps/K10/K10-1884</v>
      </c>
      <c r="U1543" t="s">
        <v>2495</v>
      </c>
      <c r="V1543" s="11" t="str">
        <f t="shared" ref="V1543:V1554" si="88">HYPERLINK("http://www.em.gov.bc.ca/mining/geolsurv/terrain&amp;soils/frbcguid.htm","http://www.em.gov.bc.ca/mining/geolsurv/terrain&amp;soils/frbcguid.htm")</f>
        <v>http://www.em.gov.bc.ca/mining/geolsurv/terrain&amp;soils/frbcguid.htm</v>
      </c>
      <c r="W1543" t="s">
        <v>2489</v>
      </c>
      <c r="X1543" s="11" t="str">
        <f t="shared" si="82"/>
        <v>http://www.em.gov.bc.ca/mining/geolsurv/terrain&amp;soils/frbcguid.htm</v>
      </c>
      <c r="Y1543" t="s">
        <v>2490</v>
      </c>
      <c r="Z1543" s="11" t="str">
        <f t="shared" ref="Z1543:Z1554" si="89">HYPERLINK("http://res.agr.ca/cansis/publications/surveys/bc/","http://res.agr.ca/cansis/publications/surveys/bc/")</f>
        <v>http://res.agr.ca/cansis/publications/surveys/bc/</v>
      </c>
      <c r="AA1543" t="s">
        <v>269</v>
      </c>
      <c r="AB1543" s="11" t="str">
        <f t="shared" si="87"/>
        <v>http://www.library.for.gov.bc.ca/#focus</v>
      </c>
      <c r="AC1543" t="s">
        <v>58</v>
      </c>
      <c r="AE1543" t="s">
        <v>58</v>
      </c>
      <c r="AG1543" t="s">
        <v>63</v>
      </c>
      <c r="AH1543" s="11" t="str">
        <f t="shared" si="86"/>
        <v>mailto: soilterrain@victoria1.gov.bc.ca</v>
      </c>
    </row>
    <row r="1544" spans="1:34">
      <c r="A1544" t="s">
        <v>3610</v>
      </c>
      <c r="B1544" t="s">
        <v>56</v>
      </c>
      <c r="C1544" s="10" t="s">
        <v>1341</v>
      </c>
      <c r="D1544" t="s">
        <v>58</v>
      </c>
      <c r="E1544" t="s">
        <v>3511</v>
      </c>
      <c r="F1544" t="s">
        <v>3611</v>
      </c>
      <c r="G1544">
        <v>50000</v>
      </c>
      <c r="H1544">
        <v>1987</v>
      </c>
      <c r="I1544" t="s">
        <v>3513</v>
      </c>
      <c r="J1544" t="s">
        <v>58</v>
      </c>
      <c r="K1544" t="s">
        <v>58</v>
      </c>
      <c r="L1544" t="s">
        <v>61</v>
      </c>
      <c r="M1544" t="s">
        <v>58</v>
      </c>
      <c r="Q1544" t="s">
        <v>58</v>
      </c>
      <c r="R1544" s="11" t="str">
        <f>HYPERLINK("\\imagefiles.bcgov\imagery\scanned_maps\moe_terrain_maps\Scanned_T_maps_all\K10\K10-1887","\\imagefiles.bcgov\imagery\scanned_maps\moe_terrain_maps\Scanned_T_maps_all\K10\K10-1887")</f>
        <v>\\imagefiles.bcgov\imagery\scanned_maps\moe_terrain_maps\Scanned_T_maps_all\K10\K10-1887</v>
      </c>
      <c r="S1544" t="s">
        <v>62</v>
      </c>
      <c r="T1544" s="11" t="str">
        <f>HYPERLINK("http://www.env.gov.bc.ca/esd/distdata/ecosystems/TEI_Scanned_Maps/K10/K10-1887","http://www.env.gov.bc.ca/esd/distdata/ecosystems/TEI_Scanned_Maps/K10/K10-1887")</f>
        <v>http://www.env.gov.bc.ca/esd/distdata/ecosystems/TEI_Scanned_Maps/K10/K10-1887</v>
      </c>
      <c r="U1544" t="s">
        <v>2495</v>
      </c>
      <c r="V1544" s="11" t="str">
        <f t="shared" si="88"/>
        <v>http://www.em.gov.bc.ca/mining/geolsurv/terrain&amp;soils/frbcguid.htm</v>
      </c>
      <c r="W1544" t="s">
        <v>2489</v>
      </c>
      <c r="X1544" s="11" t="str">
        <f t="shared" si="82"/>
        <v>http://www.em.gov.bc.ca/mining/geolsurv/terrain&amp;soils/frbcguid.htm</v>
      </c>
      <c r="Y1544" t="s">
        <v>2490</v>
      </c>
      <c r="Z1544" s="11" t="str">
        <f t="shared" si="89"/>
        <v>http://res.agr.ca/cansis/publications/surveys/bc/</v>
      </c>
      <c r="AA1544" t="s">
        <v>269</v>
      </c>
      <c r="AB1544" s="11" t="str">
        <f t="shared" si="87"/>
        <v>http://www.library.for.gov.bc.ca/#focus</v>
      </c>
      <c r="AC1544" t="s">
        <v>58</v>
      </c>
      <c r="AE1544" t="s">
        <v>58</v>
      </c>
      <c r="AG1544" t="s">
        <v>63</v>
      </c>
      <c r="AH1544" s="11" t="str">
        <f t="shared" si="86"/>
        <v>mailto: soilterrain@victoria1.gov.bc.ca</v>
      </c>
    </row>
    <row r="1545" spans="1:34">
      <c r="A1545" t="s">
        <v>3612</v>
      </c>
      <c r="B1545" t="s">
        <v>56</v>
      </c>
      <c r="C1545" s="10" t="s">
        <v>3613</v>
      </c>
      <c r="D1545" t="s">
        <v>58</v>
      </c>
      <c r="E1545" t="s">
        <v>3511</v>
      </c>
      <c r="F1545" t="s">
        <v>3614</v>
      </c>
      <c r="G1545">
        <v>50000</v>
      </c>
      <c r="H1545" t="s">
        <v>187</v>
      </c>
      <c r="I1545" t="s">
        <v>3513</v>
      </c>
      <c r="J1545" t="s">
        <v>58</v>
      </c>
      <c r="K1545" t="s">
        <v>58</v>
      </c>
      <c r="L1545" t="s">
        <v>61</v>
      </c>
      <c r="M1545" t="s">
        <v>58</v>
      </c>
      <c r="Q1545" t="s">
        <v>58</v>
      </c>
      <c r="R1545" s="11" t="str">
        <f>HYPERLINK("\\imagefiles.bcgov\imagery\scanned_maps\moe_terrain_maps\Scanned_T_maps_all\K10\K10-1888","\\imagefiles.bcgov\imagery\scanned_maps\moe_terrain_maps\Scanned_T_maps_all\K10\K10-1888")</f>
        <v>\\imagefiles.bcgov\imagery\scanned_maps\moe_terrain_maps\Scanned_T_maps_all\K10\K10-1888</v>
      </c>
      <c r="S1545" t="s">
        <v>62</v>
      </c>
      <c r="T1545" s="11" t="str">
        <f>HYPERLINK("http://www.env.gov.bc.ca/esd/distdata/ecosystems/TEI_Scanned_Maps/K10/K10-1888","http://www.env.gov.bc.ca/esd/distdata/ecosystems/TEI_Scanned_Maps/K10/K10-1888")</f>
        <v>http://www.env.gov.bc.ca/esd/distdata/ecosystems/TEI_Scanned_Maps/K10/K10-1888</v>
      </c>
      <c r="U1545" t="s">
        <v>2495</v>
      </c>
      <c r="V1545" s="11" t="str">
        <f t="shared" si="88"/>
        <v>http://www.em.gov.bc.ca/mining/geolsurv/terrain&amp;soils/frbcguid.htm</v>
      </c>
      <c r="W1545" t="s">
        <v>2489</v>
      </c>
      <c r="X1545" s="11" t="str">
        <f t="shared" si="82"/>
        <v>http://www.em.gov.bc.ca/mining/geolsurv/terrain&amp;soils/frbcguid.htm</v>
      </c>
      <c r="Y1545" t="s">
        <v>2490</v>
      </c>
      <c r="Z1545" s="11" t="str">
        <f t="shared" si="89"/>
        <v>http://res.agr.ca/cansis/publications/surveys/bc/</v>
      </c>
      <c r="AA1545" t="s">
        <v>269</v>
      </c>
      <c r="AB1545" s="11" t="str">
        <f t="shared" si="87"/>
        <v>http://www.library.for.gov.bc.ca/#focus</v>
      </c>
      <c r="AC1545" t="s">
        <v>58</v>
      </c>
      <c r="AE1545" t="s">
        <v>58</v>
      </c>
      <c r="AG1545" t="s">
        <v>63</v>
      </c>
      <c r="AH1545" s="11" t="str">
        <f t="shared" si="86"/>
        <v>mailto: soilterrain@victoria1.gov.bc.ca</v>
      </c>
    </row>
    <row r="1546" spans="1:34">
      <c r="A1546" t="s">
        <v>3615</v>
      </c>
      <c r="B1546" t="s">
        <v>56</v>
      </c>
      <c r="C1546" s="10" t="s">
        <v>3616</v>
      </c>
      <c r="D1546" t="s">
        <v>58</v>
      </c>
      <c r="E1546" t="s">
        <v>3511</v>
      </c>
      <c r="F1546" t="s">
        <v>3617</v>
      </c>
      <c r="G1546">
        <v>50000</v>
      </c>
      <c r="H1546">
        <v>1985</v>
      </c>
      <c r="I1546" t="s">
        <v>3513</v>
      </c>
      <c r="J1546" t="s">
        <v>58</v>
      </c>
      <c r="K1546" t="s">
        <v>58</v>
      </c>
      <c r="L1546" t="s">
        <v>61</v>
      </c>
      <c r="M1546" t="s">
        <v>58</v>
      </c>
      <c r="Q1546" t="s">
        <v>58</v>
      </c>
      <c r="R1546" s="11" t="str">
        <f>HYPERLINK("\\imagefiles.bcgov\imagery\scanned_maps\moe_terrain_maps\Scanned_T_maps_all\K10\K10-1889","\\imagefiles.bcgov\imagery\scanned_maps\moe_terrain_maps\Scanned_T_maps_all\K10\K10-1889")</f>
        <v>\\imagefiles.bcgov\imagery\scanned_maps\moe_terrain_maps\Scanned_T_maps_all\K10\K10-1889</v>
      </c>
      <c r="S1546" t="s">
        <v>62</v>
      </c>
      <c r="T1546" s="11" t="str">
        <f>HYPERLINK("http://www.env.gov.bc.ca/esd/distdata/ecosystems/TEI_Scanned_Maps/K10/K10-1889","http://www.env.gov.bc.ca/esd/distdata/ecosystems/TEI_Scanned_Maps/K10/K10-1889")</f>
        <v>http://www.env.gov.bc.ca/esd/distdata/ecosystems/TEI_Scanned_Maps/K10/K10-1889</v>
      </c>
      <c r="U1546" t="s">
        <v>2495</v>
      </c>
      <c r="V1546" s="11" t="str">
        <f t="shared" si="88"/>
        <v>http://www.em.gov.bc.ca/mining/geolsurv/terrain&amp;soils/frbcguid.htm</v>
      </c>
      <c r="W1546" t="s">
        <v>2489</v>
      </c>
      <c r="X1546" s="11" t="str">
        <f t="shared" si="82"/>
        <v>http://www.em.gov.bc.ca/mining/geolsurv/terrain&amp;soils/frbcguid.htm</v>
      </c>
      <c r="Y1546" t="s">
        <v>2490</v>
      </c>
      <c r="Z1546" s="11" t="str">
        <f t="shared" si="89"/>
        <v>http://res.agr.ca/cansis/publications/surveys/bc/</v>
      </c>
      <c r="AA1546" t="s">
        <v>269</v>
      </c>
      <c r="AB1546" s="11" t="str">
        <f t="shared" si="87"/>
        <v>http://www.library.for.gov.bc.ca/#focus</v>
      </c>
      <c r="AC1546" t="s">
        <v>58</v>
      </c>
      <c r="AE1546" t="s">
        <v>58</v>
      </c>
      <c r="AG1546" t="s">
        <v>63</v>
      </c>
      <c r="AH1546" s="11" t="str">
        <f t="shared" si="86"/>
        <v>mailto: soilterrain@victoria1.gov.bc.ca</v>
      </c>
    </row>
    <row r="1547" spans="1:34">
      <c r="A1547" t="s">
        <v>3618</v>
      </c>
      <c r="B1547" t="s">
        <v>56</v>
      </c>
      <c r="C1547" s="10" t="s">
        <v>3619</v>
      </c>
      <c r="D1547" t="s">
        <v>58</v>
      </c>
      <c r="E1547" t="s">
        <v>3511</v>
      </c>
      <c r="F1547" t="s">
        <v>3620</v>
      </c>
      <c r="G1547">
        <v>50000</v>
      </c>
      <c r="H1547">
        <v>1985</v>
      </c>
      <c r="I1547" t="s">
        <v>3513</v>
      </c>
      <c r="J1547" t="s">
        <v>58</v>
      </c>
      <c r="K1547" t="s">
        <v>58</v>
      </c>
      <c r="L1547" t="s">
        <v>61</v>
      </c>
      <c r="M1547" t="s">
        <v>58</v>
      </c>
      <c r="Q1547" t="s">
        <v>58</v>
      </c>
      <c r="R1547" s="11" t="str">
        <f>HYPERLINK("\\imagefiles.bcgov\imagery\scanned_maps\moe_terrain_maps\Scanned_T_maps_all\K10\K10-1890","\\imagefiles.bcgov\imagery\scanned_maps\moe_terrain_maps\Scanned_T_maps_all\K10\K10-1890")</f>
        <v>\\imagefiles.bcgov\imagery\scanned_maps\moe_terrain_maps\Scanned_T_maps_all\K10\K10-1890</v>
      </c>
      <c r="S1547" t="s">
        <v>62</v>
      </c>
      <c r="T1547" s="11" t="str">
        <f>HYPERLINK("http://www.env.gov.bc.ca/esd/distdata/ecosystems/TEI_Scanned_Maps/K10/K10-1890","http://www.env.gov.bc.ca/esd/distdata/ecosystems/TEI_Scanned_Maps/K10/K10-1890")</f>
        <v>http://www.env.gov.bc.ca/esd/distdata/ecosystems/TEI_Scanned_Maps/K10/K10-1890</v>
      </c>
      <c r="U1547" t="s">
        <v>2495</v>
      </c>
      <c r="V1547" s="11" t="str">
        <f t="shared" si="88"/>
        <v>http://www.em.gov.bc.ca/mining/geolsurv/terrain&amp;soils/frbcguid.htm</v>
      </c>
      <c r="W1547" t="s">
        <v>2489</v>
      </c>
      <c r="X1547" s="11" t="str">
        <f t="shared" si="82"/>
        <v>http://www.em.gov.bc.ca/mining/geolsurv/terrain&amp;soils/frbcguid.htm</v>
      </c>
      <c r="Y1547" t="s">
        <v>2490</v>
      </c>
      <c r="Z1547" s="11" t="str">
        <f t="shared" si="89"/>
        <v>http://res.agr.ca/cansis/publications/surveys/bc/</v>
      </c>
      <c r="AA1547" t="s">
        <v>269</v>
      </c>
      <c r="AB1547" s="11" t="str">
        <f t="shared" si="87"/>
        <v>http://www.library.for.gov.bc.ca/#focus</v>
      </c>
      <c r="AC1547" t="s">
        <v>58</v>
      </c>
      <c r="AE1547" t="s">
        <v>58</v>
      </c>
      <c r="AG1547" t="s">
        <v>63</v>
      </c>
      <c r="AH1547" s="11" t="str">
        <f t="shared" si="86"/>
        <v>mailto: soilterrain@victoria1.gov.bc.ca</v>
      </c>
    </row>
    <row r="1548" spans="1:34">
      <c r="A1548" t="s">
        <v>3621</v>
      </c>
      <c r="B1548" t="s">
        <v>56</v>
      </c>
      <c r="C1548" s="10" t="s">
        <v>294</v>
      </c>
      <c r="D1548" t="s">
        <v>58</v>
      </c>
      <c r="E1548" t="s">
        <v>3511</v>
      </c>
      <c r="F1548" t="s">
        <v>3622</v>
      </c>
      <c r="G1548">
        <v>50000</v>
      </c>
      <c r="H1548">
        <v>1985</v>
      </c>
      <c r="I1548" t="s">
        <v>3513</v>
      </c>
      <c r="J1548" t="s">
        <v>58</v>
      </c>
      <c r="K1548" t="s">
        <v>58</v>
      </c>
      <c r="L1548" t="s">
        <v>61</v>
      </c>
      <c r="M1548" t="s">
        <v>58</v>
      </c>
      <c r="Q1548" t="s">
        <v>58</v>
      </c>
      <c r="R1548" s="11" t="str">
        <f>HYPERLINK("\\imagefiles.bcgov\imagery\scanned_maps\moe_terrain_maps\Scanned_T_maps_all\K10\K10-1891","\\imagefiles.bcgov\imagery\scanned_maps\moe_terrain_maps\Scanned_T_maps_all\K10\K10-1891")</f>
        <v>\\imagefiles.bcgov\imagery\scanned_maps\moe_terrain_maps\Scanned_T_maps_all\K10\K10-1891</v>
      </c>
      <c r="S1548" t="s">
        <v>62</v>
      </c>
      <c r="T1548" s="11" t="str">
        <f>HYPERLINK("http://www.env.gov.bc.ca/esd/distdata/ecosystems/TEI_Scanned_Maps/K10/K10-1891","http://www.env.gov.bc.ca/esd/distdata/ecosystems/TEI_Scanned_Maps/K10/K10-1891")</f>
        <v>http://www.env.gov.bc.ca/esd/distdata/ecosystems/TEI_Scanned_Maps/K10/K10-1891</v>
      </c>
      <c r="U1548" t="s">
        <v>2495</v>
      </c>
      <c r="V1548" s="11" t="str">
        <f t="shared" si="88"/>
        <v>http://www.em.gov.bc.ca/mining/geolsurv/terrain&amp;soils/frbcguid.htm</v>
      </c>
      <c r="W1548" t="s">
        <v>2489</v>
      </c>
      <c r="X1548" s="11" t="str">
        <f t="shared" si="82"/>
        <v>http://www.em.gov.bc.ca/mining/geolsurv/terrain&amp;soils/frbcguid.htm</v>
      </c>
      <c r="Y1548" t="s">
        <v>2490</v>
      </c>
      <c r="Z1548" s="11" t="str">
        <f t="shared" si="89"/>
        <v>http://res.agr.ca/cansis/publications/surveys/bc/</v>
      </c>
      <c r="AA1548" t="s">
        <v>269</v>
      </c>
      <c r="AB1548" s="11" t="str">
        <f t="shared" si="87"/>
        <v>http://www.library.for.gov.bc.ca/#focus</v>
      </c>
      <c r="AC1548" t="s">
        <v>58</v>
      </c>
      <c r="AE1548" t="s">
        <v>58</v>
      </c>
      <c r="AG1548" t="s">
        <v>63</v>
      </c>
      <c r="AH1548" s="11" t="str">
        <f t="shared" si="86"/>
        <v>mailto: soilterrain@victoria1.gov.bc.ca</v>
      </c>
    </row>
    <row r="1549" spans="1:34">
      <c r="A1549" t="s">
        <v>3623</v>
      </c>
      <c r="B1549" t="s">
        <v>56</v>
      </c>
      <c r="C1549" s="10" t="s">
        <v>1344</v>
      </c>
      <c r="D1549" t="s">
        <v>58</v>
      </c>
      <c r="E1549" t="s">
        <v>3511</v>
      </c>
      <c r="F1549" t="s">
        <v>3624</v>
      </c>
      <c r="G1549">
        <v>50000</v>
      </c>
      <c r="H1549">
        <v>1985</v>
      </c>
      <c r="I1549" t="s">
        <v>3513</v>
      </c>
      <c r="J1549" t="s">
        <v>58</v>
      </c>
      <c r="K1549" t="s">
        <v>58</v>
      </c>
      <c r="L1549" t="s">
        <v>61</v>
      </c>
      <c r="M1549" t="s">
        <v>58</v>
      </c>
      <c r="Q1549" t="s">
        <v>58</v>
      </c>
      <c r="R1549" s="11" t="str">
        <f>HYPERLINK("\\imagefiles.bcgov\imagery\scanned_maps\moe_terrain_maps\Scanned_T_maps_all\K10\K10-1893","\\imagefiles.bcgov\imagery\scanned_maps\moe_terrain_maps\Scanned_T_maps_all\K10\K10-1893")</f>
        <v>\\imagefiles.bcgov\imagery\scanned_maps\moe_terrain_maps\Scanned_T_maps_all\K10\K10-1893</v>
      </c>
      <c r="S1549" t="s">
        <v>62</v>
      </c>
      <c r="T1549" s="11" t="str">
        <f>HYPERLINK("http://www.env.gov.bc.ca/esd/distdata/ecosystems/TEI_Scanned_Maps/K10/K10-1893","http://www.env.gov.bc.ca/esd/distdata/ecosystems/TEI_Scanned_Maps/K10/K10-1893")</f>
        <v>http://www.env.gov.bc.ca/esd/distdata/ecosystems/TEI_Scanned_Maps/K10/K10-1893</v>
      </c>
      <c r="U1549" t="s">
        <v>2495</v>
      </c>
      <c r="V1549" s="11" t="str">
        <f t="shared" si="88"/>
        <v>http://www.em.gov.bc.ca/mining/geolsurv/terrain&amp;soils/frbcguid.htm</v>
      </c>
      <c r="W1549" t="s">
        <v>2489</v>
      </c>
      <c r="X1549" s="11" t="str">
        <f t="shared" si="82"/>
        <v>http://www.em.gov.bc.ca/mining/geolsurv/terrain&amp;soils/frbcguid.htm</v>
      </c>
      <c r="Y1549" t="s">
        <v>2490</v>
      </c>
      <c r="Z1549" s="11" t="str">
        <f t="shared" si="89"/>
        <v>http://res.agr.ca/cansis/publications/surveys/bc/</v>
      </c>
      <c r="AA1549" t="s">
        <v>269</v>
      </c>
      <c r="AB1549" s="11" t="str">
        <f t="shared" si="87"/>
        <v>http://www.library.for.gov.bc.ca/#focus</v>
      </c>
      <c r="AC1549" t="s">
        <v>58</v>
      </c>
      <c r="AE1549" t="s">
        <v>58</v>
      </c>
      <c r="AG1549" t="s">
        <v>63</v>
      </c>
      <c r="AH1549" s="11" t="str">
        <f t="shared" si="86"/>
        <v>mailto: soilterrain@victoria1.gov.bc.ca</v>
      </c>
    </row>
    <row r="1550" spans="1:34">
      <c r="A1550" t="s">
        <v>3625</v>
      </c>
      <c r="B1550" t="s">
        <v>56</v>
      </c>
      <c r="C1550" s="10" t="s">
        <v>296</v>
      </c>
      <c r="D1550" t="s">
        <v>58</v>
      </c>
      <c r="E1550" t="s">
        <v>3511</v>
      </c>
      <c r="F1550" t="s">
        <v>3626</v>
      </c>
      <c r="G1550">
        <v>50000</v>
      </c>
      <c r="H1550">
        <v>1988</v>
      </c>
      <c r="I1550" t="s">
        <v>3513</v>
      </c>
      <c r="J1550" t="s">
        <v>58</v>
      </c>
      <c r="K1550" t="s">
        <v>58</v>
      </c>
      <c r="L1550" t="s">
        <v>61</v>
      </c>
      <c r="M1550" t="s">
        <v>58</v>
      </c>
      <c r="Q1550" t="s">
        <v>58</v>
      </c>
      <c r="R1550" s="11" t="str">
        <f>HYPERLINK("\\imagefiles.bcgov\imagery\scanned_maps\moe_terrain_maps\Scanned_T_maps_all\K10\K10-1894","\\imagefiles.bcgov\imagery\scanned_maps\moe_terrain_maps\Scanned_T_maps_all\K10\K10-1894")</f>
        <v>\\imagefiles.bcgov\imagery\scanned_maps\moe_terrain_maps\Scanned_T_maps_all\K10\K10-1894</v>
      </c>
      <c r="S1550" t="s">
        <v>62</v>
      </c>
      <c r="T1550" s="11" t="str">
        <f>HYPERLINK("http://www.env.gov.bc.ca/esd/distdata/ecosystems/TEI_Scanned_Maps/K10/K10-1894","http://www.env.gov.bc.ca/esd/distdata/ecosystems/TEI_Scanned_Maps/K10/K10-1894")</f>
        <v>http://www.env.gov.bc.ca/esd/distdata/ecosystems/TEI_Scanned_Maps/K10/K10-1894</v>
      </c>
      <c r="U1550" t="s">
        <v>2495</v>
      </c>
      <c r="V1550" s="11" t="str">
        <f t="shared" si="88"/>
        <v>http://www.em.gov.bc.ca/mining/geolsurv/terrain&amp;soils/frbcguid.htm</v>
      </c>
      <c r="W1550" t="s">
        <v>2489</v>
      </c>
      <c r="X1550" s="11" t="str">
        <f t="shared" si="82"/>
        <v>http://www.em.gov.bc.ca/mining/geolsurv/terrain&amp;soils/frbcguid.htm</v>
      </c>
      <c r="Y1550" t="s">
        <v>2490</v>
      </c>
      <c r="Z1550" s="11" t="str">
        <f t="shared" si="89"/>
        <v>http://res.agr.ca/cansis/publications/surveys/bc/</v>
      </c>
      <c r="AA1550" t="s">
        <v>269</v>
      </c>
      <c r="AB1550" s="11" t="str">
        <f t="shared" si="87"/>
        <v>http://www.library.for.gov.bc.ca/#focus</v>
      </c>
      <c r="AC1550" t="s">
        <v>58</v>
      </c>
      <c r="AE1550" t="s">
        <v>58</v>
      </c>
      <c r="AG1550" t="s">
        <v>63</v>
      </c>
      <c r="AH1550" s="11" t="str">
        <f t="shared" si="86"/>
        <v>mailto: soilterrain@victoria1.gov.bc.ca</v>
      </c>
    </row>
    <row r="1551" spans="1:34">
      <c r="A1551" t="s">
        <v>3627</v>
      </c>
      <c r="B1551" t="s">
        <v>56</v>
      </c>
      <c r="C1551" s="10" t="s">
        <v>298</v>
      </c>
      <c r="D1551" t="s">
        <v>58</v>
      </c>
      <c r="E1551" t="s">
        <v>3511</v>
      </c>
      <c r="F1551" t="s">
        <v>3628</v>
      </c>
      <c r="G1551">
        <v>50000</v>
      </c>
      <c r="H1551">
        <v>1988</v>
      </c>
      <c r="I1551" t="s">
        <v>3513</v>
      </c>
      <c r="J1551" t="s">
        <v>58</v>
      </c>
      <c r="K1551" t="s">
        <v>58</v>
      </c>
      <c r="L1551" t="s">
        <v>61</v>
      </c>
      <c r="M1551" t="s">
        <v>58</v>
      </c>
      <c r="Q1551" t="s">
        <v>58</v>
      </c>
      <c r="R1551" s="11" t="str">
        <f>HYPERLINK("\\imagefiles.bcgov\imagery\scanned_maps\moe_terrain_maps\Scanned_T_maps_all\K10\K10-1895","\\imagefiles.bcgov\imagery\scanned_maps\moe_terrain_maps\Scanned_T_maps_all\K10\K10-1895")</f>
        <v>\\imagefiles.bcgov\imagery\scanned_maps\moe_terrain_maps\Scanned_T_maps_all\K10\K10-1895</v>
      </c>
      <c r="S1551" t="s">
        <v>62</v>
      </c>
      <c r="T1551" s="11" t="str">
        <f>HYPERLINK("http://www.env.gov.bc.ca/esd/distdata/ecosystems/TEI_Scanned_Maps/K10/K10-1895","http://www.env.gov.bc.ca/esd/distdata/ecosystems/TEI_Scanned_Maps/K10/K10-1895")</f>
        <v>http://www.env.gov.bc.ca/esd/distdata/ecosystems/TEI_Scanned_Maps/K10/K10-1895</v>
      </c>
      <c r="U1551" t="s">
        <v>2495</v>
      </c>
      <c r="V1551" s="11" t="str">
        <f t="shared" si="88"/>
        <v>http://www.em.gov.bc.ca/mining/geolsurv/terrain&amp;soils/frbcguid.htm</v>
      </c>
      <c r="W1551" t="s">
        <v>2489</v>
      </c>
      <c r="X1551" s="11" t="str">
        <f t="shared" si="82"/>
        <v>http://www.em.gov.bc.ca/mining/geolsurv/terrain&amp;soils/frbcguid.htm</v>
      </c>
      <c r="Y1551" t="s">
        <v>2490</v>
      </c>
      <c r="Z1551" s="11" t="str">
        <f t="shared" si="89"/>
        <v>http://res.agr.ca/cansis/publications/surveys/bc/</v>
      </c>
      <c r="AA1551" t="s">
        <v>269</v>
      </c>
      <c r="AB1551" s="11" t="str">
        <f t="shared" si="87"/>
        <v>http://www.library.for.gov.bc.ca/#focus</v>
      </c>
      <c r="AC1551" t="s">
        <v>58</v>
      </c>
      <c r="AE1551" t="s">
        <v>58</v>
      </c>
      <c r="AG1551" t="s">
        <v>63</v>
      </c>
      <c r="AH1551" s="11" t="str">
        <f t="shared" si="86"/>
        <v>mailto: soilterrain@victoria1.gov.bc.ca</v>
      </c>
    </row>
    <row r="1552" spans="1:34">
      <c r="A1552" t="s">
        <v>3629</v>
      </c>
      <c r="B1552" t="s">
        <v>56</v>
      </c>
      <c r="C1552" s="10" t="s">
        <v>300</v>
      </c>
      <c r="D1552" t="s">
        <v>58</v>
      </c>
      <c r="E1552" t="s">
        <v>3511</v>
      </c>
      <c r="F1552" t="s">
        <v>3630</v>
      </c>
      <c r="G1552">
        <v>50000</v>
      </c>
      <c r="H1552">
        <v>1988</v>
      </c>
      <c r="I1552" t="s">
        <v>3513</v>
      </c>
      <c r="J1552" t="s">
        <v>58</v>
      </c>
      <c r="K1552" t="s">
        <v>58</v>
      </c>
      <c r="L1552" t="s">
        <v>61</v>
      </c>
      <c r="M1552" t="s">
        <v>58</v>
      </c>
      <c r="Q1552" t="s">
        <v>58</v>
      </c>
      <c r="R1552" s="11" t="str">
        <f>HYPERLINK("\\imagefiles.bcgov\imagery\scanned_maps\moe_terrain_maps\Scanned_T_maps_all\K10\K10-1896","\\imagefiles.bcgov\imagery\scanned_maps\moe_terrain_maps\Scanned_T_maps_all\K10\K10-1896")</f>
        <v>\\imagefiles.bcgov\imagery\scanned_maps\moe_terrain_maps\Scanned_T_maps_all\K10\K10-1896</v>
      </c>
      <c r="S1552" t="s">
        <v>62</v>
      </c>
      <c r="T1552" s="11" t="str">
        <f>HYPERLINK("http://www.env.gov.bc.ca/esd/distdata/ecosystems/TEI_Scanned_Maps/K10/K10-1896","http://www.env.gov.bc.ca/esd/distdata/ecosystems/TEI_Scanned_Maps/K10/K10-1896")</f>
        <v>http://www.env.gov.bc.ca/esd/distdata/ecosystems/TEI_Scanned_Maps/K10/K10-1896</v>
      </c>
      <c r="U1552" t="s">
        <v>2495</v>
      </c>
      <c r="V1552" s="11" t="str">
        <f t="shared" si="88"/>
        <v>http://www.em.gov.bc.ca/mining/geolsurv/terrain&amp;soils/frbcguid.htm</v>
      </c>
      <c r="W1552" t="s">
        <v>2489</v>
      </c>
      <c r="X1552" s="11" t="str">
        <f t="shared" si="82"/>
        <v>http://www.em.gov.bc.ca/mining/geolsurv/terrain&amp;soils/frbcguid.htm</v>
      </c>
      <c r="Y1552" t="s">
        <v>2490</v>
      </c>
      <c r="Z1552" s="11" t="str">
        <f t="shared" si="89"/>
        <v>http://res.agr.ca/cansis/publications/surveys/bc/</v>
      </c>
      <c r="AA1552" t="s">
        <v>269</v>
      </c>
      <c r="AB1552" s="11" t="str">
        <f t="shared" si="87"/>
        <v>http://www.library.for.gov.bc.ca/#focus</v>
      </c>
      <c r="AC1552" t="s">
        <v>58</v>
      </c>
      <c r="AE1552" t="s">
        <v>58</v>
      </c>
      <c r="AG1552" t="s">
        <v>63</v>
      </c>
      <c r="AH1552" s="11" t="str">
        <f t="shared" si="86"/>
        <v>mailto: soilterrain@victoria1.gov.bc.ca</v>
      </c>
    </row>
    <row r="1553" spans="1:34">
      <c r="A1553" t="s">
        <v>3631</v>
      </c>
      <c r="B1553" t="s">
        <v>56</v>
      </c>
      <c r="C1553" s="10" t="s">
        <v>3632</v>
      </c>
      <c r="D1553" t="s">
        <v>58</v>
      </c>
      <c r="E1553" t="s">
        <v>3511</v>
      </c>
      <c r="F1553" t="s">
        <v>3633</v>
      </c>
      <c r="G1553">
        <v>50000</v>
      </c>
      <c r="H1553">
        <v>1987</v>
      </c>
      <c r="I1553" t="s">
        <v>3513</v>
      </c>
      <c r="J1553" t="s">
        <v>58</v>
      </c>
      <c r="K1553" t="s">
        <v>58</v>
      </c>
      <c r="L1553" t="s">
        <v>61</v>
      </c>
      <c r="M1553" t="s">
        <v>58</v>
      </c>
      <c r="Q1553" t="s">
        <v>58</v>
      </c>
      <c r="R1553" s="11" t="str">
        <f>HYPERLINK("\\imagefiles.bcgov\imagery\scanned_maps\moe_terrain_maps\Scanned_T_maps_all\K10\K10-1897","\\imagefiles.bcgov\imagery\scanned_maps\moe_terrain_maps\Scanned_T_maps_all\K10\K10-1897")</f>
        <v>\\imagefiles.bcgov\imagery\scanned_maps\moe_terrain_maps\Scanned_T_maps_all\K10\K10-1897</v>
      </c>
      <c r="S1553" t="s">
        <v>62</v>
      </c>
      <c r="T1553" s="11" t="str">
        <f>HYPERLINK("http://www.env.gov.bc.ca/esd/distdata/ecosystems/TEI_Scanned_Maps/K10/K10-1897","http://www.env.gov.bc.ca/esd/distdata/ecosystems/TEI_Scanned_Maps/K10/K10-1897")</f>
        <v>http://www.env.gov.bc.ca/esd/distdata/ecosystems/TEI_Scanned_Maps/K10/K10-1897</v>
      </c>
      <c r="U1553" t="s">
        <v>2495</v>
      </c>
      <c r="V1553" s="11" t="str">
        <f t="shared" si="88"/>
        <v>http://www.em.gov.bc.ca/mining/geolsurv/terrain&amp;soils/frbcguid.htm</v>
      </c>
      <c r="W1553" t="s">
        <v>2489</v>
      </c>
      <c r="X1553" s="11" t="str">
        <f t="shared" si="82"/>
        <v>http://www.em.gov.bc.ca/mining/geolsurv/terrain&amp;soils/frbcguid.htm</v>
      </c>
      <c r="Y1553" t="s">
        <v>2490</v>
      </c>
      <c r="Z1553" s="11" t="str">
        <f t="shared" si="89"/>
        <v>http://res.agr.ca/cansis/publications/surveys/bc/</v>
      </c>
      <c r="AA1553" t="s">
        <v>269</v>
      </c>
      <c r="AB1553" s="11" t="str">
        <f t="shared" si="87"/>
        <v>http://www.library.for.gov.bc.ca/#focus</v>
      </c>
      <c r="AC1553" t="s">
        <v>58</v>
      </c>
      <c r="AE1553" t="s">
        <v>58</v>
      </c>
      <c r="AG1553" t="s">
        <v>63</v>
      </c>
      <c r="AH1553" s="11" t="str">
        <f t="shared" si="86"/>
        <v>mailto: soilterrain@victoria1.gov.bc.ca</v>
      </c>
    </row>
    <row r="1554" spans="1:34">
      <c r="A1554" t="s">
        <v>3634</v>
      </c>
      <c r="B1554" t="s">
        <v>56</v>
      </c>
      <c r="C1554" s="10" t="s">
        <v>3635</v>
      </c>
      <c r="D1554" t="s">
        <v>58</v>
      </c>
      <c r="E1554" t="s">
        <v>3511</v>
      </c>
      <c r="F1554" t="s">
        <v>3636</v>
      </c>
      <c r="G1554">
        <v>50000</v>
      </c>
      <c r="H1554" t="s">
        <v>187</v>
      </c>
      <c r="I1554" t="s">
        <v>3513</v>
      </c>
      <c r="J1554" t="s">
        <v>58</v>
      </c>
      <c r="K1554" t="s">
        <v>58</v>
      </c>
      <c r="L1554" t="s">
        <v>61</v>
      </c>
      <c r="M1554" t="s">
        <v>58</v>
      </c>
      <c r="Q1554" t="s">
        <v>58</v>
      </c>
      <c r="R1554" s="11" t="str">
        <f>HYPERLINK("\\imagefiles.bcgov\imagery\scanned_maps\moe_terrain_maps\Scanned_T_maps_all\K10\K10-1898","\\imagefiles.bcgov\imagery\scanned_maps\moe_terrain_maps\Scanned_T_maps_all\K10\K10-1898")</f>
        <v>\\imagefiles.bcgov\imagery\scanned_maps\moe_terrain_maps\Scanned_T_maps_all\K10\K10-1898</v>
      </c>
      <c r="S1554" t="s">
        <v>62</v>
      </c>
      <c r="T1554" s="11" t="str">
        <f>HYPERLINK("http://www.env.gov.bc.ca/esd/distdata/ecosystems/TEI_Scanned_Maps/K10/K10-1898","http://www.env.gov.bc.ca/esd/distdata/ecosystems/TEI_Scanned_Maps/K10/K10-1898")</f>
        <v>http://www.env.gov.bc.ca/esd/distdata/ecosystems/TEI_Scanned_Maps/K10/K10-1898</v>
      </c>
      <c r="U1554" t="s">
        <v>2495</v>
      </c>
      <c r="V1554" s="11" t="str">
        <f t="shared" si="88"/>
        <v>http://www.em.gov.bc.ca/mining/geolsurv/terrain&amp;soils/frbcguid.htm</v>
      </c>
      <c r="W1554" t="s">
        <v>2489</v>
      </c>
      <c r="X1554" s="11" t="str">
        <f t="shared" si="82"/>
        <v>http://www.em.gov.bc.ca/mining/geolsurv/terrain&amp;soils/frbcguid.htm</v>
      </c>
      <c r="Y1554" t="s">
        <v>2490</v>
      </c>
      <c r="Z1554" s="11" t="str">
        <f t="shared" si="89"/>
        <v>http://res.agr.ca/cansis/publications/surveys/bc/</v>
      </c>
      <c r="AA1554" t="s">
        <v>269</v>
      </c>
      <c r="AB1554" s="11" t="str">
        <f t="shared" si="87"/>
        <v>http://www.library.for.gov.bc.ca/#focus</v>
      </c>
      <c r="AC1554" t="s">
        <v>58</v>
      </c>
      <c r="AE1554" t="s">
        <v>58</v>
      </c>
      <c r="AG1554" t="s">
        <v>63</v>
      </c>
      <c r="AH1554" s="11" t="str">
        <f t="shared" si="86"/>
        <v>mailto: soilterrain@victoria1.gov.bc.ca</v>
      </c>
    </row>
    <row r="1555" spans="1:34">
      <c r="A1555" t="s">
        <v>3637</v>
      </c>
      <c r="B1555" t="s">
        <v>56</v>
      </c>
      <c r="C1555" s="10" t="s">
        <v>3638</v>
      </c>
      <c r="D1555" t="s">
        <v>58</v>
      </c>
      <c r="E1555" t="s">
        <v>2931</v>
      </c>
      <c r="F1555" t="s">
        <v>3639</v>
      </c>
      <c r="G1555">
        <v>50000</v>
      </c>
      <c r="H1555">
        <v>1985</v>
      </c>
      <c r="I1555" t="s">
        <v>58</v>
      </c>
      <c r="J1555" t="s">
        <v>58</v>
      </c>
      <c r="K1555" t="s">
        <v>61</v>
      </c>
      <c r="L1555" t="s">
        <v>61</v>
      </c>
      <c r="M1555" t="s">
        <v>58</v>
      </c>
      <c r="Q1555" t="s">
        <v>58</v>
      </c>
      <c r="R1555" s="11" t="str">
        <f>HYPERLINK("\\imagefiles.bcgov\imagery\scanned_maps\moe_terrain_maps\Scanned_T_maps_all\K10\K10-1922","\\imagefiles.bcgov\imagery\scanned_maps\moe_terrain_maps\Scanned_T_maps_all\K10\K10-1922")</f>
        <v>\\imagefiles.bcgov\imagery\scanned_maps\moe_terrain_maps\Scanned_T_maps_all\K10\K10-1922</v>
      </c>
      <c r="S1555" t="s">
        <v>62</v>
      </c>
      <c r="T1555" s="11" t="str">
        <f>HYPERLINK("http://www.env.gov.bc.ca/esd/distdata/ecosystems/TEI_Scanned_Maps/K10/K10-1922","http://www.env.gov.bc.ca/esd/distdata/ecosystems/TEI_Scanned_Maps/K10/K10-1922")</f>
        <v>http://www.env.gov.bc.ca/esd/distdata/ecosystems/TEI_Scanned_Maps/K10/K10-1922</v>
      </c>
      <c r="U1555" t="s">
        <v>58</v>
      </c>
      <c r="V1555" t="s">
        <v>58</v>
      </c>
      <c r="W1555" t="s">
        <v>58</v>
      </c>
      <c r="X1555" t="s">
        <v>58</v>
      </c>
      <c r="Y1555" t="s">
        <v>58</v>
      </c>
      <c r="Z1555" t="s">
        <v>58</v>
      </c>
      <c r="AA1555" t="s">
        <v>58</v>
      </c>
      <c r="AC1555" t="s">
        <v>58</v>
      </c>
      <c r="AE1555" t="s">
        <v>58</v>
      </c>
      <c r="AG1555" t="s">
        <v>63</v>
      </c>
      <c r="AH1555" s="11" t="str">
        <f t="shared" si="86"/>
        <v>mailto: soilterrain@victoria1.gov.bc.ca</v>
      </c>
    </row>
    <row r="1556" spans="1:34">
      <c r="A1556" t="s">
        <v>3640</v>
      </c>
      <c r="B1556" t="s">
        <v>56</v>
      </c>
      <c r="C1556" s="10" t="s">
        <v>3641</v>
      </c>
      <c r="D1556" t="s">
        <v>58</v>
      </c>
      <c r="E1556" t="s">
        <v>2931</v>
      </c>
      <c r="F1556" t="s">
        <v>3642</v>
      </c>
      <c r="G1556">
        <v>50000</v>
      </c>
      <c r="H1556">
        <v>1985</v>
      </c>
      <c r="I1556" t="s">
        <v>58</v>
      </c>
      <c r="J1556" t="s">
        <v>58</v>
      </c>
      <c r="K1556" t="s">
        <v>61</v>
      </c>
      <c r="L1556" t="s">
        <v>61</v>
      </c>
      <c r="M1556" t="s">
        <v>58</v>
      </c>
      <c r="Q1556" t="s">
        <v>58</v>
      </c>
      <c r="R1556" s="11" t="str">
        <f>HYPERLINK("\\imagefiles.bcgov\imagery\scanned_maps\moe_terrain_maps\Scanned_T_maps_all\K10\K10-1923","\\imagefiles.bcgov\imagery\scanned_maps\moe_terrain_maps\Scanned_T_maps_all\K10\K10-1923")</f>
        <v>\\imagefiles.bcgov\imagery\scanned_maps\moe_terrain_maps\Scanned_T_maps_all\K10\K10-1923</v>
      </c>
      <c r="S1556" t="s">
        <v>62</v>
      </c>
      <c r="T1556" s="11" t="str">
        <f>HYPERLINK("http://www.env.gov.bc.ca/esd/distdata/ecosystems/TEI_Scanned_Maps/K10/K10-1923","http://www.env.gov.bc.ca/esd/distdata/ecosystems/TEI_Scanned_Maps/K10/K10-1923")</f>
        <v>http://www.env.gov.bc.ca/esd/distdata/ecosystems/TEI_Scanned_Maps/K10/K10-1923</v>
      </c>
      <c r="U1556" t="s">
        <v>58</v>
      </c>
      <c r="V1556" t="s">
        <v>58</v>
      </c>
      <c r="W1556" t="s">
        <v>58</v>
      </c>
      <c r="X1556" t="s">
        <v>58</v>
      </c>
      <c r="Y1556" t="s">
        <v>58</v>
      </c>
      <c r="Z1556" t="s">
        <v>58</v>
      </c>
      <c r="AA1556" t="s">
        <v>58</v>
      </c>
      <c r="AC1556" t="s">
        <v>58</v>
      </c>
      <c r="AE1556" t="s">
        <v>58</v>
      </c>
      <c r="AG1556" t="s">
        <v>63</v>
      </c>
      <c r="AH1556" s="11" t="str">
        <f t="shared" si="86"/>
        <v>mailto: soilterrain@victoria1.gov.bc.ca</v>
      </c>
    </row>
    <row r="1557" spans="1:34">
      <c r="A1557" t="s">
        <v>3643</v>
      </c>
      <c r="B1557" t="s">
        <v>56</v>
      </c>
      <c r="C1557" s="10" t="s">
        <v>1347</v>
      </c>
      <c r="D1557" t="s">
        <v>58</v>
      </c>
      <c r="E1557" t="s">
        <v>3365</v>
      </c>
      <c r="F1557" t="s">
        <v>3644</v>
      </c>
      <c r="G1557">
        <v>50000</v>
      </c>
      <c r="H1557">
        <v>1988</v>
      </c>
      <c r="I1557" t="s">
        <v>2494</v>
      </c>
      <c r="J1557" t="s">
        <v>58</v>
      </c>
      <c r="K1557" t="s">
        <v>61</v>
      </c>
      <c r="L1557" t="s">
        <v>61</v>
      </c>
      <c r="M1557" t="s">
        <v>58</v>
      </c>
      <c r="Q1557" t="s">
        <v>58</v>
      </c>
      <c r="R1557" s="11" t="str">
        <f>HYPERLINK("\\imagefiles.bcgov\imagery\scanned_maps\moe_terrain_maps\Scanned_T_maps_all\K10\K10-1928","\\imagefiles.bcgov\imagery\scanned_maps\moe_terrain_maps\Scanned_T_maps_all\K10\K10-1928")</f>
        <v>\\imagefiles.bcgov\imagery\scanned_maps\moe_terrain_maps\Scanned_T_maps_all\K10\K10-1928</v>
      </c>
      <c r="S1557" t="s">
        <v>62</v>
      </c>
      <c r="T1557" s="11" t="str">
        <f>HYPERLINK("http://www.env.gov.bc.ca/esd/distdata/ecosystems/TEI_Scanned_Maps/K10/K10-1928","http://www.env.gov.bc.ca/esd/distdata/ecosystems/TEI_Scanned_Maps/K10/K10-1928")</f>
        <v>http://www.env.gov.bc.ca/esd/distdata/ecosystems/TEI_Scanned_Maps/K10/K10-1928</v>
      </c>
      <c r="U1557" t="s">
        <v>2487</v>
      </c>
      <c r="V1557" s="11" t="str">
        <f t="shared" ref="V1557:V1571" si="90">HYPERLINK("http://res.agr.ca/cansis/publications/surveys/bc/","http://res.agr.ca/cansis/publications/surveys/bc/")</f>
        <v>http://res.agr.ca/cansis/publications/surveys/bc/</v>
      </c>
      <c r="W1557" t="s">
        <v>2495</v>
      </c>
      <c r="X1557" s="11" t="str">
        <f t="shared" ref="X1557:X1573" si="91">HYPERLINK("http://www.em.gov.bc.ca/mining/geolsurv/terrain&amp;soils/frbcguid.htm","http://www.em.gov.bc.ca/mining/geolsurv/terrain&amp;soils/frbcguid.htm")</f>
        <v>http://www.em.gov.bc.ca/mining/geolsurv/terrain&amp;soils/frbcguid.htm</v>
      </c>
      <c r="Y1557" t="s">
        <v>2489</v>
      </c>
      <c r="Z1557" s="11" t="str">
        <f t="shared" ref="Z1557:Z1571" si="92">HYPERLINK("http://www.em.gov.bc.ca/mining/geolsurv/terrain&amp;soils/frbcguid.htm","http://www.em.gov.bc.ca/mining/geolsurv/terrain&amp;soils/frbcguid.htm")</f>
        <v>http://www.em.gov.bc.ca/mining/geolsurv/terrain&amp;soils/frbcguid.htm</v>
      </c>
      <c r="AA1557" t="s">
        <v>269</v>
      </c>
      <c r="AB1557" s="11" t="str">
        <f t="shared" ref="AB1557:AB1571" si="93">HYPERLINK("http://www.library.for.gov.bc.ca/#focus","http://www.library.for.gov.bc.ca/#focus")</f>
        <v>http://www.library.for.gov.bc.ca/#focus</v>
      </c>
      <c r="AC1557" t="s">
        <v>58</v>
      </c>
      <c r="AD1557" s="11" t="str">
        <f t="shared" ref="AD1557:AD1571" si="94">HYPERLINK("http://www.env.gov.bc.ca/soils/project/report.html","http://www.env.gov.bc.ca/soils/project/report.html")</f>
        <v>http://www.env.gov.bc.ca/soils/project/report.html</v>
      </c>
      <c r="AE1557" t="s">
        <v>58</v>
      </c>
      <c r="AG1557" t="s">
        <v>63</v>
      </c>
      <c r="AH1557" s="11" t="str">
        <f t="shared" si="86"/>
        <v>mailto: soilterrain@victoria1.gov.bc.ca</v>
      </c>
    </row>
    <row r="1558" spans="1:34">
      <c r="A1558" t="s">
        <v>3645</v>
      </c>
      <c r="B1558" t="s">
        <v>56</v>
      </c>
      <c r="C1558" s="10" t="s">
        <v>1349</v>
      </c>
      <c r="D1558" t="s">
        <v>58</v>
      </c>
      <c r="E1558" t="s">
        <v>3365</v>
      </c>
      <c r="F1558" t="s">
        <v>3646</v>
      </c>
      <c r="G1558">
        <v>50000</v>
      </c>
      <c r="H1558">
        <v>1987</v>
      </c>
      <c r="I1558" t="s">
        <v>2494</v>
      </c>
      <c r="J1558" t="s">
        <v>58</v>
      </c>
      <c r="K1558" t="s">
        <v>61</v>
      </c>
      <c r="L1558" t="s">
        <v>61</v>
      </c>
      <c r="M1558" t="s">
        <v>58</v>
      </c>
      <c r="Q1558" t="s">
        <v>58</v>
      </c>
      <c r="R1558" s="11" t="str">
        <f>HYPERLINK("\\imagefiles.bcgov\imagery\scanned_maps\moe_terrain_maps\Scanned_T_maps_all\K10\K10-1930","\\imagefiles.bcgov\imagery\scanned_maps\moe_terrain_maps\Scanned_T_maps_all\K10\K10-1930")</f>
        <v>\\imagefiles.bcgov\imagery\scanned_maps\moe_terrain_maps\Scanned_T_maps_all\K10\K10-1930</v>
      </c>
      <c r="S1558" t="s">
        <v>62</v>
      </c>
      <c r="T1558" s="11" t="str">
        <f>HYPERLINK("http://www.env.gov.bc.ca/esd/distdata/ecosystems/TEI_Scanned_Maps/K10/K10-1930","http://www.env.gov.bc.ca/esd/distdata/ecosystems/TEI_Scanned_Maps/K10/K10-1930")</f>
        <v>http://www.env.gov.bc.ca/esd/distdata/ecosystems/TEI_Scanned_Maps/K10/K10-1930</v>
      </c>
      <c r="U1558" t="s">
        <v>2487</v>
      </c>
      <c r="V1558" s="11" t="str">
        <f t="shared" si="90"/>
        <v>http://res.agr.ca/cansis/publications/surveys/bc/</v>
      </c>
      <c r="W1558" t="s">
        <v>2495</v>
      </c>
      <c r="X1558" s="11" t="str">
        <f t="shared" si="91"/>
        <v>http://www.em.gov.bc.ca/mining/geolsurv/terrain&amp;soils/frbcguid.htm</v>
      </c>
      <c r="Y1558" t="s">
        <v>2489</v>
      </c>
      <c r="Z1558" s="11" t="str">
        <f t="shared" si="92"/>
        <v>http://www.em.gov.bc.ca/mining/geolsurv/terrain&amp;soils/frbcguid.htm</v>
      </c>
      <c r="AA1558" t="s">
        <v>269</v>
      </c>
      <c r="AB1558" s="11" t="str">
        <f t="shared" si="93"/>
        <v>http://www.library.for.gov.bc.ca/#focus</v>
      </c>
      <c r="AC1558" t="s">
        <v>58</v>
      </c>
      <c r="AD1558" s="11" t="str">
        <f t="shared" si="94"/>
        <v>http://www.env.gov.bc.ca/soils/project/report.html</v>
      </c>
      <c r="AE1558" t="s">
        <v>58</v>
      </c>
      <c r="AG1558" t="s">
        <v>63</v>
      </c>
      <c r="AH1558" s="11" t="str">
        <f t="shared" si="86"/>
        <v>mailto: soilterrain@victoria1.gov.bc.ca</v>
      </c>
    </row>
    <row r="1559" spans="1:34">
      <c r="A1559" t="s">
        <v>3647</v>
      </c>
      <c r="B1559" t="s">
        <v>56</v>
      </c>
      <c r="C1559" s="10" t="s">
        <v>1351</v>
      </c>
      <c r="D1559" t="s">
        <v>58</v>
      </c>
      <c r="E1559" t="s">
        <v>3365</v>
      </c>
      <c r="F1559" t="s">
        <v>3648</v>
      </c>
      <c r="G1559">
        <v>50000</v>
      </c>
      <c r="H1559" t="s">
        <v>187</v>
      </c>
      <c r="I1559" t="s">
        <v>2494</v>
      </c>
      <c r="J1559" t="s">
        <v>58</v>
      </c>
      <c r="K1559" t="s">
        <v>61</v>
      </c>
      <c r="L1559" t="s">
        <v>61</v>
      </c>
      <c r="M1559" t="s">
        <v>58</v>
      </c>
      <c r="Q1559" t="s">
        <v>58</v>
      </c>
      <c r="R1559" s="11" t="str">
        <f>HYPERLINK("\\imagefiles.bcgov\imagery\scanned_maps\moe_terrain_maps\Scanned_T_maps_all\K10\K10-1932","\\imagefiles.bcgov\imagery\scanned_maps\moe_terrain_maps\Scanned_T_maps_all\K10\K10-1932")</f>
        <v>\\imagefiles.bcgov\imagery\scanned_maps\moe_terrain_maps\Scanned_T_maps_all\K10\K10-1932</v>
      </c>
      <c r="S1559" t="s">
        <v>62</v>
      </c>
      <c r="T1559" s="11" t="str">
        <f>HYPERLINK("http://www.env.gov.bc.ca/esd/distdata/ecosystems/TEI_Scanned_Maps/K10/K10-1932","http://www.env.gov.bc.ca/esd/distdata/ecosystems/TEI_Scanned_Maps/K10/K10-1932")</f>
        <v>http://www.env.gov.bc.ca/esd/distdata/ecosystems/TEI_Scanned_Maps/K10/K10-1932</v>
      </c>
      <c r="U1559" t="s">
        <v>2487</v>
      </c>
      <c r="V1559" s="11" t="str">
        <f t="shared" si="90"/>
        <v>http://res.agr.ca/cansis/publications/surveys/bc/</v>
      </c>
      <c r="W1559" t="s">
        <v>2495</v>
      </c>
      <c r="X1559" s="11" t="str">
        <f t="shared" si="91"/>
        <v>http://www.em.gov.bc.ca/mining/geolsurv/terrain&amp;soils/frbcguid.htm</v>
      </c>
      <c r="Y1559" t="s">
        <v>2489</v>
      </c>
      <c r="Z1559" s="11" t="str">
        <f t="shared" si="92"/>
        <v>http://www.em.gov.bc.ca/mining/geolsurv/terrain&amp;soils/frbcguid.htm</v>
      </c>
      <c r="AA1559" t="s">
        <v>269</v>
      </c>
      <c r="AB1559" s="11" t="str">
        <f t="shared" si="93"/>
        <v>http://www.library.for.gov.bc.ca/#focus</v>
      </c>
      <c r="AC1559" t="s">
        <v>58</v>
      </c>
      <c r="AD1559" s="11" t="str">
        <f t="shared" si="94"/>
        <v>http://www.env.gov.bc.ca/soils/project/report.html</v>
      </c>
      <c r="AE1559" t="s">
        <v>58</v>
      </c>
      <c r="AG1559" t="s">
        <v>63</v>
      </c>
      <c r="AH1559" s="11" t="str">
        <f t="shared" si="86"/>
        <v>mailto: soilterrain@victoria1.gov.bc.ca</v>
      </c>
    </row>
    <row r="1560" spans="1:34">
      <c r="A1560" t="s">
        <v>3649</v>
      </c>
      <c r="B1560" t="s">
        <v>56</v>
      </c>
      <c r="C1560" s="10" t="s">
        <v>1353</v>
      </c>
      <c r="D1560" t="s">
        <v>58</v>
      </c>
      <c r="E1560" t="s">
        <v>3365</v>
      </c>
      <c r="F1560" t="s">
        <v>3650</v>
      </c>
      <c r="G1560">
        <v>50000</v>
      </c>
      <c r="H1560">
        <v>1985</v>
      </c>
      <c r="I1560" t="s">
        <v>2494</v>
      </c>
      <c r="J1560" t="s">
        <v>58</v>
      </c>
      <c r="K1560" t="s">
        <v>61</v>
      </c>
      <c r="L1560" t="s">
        <v>61</v>
      </c>
      <c r="M1560" t="s">
        <v>58</v>
      </c>
      <c r="Q1560" t="s">
        <v>58</v>
      </c>
      <c r="R1560" s="11" t="str">
        <f>HYPERLINK("\\imagefiles.bcgov\imagery\scanned_maps\moe_terrain_maps\Scanned_T_maps_all\K10\K10-1934","\\imagefiles.bcgov\imagery\scanned_maps\moe_terrain_maps\Scanned_T_maps_all\K10\K10-1934")</f>
        <v>\\imagefiles.bcgov\imagery\scanned_maps\moe_terrain_maps\Scanned_T_maps_all\K10\K10-1934</v>
      </c>
      <c r="S1560" t="s">
        <v>62</v>
      </c>
      <c r="T1560" s="11" t="str">
        <f>HYPERLINK("http://www.env.gov.bc.ca/esd/distdata/ecosystems/TEI_Scanned_Maps/K10/K10-1934","http://www.env.gov.bc.ca/esd/distdata/ecosystems/TEI_Scanned_Maps/K10/K10-1934")</f>
        <v>http://www.env.gov.bc.ca/esd/distdata/ecosystems/TEI_Scanned_Maps/K10/K10-1934</v>
      </c>
      <c r="U1560" t="s">
        <v>2487</v>
      </c>
      <c r="V1560" s="11" t="str">
        <f t="shared" si="90"/>
        <v>http://res.agr.ca/cansis/publications/surveys/bc/</v>
      </c>
      <c r="W1560" t="s">
        <v>2495</v>
      </c>
      <c r="X1560" s="11" t="str">
        <f t="shared" si="91"/>
        <v>http://www.em.gov.bc.ca/mining/geolsurv/terrain&amp;soils/frbcguid.htm</v>
      </c>
      <c r="Y1560" t="s">
        <v>2489</v>
      </c>
      <c r="Z1560" s="11" t="str">
        <f t="shared" si="92"/>
        <v>http://www.em.gov.bc.ca/mining/geolsurv/terrain&amp;soils/frbcguid.htm</v>
      </c>
      <c r="AA1560" t="s">
        <v>269</v>
      </c>
      <c r="AB1560" s="11" t="str">
        <f t="shared" si="93"/>
        <v>http://www.library.for.gov.bc.ca/#focus</v>
      </c>
      <c r="AC1560" t="s">
        <v>58</v>
      </c>
      <c r="AD1560" s="11" t="str">
        <f t="shared" si="94"/>
        <v>http://www.env.gov.bc.ca/soils/project/report.html</v>
      </c>
      <c r="AE1560" t="s">
        <v>58</v>
      </c>
      <c r="AG1560" t="s">
        <v>63</v>
      </c>
      <c r="AH1560" s="11" t="str">
        <f t="shared" si="86"/>
        <v>mailto: soilterrain@victoria1.gov.bc.ca</v>
      </c>
    </row>
    <row r="1561" spans="1:34">
      <c r="A1561" t="s">
        <v>3651</v>
      </c>
      <c r="B1561" t="s">
        <v>56</v>
      </c>
      <c r="C1561" s="10" t="s">
        <v>1355</v>
      </c>
      <c r="D1561" t="s">
        <v>58</v>
      </c>
      <c r="E1561" t="s">
        <v>3365</v>
      </c>
      <c r="F1561" t="s">
        <v>3652</v>
      </c>
      <c r="G1561">
        <v>50000</v>
      </c>
      <c r="H1561">
        <v>1985</v>
      </c>
      <c r="I1561" t="s">
        <v>2494</v>
      </c>
      <c r="J1561" t="s">
        <v>58</v>
      </c>
      <c r="K1561" t="s">
        <v>61</v>
      </c>
      <c r="L1561" t="s">
        <v>61</v>
      </c>
      <c r="M1561" t="s">
        <v>58</v>
      </c>
      <c r="Q1561" t="s">
        <v>58</v>
      </c>
      <c r="R1561" s="11" t="str">
        <f>HYPERLINK("\\imagefiles.bcgov\imagery\scanned_maps\moe_terrain_maps\Scanned_T_maps_all\K10\K10-1936","\\imagefiles.bcgov\imagery\scanned_maps\moe_terrain_maps\Scanned_T_maps_all\K10\K10-1936")</f>
        <v>\\imagefiles.bcgov\imagery\scanned_maps\moe_terrain_maps\Scanned_T_maps_all\K10\K10-1936</v>
      </c>
      <c r="S1561" t="s">
        <v>62</v>
      </c>
      <c r="T1561" s="11" t="str">
        <f>HYPERLINK("http://www.env.gov.bc.ca/esd/distdata/ecosystems/TEI_Scanned_Maps/K10/K10-1936","http://www.env.gov.bc.ca/esd/distdata/ecosystems/TEI_Scanned_Maps/K10/K10-1936")</f>
        <v>http://www.env.gov.bc.ca/esd/distdata/ecosystems/TEI_Scanned_Maps/K10/K10-1936</v>
      </c>
      <c r="U1561" t="s">
        <v>2487</v>
      </c>
      <c r="V1561" s="11" t="str">
        <f t="shared" si="90"/>
        <v>http://res.agr.ca/cansis/publications/surveys/bc/</v>
      </c>
      <c r="W1561" t="s">
        <v>2495</v>
      </c>
      <c r="X1561" s="11" t="str">
        <f t="shared" si="91"/>
        <v>http://www.em.gov.bc.ca/mining/geolsurv/terrain&amp;soils/frbcguid.htm</v>
      </c>
      <c r="Y1561" t="s">
        <v>2489</v>
      </c>
      <c r="Z1561" s="11" t="str">
        <f t="shared" si="92"/>
        <v>http://www.em.gov.bc.ca/mining/geolsurv/terrain&amp;soils/frbcguid.htm</v>
      </c>
      <c r="AA1561" t="s">
        <v>269</v>
      </c>
      <c r="AB1561" s="11" t="str">
        <f t="shared" si="93"/>
        <v>http://www.library.for.gov.bc.ca/#focus</v>
      </c>
      <c r="AC1561" t="s">
        <v>58</v>
      </c>
      <c r="AD1561" s="11" t="str">
        <f t="shared" si="94"/>
        <v>http://www.env.gov.bc.ca/soils/project/report.html</v>
      </c>
      <c r="AE1561" t="s">
        <v>58</v>
      </c>
      <c r="AG1561" t="s">
        <v>63</v>
      </c>
      <c r="AH1561" s="11" t="str">
        <f t="shared" si="86"/>
        <v>mailto: soilterrain@victoria1.gov.bc.ca</v>
      </c>
    </row>
    <row r="1562" spans="1:34">
      <c r="A1562" t="s">
        <v>3653</v>
      </c>
      <c r="B1562" t="s">
        <v>56</v>
      </c>
      <c r="C1562" s="10" t="s">
        <v>1357</v>
      </c>
      <c r="D1562" t="s">
        <v>58</v>
      </c>
      <c r="E1562" t="s">
        <v>3365</v>
      </c>
      <c r="F1562" t="s">
        <v>3654</v>
      </c>
      <c r="G1562">
        <v>50000</v>
      </c>
      <c r="H1562">
        <v>1985</v>
      </c>
      <c r="I1562" t="s">
        <v>2494</v>
      </c>
      <c r="J1562" t="s">
        <v>58</v>
      </c>
      <c r="K1562" t="s">
        <v>61</v>
      </c>
      <c r="L1562" t="s">
        <v>61</v>
      </c>
      <c r="M1562" t="s">
        <v>58</v>
      </c>
      <c r="Q1562" t="s">
        <v>58</v>
      </c>
      <c r="R1562" s="11" t="str">
        <f>HYPERLINK("\\imagefiles.bcgov\imagery\scanned_maps\moe_terrain_maps\Scanned_T_maps_all\K10\K10-1938","\\imagefiles.bcgov\imagery\scanned_maps\moe_terrain_maps\Scanned_T_maps_all\K10\K10-1938")</f>
        <v>\\imagefiles.bcgov\imagery\scanned_maps\moe_terrain_maps\Scanned_T_maps_all\K10\K10-1938</v>
      </c>
      <c r="S1562" t="s">
        <v>62</v>
      </c>
      <c r="T1562" s="11" t="str">
        <f>HYPERLINK("http://www.env.gov.bc.ca/esd/distdata/ecosystems/TEI_Scanned_Maps/K10/K10-1938","http://www.env.gov.bc.ca/esd/distdata/ecosystems/TEI_Scanned_Maps/K10/K10-1938")</f>
        <v>http://www.env.gov.bc.ca/esd/distdata/ecosystems/TEI_Scanned_Maps/K10/K10-1938</v>
      </c>
      <c r="U1562" t="s">
        <v>2487</v>
      </c>
      <c r="V1562" s="11" t="str">
        <f t="shared" si="90"/>
        <v>http://res.agr.ca/cansis/publications/surveys/bc/</v>
      </c>
      <c r="W1562" t="s">
        <v>2495</v>
      </c>
      <c r="X1562" s="11" t="str">
        <f t="shared" si="91"/>
        <v>http://www.em.gov.bc.ca/mining/geolsurv/terrain&amp;soils/frbcguid.htm</v>
      </c>
      <c r="Y1562" t="s">
        <v>2489</v>
      </c>
      <c r="Z1562" s="11" t="str">
        <f t="shared" si="92"/>
        <v>http://www.em.gov.bc.ca/mining/geolsurv/terrain&amp;soils/frbcguid.htm</v>
      </c>
      <c r="AA1562" t="s">
        <v>269</v>
      </c>
      <c r="AB1562" s="11" t="str">
        <f t="shared" si="93"/>
        <v>http://www.library.for.gov.bc.ca/#focus</v>
      </c>
      <c r="AC1562" t="s">
        <v>58</v>
      </c>
      <c r="AD1562" s="11" t="str">
        <f t="shared" si="94"/>
        <v>http://www.env.gov.bc.ca/soils/project/report.html</v>
      </c>
      <c r="AE1562" t="s">
        <v>58</v>
      </c>
      <c r="AG1562" t="s">
        <v>63</v>
      </c>
      <c r="AH1562" s="11" t="str">
        <f t="shared" si="86"/>
        <v>mailto: soilterrain@victoria1.gov.bc.ca</v>
      </c>
    </row>
    <row r="1563" spans="1:34">
      <c r="A1563" t="s">
        <v>3655</v>
      </c>
      <c r="B1563" t="s">
        <v>56</v>
      </c>
      <c r="C1563" s="10" t="s">
        <v>1359</v>
      </c>
      <c r="D1563" t="s">
        <v>58</v>
      </c>
      <c r="E1563" t="s">
        <v>3365</v>
      </c>
      <c r="F1563" t="s">
        <v>3656</v>
      </c>
      <c r="G1563">
        <v>50000</v>
      </c>
      <c r="H1563">
        <v>1985</v>
      </c>
      <c r="I1563" t="s">
        <v>2494</v>
      </c>
      <c r="J1563" t="s">
        <v>58</v>
      </c>
      <c r="K1563" t="s">
        <v>61</v>
      </c>
      <c r="L1563" t="s">
        <v>61</v>
      </c>
      <c r="M1563" t="s">
        <v>58</v>
      </c>
      <c r="Q1563" t="s">
        <v>58</v>
      </c>
      <c r="R1563" s="11" t="str">
        <f>HYPERLINK("\\imagefiles.bcgov\imagery\scanned_maps\moe_terrain_maps\Scanned_T_maps_all\K10\K10-1940","\\imagefiles.bcgov\imagery\scanned_maps\moe_terrain_maps\Scanned_T_maps_all\K10\K10-1940")</f>
        <v>\\imagefiles.bcgov\imagery\scanned_maps\moe_terrain_maps\Scanned_T_maps_all\K10\K10-1940</v>
      </c>
      <c r="S1563" t="s">
        <v>62</v>
      </c>
      <c r="T1563" s="11" t="str">
        <f>HYPERLINK("http://www.env.gov.bc.ca/esd/distdata/ecosystems/TEI_Scanned_Maps/K10/K10-1940","http://www.env.gov.bc.ca/esd/distdata/ecosystems/TEI_Scanned_Maps/K10/K10-1940")</f>
        <v>http://www.env.gov.bc.ca/esd/distdata/ecosystems/TEI_Scanned_Maps/K10/K10-1940</v>
      </c>
      <c r="U1563" t="s">
        <v>2487</v>
      </c>
      <c r="V1563" s="11" t="str">
        <f t="shared" si="90"/>
        <v>http://res.agr.ca/cansis/publications/surveys/bc/</v>
      </c>
      <c r="W1563" t="s">
        <v>2495</v>
      </c>
      <c r="X1563" s="11" t="str">
        <f t="shared" si="91"/>
        <v>http://www.em.gov.bc.ca/mining/geolsurv/terrain&amp;soils/frbcguid.htm</v>
      </c>
      <c r="Y1563" t="s">
        <v>2489</v>
      </c>
      <c r="Z1563" s="11" t="str">
        <f t="shared" si="92"/>
        <v>http://www.em.gov.bc.ca/mining/geolsurv/terrain&amp;soils/frbcguid.htm</v>
      </c>
      <c r="AA1563" t="s">
        <v>269</v>
      </c>
      <c r="AB1563" s="11" t="str">
        <f t="shared" si="93"/>
        <v>http://www.library.for.gov.bc.ca/#focus</v>
      </c>
      <c r="AC1563" t="s">
        <v>58</v>
      </c>
      <c r="AD1563" s="11" t="str">
        <f t="shared" si="94"/>
        <v>http://www.env.gov.bc.ca/soils/project/report.html</v>
      </c>
      <c r="AE1563" t="s">
        <v>58</v>
      </c>
      <c r="AG1563" t="s">
        <v>63</v>
      </c>
      <c r="AH1563" s="11" t="str">
        <f t="shared" si="86"/>
        <v>mailto: soilterrain@victoria1.gov.bc.ca</v>
      </c>
    </row>
    <row r="1564" spans="1:34">
      <c r="A1564" t="s">
        <v>3657</v>
      </c>
      <c r="B1564" t="s">
        <v>56</v>
      </c>
      <c r="C1564" s="10" t="s">
        <v>1361</v>
      </c>
      <c r="D1564" t="s">
        <v>58</v>
      </c>
      <c r="E1564" t="s">
        <v>3365</v>
      </c>
      <c r="F1564" t="s">
        <v>3658</v>
      </c>
      <c r="G1564">
        <v>50000</v>
      </c>
      <c r="H1564">
        <v>1988</v>
      </c>
      <c r="I1564" t="s">
        <v>2494</v>
      </c>
      <c r="J1564" t="s">
        <v>58</v>
      </c>
      <c r="K1564" t="s">
        <v>61</v>
      </c>
      <c r="L1564" t="s">
        <v>61</v>
      </c>
      <c r="M1564" t="s">
        <v>58</v>
      </c>
      <c r="Q1564" t="s">
        <v>58</v>
      </c>
      <c r="R1564" s="11" t="str">
        <f>HYPERLINK("\\imagefiles.bcgov\imagery\scanned_maps\moe_terrain_maps\Scanned_T_maps_all\K10\K10-1942","\\imagefiles.bcgov\imagery\scanned_maps\moe_terrain_maps\Scanned_T_maps_all\K10\K10-1942")</f>
        <v>\\imagefiles.bcgov\imagery\scanned_maps\moe_terrain_maps\Scanned_T_maps_all\K10\K10-1942</v>
      </c>
      <c r="S1564" t="s">
        <v>62</v>
      </c>
      <c r="T1564" s="11" t="str">
        <f>HYPERLINK("http://www.env.gov.bc.ca/esd/distdata/ecosystems/TEI_Scanned_Maps/K10/K10-1942","http://www.env.gov.bc.ca/esd/distdata/ecosystems/TEI_Scanned_Maps/K10/K10-1942")</f>
        <v>http://www.env.gov.bc.ca/esd/distdata/ecosystems/TEI_Scanned_Maps/K10/K10-1942</v>
      </c>
      <c r="U1564" t="s">
        <v>2487</v>
      </c>
      <c r="V1564" s="11" t="str">
        <f t="shared" si="90"/>
        <v>http://res.agr.ca/cansis/publications/surveys/bc/</v>
      </c>
      <c r="W1564" t="s">
        <v>2495</v>
      </c>
      <c r="X1564" s="11" t="str">
        <f t="shared" si="91"/>
        <v>http://www.em.gov.bc.ca/mining/geolsurv/terrain&amp;soils/frbcguid.htm</v>
      </c>
      <c r="Y1564" t="s">
        <v>2489</v>
      </c>
      <c r="Z1564" s="11" t="str">
        <f t="shared" si="92"/>
        <v>http://www.em.gov.bc.ca/mining/geolsurv/terrain&amp;soils/frbcguid.htm</v>
      </c>
      <c r="AA1564" t="s">
        <v>269</v>
      </c>
      <c r="AB1564" s="11" t="str">
        <f t="shared" si="93"/>
        <v>http://www.library.for.gov.bc.ca/#focus</v>
      </c>
      <c r="AC1564" t="s">
        <v>58</v>
      </c>
      <c r="AD1564" s="11" t="str">
        <f t="shared" si="94"/>
        <v>http://www.env.gov.bc.ca/soils/project/report.html</v>
      </c>
      <c r="AE1564" t="s">
        <v>58</v>
      </c>
      <c r="AG1564" t="s">
        <v>63</v>
      </c>
      <c r="AH1564" s="11" t="str">
        <f t="shared" si="86"/>
        <v>mailto: soilterrain@victoria1.gov.bc.ca</v>
      </c>
    </row>
    <row r="1565" spans="1:34">
      <c r="A1565" t="s">
        <v>3659</v>
      </c>
      <c r="B1565" t="s">
        <v>56</v>
      </c>
      <c r="C1565" s="10" t="s">
        <v>1363</v>
      </c>
      <c r="D1565" t="s">
        <v>58</v>
      </c>
      <c r="E1565" t="s">
        <v>3365</v>
      </c>
      <c r="F1565" t="s">
        <v>3660</v>
      </c>
      <c r="G1565">
        <v>50000</v>
      </c>
      <c r="H1565">
        <v>1988</v>
      </c>
      <c r="I1565" t="s">
        <v>2494</v>
      </c>
      <c r="J1565" t="s">
        <v>58</v>
      </c>
      <c r="K1565" t="s">
        <v>61</v>
      </c>
      <c r="L1565" t="s">
        <v>61</v>
      </c>
      <c r="M1565" t="s">
        <v>58</v>
      </c>
      <c r="Q1565" t="s">
        <v>58</v>
      </c>
      <c r="R1565" s="11" t="str">
        <f>HYPERLINK("\\imagefiles.bcgov\imagery\scanned_maps\moe_terrain_maps\Scanned_T_maps_all\K10\K10-1944","\\imagefiles.bcgov\imagery\scanned_maps\moe_terrain_maps\Scanned_T_maps_all\K10\K10-1944")</f>
        <v>\\imagefiles.bcgov\imagery\scanned_maps\moe_terrain_maps\Scanned_T_maps_all\K10\K10-1944</v>
      </c>
      <c r="S1565" t="s">
        <v>62</v>
      </c>
      <c r="T1565" s="11" t="str">
        <f>HYPERLINK("http://www.env.gov.bc.ca/esd/distdata/ecosystems/TEI_Scanned_Maps/K10/K10-1944","http://www.env.gov.bc.ca/esd/distdata/ecosystems/TEI_Scanned_Maps/K10/K10-1944")</f>
        <v>http://www.env.gov.bc.ca/esd/distdata/ecosystems/TEI_Scanned_Maps/K10/K10-1944</v>
      </c>
      <c r="U1565" t="s">
        <v>2487</v>
      </c>
      <c r="V1565" s="11" t="str">
        <f t="shared" si="90"/>
        <v>http://res.agr.ca/cansis/publications/surveys/bc/</v>
      </c>
      <c r="W1565" t="s">
        <v>2495</v>
      </c>
      <c r="X1565" s="11" t="str">
        <f t="shared" si="91"/>
        <v>http://www.em.gov.bc.ca/mining/geolsurv/terrain&amp;soils/frbcguid.htm</v>
      </c>
      <c r="Y1565" t="s">
        <v>2489</v>
      </c>
      <c r="Z1565" s="11" t="str">
        <f t="shared" si="92"/>
        <v>http://www.em.gov.bc.ca/mining/geolsurv/terrain&amp;soils/frbcguid.htm</v>
      </c>
      <c r="AA1565" t="s">
        <v>269</v>
      </c>
      <c r="AB1565" s="11" t="str">
        <f t="shared" si="93"/>
        <v>http://www.library.for.gov.bc.ca/#focus</v>
      </c>
      <c r="AC1565" t="s">
        <v>58</v>
      </c>
      <c r="AD1565" s="11" t="str">
        <f t="shared" si="94"/>
        <v>http://www.env.gov.bc.ca/soils/project/report.html</v>
      </c>
      <c r="AE1565" t="s">
        <v>58</v>
      </c>
      <c r="AG1565" t="s">
        <v>63</v>
      </c>
      <c r="AH1565" s="11" t="str">
        <f t="shared" si="86"/>
        <v>mailto: soilterrain@victoria1.gov.bc.ca</v>
      </c>
    </row>
    <row r="1566" spans="1:34">
      <c r="A1566" t="s">
        <v>3661</v>
      </c>
      <c r="B1566" t="s">
        <v>56</v>
      </c>
      <c r="C1566" s="10" t="s">
        <v>1365</v>
      </c>
      <c r="D1566" t="s">
        <v>58</v>
      </c>
      <c r="E1566" t="s">
        <v>3365</v>
      </c>
      <c r="F1566" t="s">
        <v>3662</v>
      </c>
      <c r="G1566">
        <v>50000</v>
      </c>
      <c r="H1566">
        <v>1988</v>
      </c>
      <c r="I1566" t="s">
        <v>2494</v>
      </c>
      <c r="J1566" t="s">
        <v>58</v>
      </c>
      <c r="K1566" t="s">
        <v>61</v>
      </c>
      <c r="L1566" t="s">
        <v>61</v>
      </c>
      <c r="M1566" t="s">
        <v>58</v>
      </c>
      <c r="Q1566" t="s">
        <v>58</v>
      </c>
      <c r="R1566" s="11" t="str">
        <f>HYPERLINK("\\imagefiles.bcgov\imagery\scanned_maps\moe_terrain_maps\Scanned_T_maps_all\K10\K10-1946","\\imagefiles.bcgov\imagery\scanned_maps\moe_terrain_maps\Scanned_T_maps_all\K10\K10-1946")</f>
        <v>\\imagefiles.bcgov\imagery\scanned_maps\moe_terrain_maps\Scanned_T_maps_all\K10\K10-1946</v>
      </c>
      <c r="S1566" t="s">
        <v>62</v>
      </c>
      <c r="T1566" s="11" t="str">
        <f>HYPERLINK("http://www.env.gov.bc.ca/esd/distdata/ecosystems/TEI_Scanned_Maps/K10/K10-1946","http://www.env.gov.bc.ca/esd/distdata/ecosystems/TEI_Scanned_Maps/K10/K10-1946")</f>
        <v>http://www.env.gov.bc.ca/esd/distdata/ecosystems/TEI_Scanned_Maps/K10/K10-1946</v>
      </c>
      <c r="U1566" t="s">
        <v>2487</v>
      </c>
      <c r="V1566" s="11" t="str">
        <f t="shared" si="90"/>
        <v>http://res.agr.ca/cansis/publications/surveys/bc/</v>
      </c>
      <c r="W1566" t="s">
        <v>2495</v>
      </c>
      <c r="X1566" s="11" t="str">
        <f t="shared" si="91"/>
        <v>http://www.em.gov.bc.ca/mining/geolsurv/terrain&amp;soils/frbcguid.htm</v>
      </c>
      <c r="Y1566" t="s">
        <v>2489</v>
      </c>
      <c r="Z1566" s="11" t="str">
        <f t="shared" si="92"/>
        <v>http://www.em.gov.bc.ca/mining/geolsurv/terrain&amp;soils/frbcguid.htm</v>
      </c>
      <c r="AA1566" t="s">
        <v>269</v>
      </c>
      <c r="AB1566" s="11" t="str">
        <f t="shared" si="93"/>
        <v>http://www.library.for.gov.bc.ca/#focus</v>
      </c>
      <c r="AC1566" t="s">
        <v>58</v>
      </c>
      <c r="AD1566" s="11" t="str">
        <f t="shared" si="94"/>
        <v>http://www.env.gov.bc.ca/soils/project/report.html</v>
      </c>
      <c r="AE1566" t="s">
        <v>58</v>
      </c>
      <c r="AG1566" t="s">
        <v>63</v>
      </c>
      <c r="AH1566" s="11" t="str">
        <f t="shared" si="86"/>
        <v>mailto: soilterrain@victoria1.gov.bc.ca</v>
      </c>
    </row>
    <row r="1567" spans="1:34">
      <c r="A1567" t="s">
        <v>3663</v>
      </c>
      <c r="B1567" t="s">
        <v>56</v>
      </c>
      <c r="C1567" s="10" t="s">
        <v>1367</v>
      </c>
      <c r="D1567" t="s">
        <v>58</v>
      </c>
      <c r="E1567" t="s">
        <v>3365</v>
      </c>
      <c r="F1567" t="s">
        <v>3664</v>
      </c>
      <c r="G1567">
        <v>50000</v>
      </c>
      <c r="H1567">
        <v>1987</v>
      </c>
      <c r="I1567" t="s">
        <v>2494</v>
      </c>
      <c r="J1567" t="s">
        <v>58</v>
      </c>
      <c r="K1567" t="s">
        <v>61</v>
      </c>
      <c r="L1567" t="s">
        <v>61</v>
      </c>
      <c r="M1567" t="s">
        <v>58</v>
      </c>
      <c r="Q1567" t="s">
        <v>58</v>
      </c>
      <c r="R1567" s="11" t="str">
        <f>HYPERLINK("\\imagefiles.bcgov\imagery\scanned_maps\moe_terrain_maps\Scanned_T_maps_all\K10\K10-1948","\\imagefiles.bcgov\imagery\scanned_maps\moe_terrain_maps\Scanned_T_maps_all\K10\K10-1948")</f>
        <v>\\imagefiles.bcgov\imagery\scanned_maps\moe_terrain_maps\Scanned_T_maps_all\K10\K10-1948</v>
      </c>
      <c r="S1567" t="s">
        <v>62</v>
      </c>
      <c r="T1567" s="11" t="str">
        <f>HYPERLINK("http://www.env.gov.bc.ca/esd/distdata/ecosystems/TEI_Scanned_Maps/K10/K10-1948","http://www.env.gov.bc.ca/esd/distdata/ecosystems/TEI_Scanned_Maps/K10/K10-1948")</f>
        <v>http://www.env.gov.bc.ca/esd/distdata/ecosystems/TEI_Scanned_Maps/K10/K10-1948</v>
      </c>
      <c r="U1567" t="s">
        <v>2487</v>
      </c>
      <c r="V1567" s="11" t="str">
        <f t="shared" si="90"/>
        <v>http://res.agr.ca/cansis/publications/surveys/bc/</v>
      </c>
      <c r="W1567" t="s">
        <v>2495</v>
      </c>
      <c r="X1567" s="11" t="str">
        <f t="shared" si="91"/>
        <v>http://www.em.gov.bc.ca/mining/geolsurv/terrain&amp;soils/frbcguid.htm</v>
      </c>
      <c r="Y1567" t="s">
        <v>2489</v>
      </c>
      <c r="Z1567" s="11" t="str">
        <f t="shared" si="92"/>
        <v>http://www.em.gov.bc.ca/mining/geolsurv/terrain&amp;soils/frbcguid.htm</v>
      </c>
      <c r="AA1567" t="s">
        <v>269</v>
      </c>
      <c r="AB1567" s="11" t="str">
        <f t="shared" si="93"/>
        <v>http://www.library.for.gov.bc.ca/#focus</v>
      </c>
      <c r="AC1567" t="s">
        <v>58</v>
      </c>
      <c r="AD1567" s="11" t="str">
        <f t="shared" si="94"/>
        <v>http://www.env.gov.bc.ca/soils/project/report.html</v>
      </c>
      <c r="AE1567" t="s">
        <v>58</v>
      </c>
      <c r="AG1567" t="s">
        <v>63</v>
      </c>
      <c r="AH1567" s="11" t="str">
        <f t="shared" si="86"/>
        <v>mailto: soilterrain@victoria1.gov.bc.ca</v>
      </c>
    </row>
    <row r="1568" spans="1:34">
      <c r="A1568" t="s">
        <v>3665</v>
      </c>
      <c r="B1568" t="s">
        <v>56</v>
      </c>
      <c r="C1568" s="10" t="s">
        <v>1369</v>
      </c>
      <c r="D1568" t="s">
        <v>58</v>
      </c>
      <c r="E1568" t="s">
        <v>3365</v>
      </c>
      <c r="F1568" t="s">
        <v>3666</v>
      </c>
      <c r="G1568">
        <v>50000</v>
      </c>
      <c r="H1568">
        <v>1985</v>
      </c>
      <c r="I1568" t="s">
        <v>2494</v>
      </c>
      <c r="J1568" t="s">
        <v>58</v>
      </c>
      <c r="K1568" t="s">
        <v>61</v>
      </c>
      <c r="L1568" t="s">
        <v>61</v>
      </c>
      <c r="M1568" t="s">
        <v>58</v>
      </c>
      <c r="Q1568" t="s">
        <v>58</v>
      </c>
      <c r="R1568" s="11" t="str">
        <f>HYPERLINK("\\imagefiles.bcgov\imagery\scanned_maps\moe_terrain_maps\Scanned_T_maps_all\K10\K10-1950","\\imagefiles.bcgov\imagery\scanned_maps\moe_terrain_maps\Scanned_T_maps_all\K10\K10-1950")</f>
        <v>\\imagefiles.bcgov\imagery\scanned_maps\moe_terrain_maps\Scanned_T_maps_all\K10\K10-1950</v>
      </c>
      <c r="S1568" t="s">
        <v>62</v>
      </c>
      <c r="T1568" s="11" t="str">
        <f>HYPERLINK("http://www.env.gov.bc.ca/esd/distdata/ecosystems/TEI_Scanned_Maps/K10/K10-1950","http://www.env.gov.bc.ca/esd/distdata/ecosystems/TEI_Scanned_Maps/K10/K10-1950")</f>
        <v>http://www.env.gov.bc.ca/esd/distdata/ecosystems/TEI_Scanned_Maps/K10/K10-1950</v>
      </c>
      <c r="U1568" t="s">
        <v>2487</v>
      </c>
      <c r="V1568" s="11" t="str">
        <f t="shared" si="90"/>
        <v>http://res.agr.ca/cansis/publications/surveys/bc/</v>
      </c>
      <c r="W1568" t="s">
        <v>2495</v>
      </c>
      <c r="X1568" s="11" t="str">
        <f t="shared" si="91"/>
        <v>http://www.em.gov.bc.ca/mining/geolsurv/terrain&amp;soils/frbcguid.htm</v>
      </c>
      <c r="Y1568" t="s">
        <v>2489</v>
      </c>
      <c r="Z1568" s="11" t="str">
        <f t="shared" si="92"/>
        <v>http://www.em.gov.bc.ca/mining/geolsurv/terrain&amp;soils/frbcguid.htm</v>
      </c>
      <c r="AA1568" t="s">
        <v>269</v>
      </c>
      <c r="AB1568" s="11" t="str">
        <f t="shared" si="93"/>
        <v>http://www.library.for.gov.bc.ca/#focus</v>
      </c>
      <c r="AC1568" t="s">
        <v>58</v>
      </c>
      <c r="AD1568" s="11" t="str">
        <f t="shared" si="94"/>
        <v>http://www.env.gov.bc.ca/soils/project/report.html</v>
      </c>
      <c r="AE1568" t="s">
        <v>58</v>
      </c>
      <c r="AG1568" t="s">
        <v>63</v>
      </c>
      <c r="AH1568" s="11" t="str">
        <f t="shared" si="86"/>
        <v>mailto: soilterrain@victoria1.gov.bc.ca</v>
      </c>
    </row>
    <row r="1569" spans="1:34">
      <c r="A1569" t="s">
        <v>3667</v>
      </c>
      <c r="B1569" t="s">
        <v>56</v>
      </c>
      <c r="C1569" s="10" t="s">
        <v>1371</v>
      </c>
      <c r="D1569" t="s">
        <v>58</v>
      </c>
      <c r="E1569" t="s">
        <v>3365</v>
      </c>
      <c r="F1569" t="s">
        <v>3668</v>
      </c>
      <c r="G1569">
        <v>50000</v>
      </c>
      <c r="H1569">
        <v>1985</v>
      </c>
      <c r="I1569" t="s">
        <v>2494</v>
      </c>
      <c r="J1569" t="s">
        <v>58</v>
      </c>
      <c r="K1569" t="s">
        <v>61</v>
      </c>
      <c r="L1569" t="s">
        <v>61</v>
      </c>
      <c r="M1569" t="s">
        <v>58</v>
      </c>
      <c r="Q1569" t="s">
        <v>58</v>
      </c>
      <c r="R1569" s="11" t="str">
        <f>HYPERLINK("\\imagefiles.bcgov\imagery\scanned_maps\moe_terrain_maps\Scanned_T_maps_all\K10\K10-1952","\\imagefiles.bcgov\imagery\scanned_maps\moe_terrain_maps\Scanned_T_maps_all\K10\K10-1952")</f>
        <v>\\imagefiles.bcgov\imagery\scanned_maps\moe_terrain_maps\Scanned_T_maps_all\K10\K10-1952</v>
      </c>
      <c r="S1569" t="s">
        <v>62</v>
      </c>
      <c r="T1569" s="11" t="str">
        <f>HYPERLINK("http://www.env.gov.bc.ca/esd/distdata/ecosystems/TEI_Scanned_Maps/K10/K10-1952","http://www.env.gov.bc.ca/esd/distdata/ecosystems/TEI_Scanned_Maps/K10/K10-1952")</f>
        <v>http://www.env.gov.bc.ca/esd/distdata/ecosystems/TEI_Scanned_Maps/K10/K10-1952</v>
      </c>
      <c r="U1569" t="s">
        <v>2487</v>
      </c>
      <c r="V1569" s="11" t="str">
        <f t="shared" si="90"/>
        <v>http://res.agr.ca/cansis/publications/surveys/bc/</v>
      </c>
      <c r="W1569" t="s">
        <v>2495</v>
      </c>
      <c r="X1569" s="11" t="str">
        <f t="shared" si="91"/>
        <v>http://www.em.gov.bc.ca/mining/geolsurv/terrain&amp;soils/frbcguid.htm</v>
      </c>
      <c r="Y1569" t="s">
        <v>2489</v>
      </c>
      <c r="Z1569" s="11" t="str">
        <f t="shared" si="92"/>
        <v>http://www.em.gov.bc.ca/mining/geolsurv/terrain&amp;soils/frbcguid.htm</v>
      </c>
      <c r="AA1569" t="s">
        <v>269</v>
      </c>
      <c r="AB1569" s="11" t="str">
        <f t="shared" si="93"/>
        <v>http://www.library.for.gov.bc.ca/#focus</v>
      </c>
      <c r="AC1569" t="s">
        <v>58</v>
      </c>
      <c r="AD1569" s="11" t="str">
        <f t="shared" si="94"/>
        <v>http://www.env.gov.bc.ca/soils/project/report.html</v>
      </c>
      <c r="AE1569" t="s">
        <v>58</v>
      </c>
      <c r="AG1569" t="s">
        <v>63</v>
      </c>
      <c r="AH1569" s="11" t="str">
        <f t="shared" si="86"/>
        <v>mailto: soilterrain@victoria1.gov.bc.ca</v>
      </c>
    </row>
    <row r="1570" spans="1:34">
      <c r="A1570" t="s">
        <v>3669</v>
      </c>
      <c r="B1570" t="s">
        <v>56</v>
      </c>
      <c r="C1570" s="10" t="s">
        <v>1373</v>
      </c>
      <c r="D1570" t="s">
        <v>58</v>
      </c>
      <c r="E1570" t="s">
        <v>3365</v>
      </c>
      <c r="F1570" t="s">
        <v>3670</v>
      </c>
      <c r="G1570">
        <v>50000</v>
      </c>
      <c r="H1570">
        <v>1985</v>
      </c>
      <c r="I1570" t="s">
        <v>2494</v>
      </c>
      <c r="J1570" t="s">
        <v>58</v>
      </c>
      <c r="K1570" t="s">
        <v>61</v>
      </c>
      <c r="L1570" t="s">
        <v>61</v>
      </c>
      <c r="M1570" t="s">
        <v>58</v>
      </c>
      <c r="Q1570" t="s">
        <v>58</v>
      </c>
      <c r="R1570" s="11" t="str">
        <f>HYPERLINK("\\imagefiles.bcgov\imagery\scanned_maps\moe_terrain_maps\Scanned_T_maps_all\K10\K10-1954","\\imagefiles.bcgov\imagery\scanned_maps\moe_terrain_maps\Scanned_T_maps_all\K10\K10-1954")</f>
        <v>\\imagefiles.bcgov\imagery\scanned_maps\moe_terrain_maps\Scanned_T_maps_all\K10\K10-1954</v>
      </c>
      <c r="S1570" t="s">
        <v>62</v>
      </c>
      <c r="T1570" s="11" t="str">
        <f>HYPERLINK("http://www.env.gov.bc.ca/esd/distdata/ecosystems/TEI_Scanned_Maps/K10/K10-1954","http://www.env.gov.bc.ca/esd/distdata/ecosystems/TEI_Scanned_Maps/K10/K10-1954")</f>
        <v>http://www.env.gov.bc.ca/esd/distdata/ecosystems/TEI_Scanned_Maps/K10/K10-1954</v>
      </c>
      <c r="U1570" t="s">
        <v>2487</v>
      </c>
      <c r="V1570" s="11" t="str">
        <f t="shared" si="90"/>
        <v>http://res.agr.ca/cansis/publications/surveys/bc/</v>
      </c>
      <c r="W1570" t="s">
        <v>2495</v>
      </c>
      <c r="X1570" s="11" t="str">
        <f t="shared" si="91"/>
        <v>http://www.em.gov.bc.ca/mining/geolsurv/terrain&amp;soils/frbcguid.htm</v>
      </c>
      <c r="Y1570" t="s">
        <v>2489</v>
      </c>
      <c r="Z1570" s="11" t="str">
        <f t="shared" si="92"/>
        <v>http://www.em.gov.bc.ca/mining/geolsurv/terrain&amp;soils/frbcguid.htm</v>
      </c>
      <c r="AA1570" t="s">
        <v>269</v>
      </c>
      <c r="AB1570" s="11" t="str">
        <f t="shared" si="93"/>
        <v>http://www.library.for.gov.bc.ca/#focus</v>
      </c>
      <c r="AC1570" t="s">
        <v>58</v>
      </c>
      <c r="AD1570" s="11" t="str">
        <f t="shared" si="94"/>
        <v>http://www.env.gov.bc.ca/soils/project/report.html</v>
      </c>
      <c r="AE1570" t="s">
        <v>58</v>
      </c>
      <c r="AG1570" t="s">
        <v>63</v>
      </c>
      <c r="AH1570" s="11" t="str">
        <f t="shared" si="86"/>
        <v>mailto: soilterrain@victoria1.gov.bc.ca</v>
      </c>
    </row>
    <row r="1571" spans="1:34">
      <c r="A1571" t="s">
        <v>3671</v>
      </c>
      <c r="B1571" t="s">
        <v>56</v>
      </c>
      <c r="C1571" s="10" t="s">
        <v>1375</v>
      </c>
      <c r="D1571" t="s">
        <v>58</v>
      </c>
      <c r="E1571" t="s">
        <v>3365</v>
      </c>
      <c r="F1571" t="s">
        <v>3672</v>
      </c>
      <c r="G1571">
        <v>50000</v>
      </c>
      <c r="H1571">
        <v>1985</v>
      </c>
      <c r="I1571" t="s">
        <v>2494</v>
      </c>
      <c r="J1571" t="s">
        <v>58</v>
      </c>
      <c r="K1571" t="s">
        <v>61</v>
      </c>
      <c r="L1571" t="s">
        <v>61</v>
      </c>
      <c r="M1571" t="s">
        <v>58</v>
      </c>
      <c r="Q1571" t="s">
        <v>58</v>
      </c>
      <c r="R1571" s="11" t="str">
        <f>HYPERLINK("\\imagefiles.bcgov\imagery\scanned_maps\moe_terrain_maps\Scanned_T_maps_all\K10\K10-1956","\\imagefiles.bcgov\imagery\scanned_maps\moe_terrain_maps\Scanned_T_maps_all\K10\K10-1956")</f>
        <v>\\imagefiles.bcgov\imagery\scanned_maps\moe_terrain_maps\Scanned_T_maps_all\K10\K10-1956</v>
      </c>
      <c r="S1571" t="s">
        <v>62</v>
      </c>
      <c r="T1571" s="11" t="str">
        <f>HYPERLINK("http://www.env.gov.bc.ca/esd/distdata/ecosystems/TEI_Scanned_Maps/K10/K10-1956","http://www.env.gov.bc.ca/esd/distdata/ecosystems/TEI_Scanned_Maps/K10/K10-1956")</f>
        <v>http://www.env.gov.bc.ca/esd/distdata/ecosystems/TEI_Scanned_Maps/K10/K10-1956</v>
      </c>
      <c r="U1571" t="s">
        <v>2487</v>
      </c>
      <c r="V1571" s="11" t="str">
        <f t="shared" si="90"/>
        <v>http://res.agr.ca/cansis/publications/surveys/bc/</v>
      </c>
      <c r="W1571" t="s">
        <v>2495</v>
      </c>
      <c r="X1571" s="11" t="str">
        <f t="shared" si="91"/>
        <v>http://www.em.gov.bc.ca/mining/geolsurv/terrain&amp;soils/frbcguid.htm</v>
      </c>
      <c r="Y1571" t="s">
        <v>2489</v>
      </c>
      <c r="Z1571" s="11" t="str">
        <f t="shared" si="92"/>
        <v>http://www.em.gov.bc.ca/mining/geolsurv/terrain&amp;soils/frbcguid.htm</v>
      </c>
      <c r="AA1571" t="s">
        <v>269</v>
      </c>
      <c r="AB1571" s="11" t="str">
        <f t="shared" si="93"/>
        <v>http://www.library.for.gov.bc.ca/#focus</v>
      </c>
      <c r="AC1571" t="s">
        <v>58</v>
      </c>
      <c r="AD1571" s="11" t="str">
        <f t="shared" si="94"/>
        <v>http://www.env.gov.bc.ca/soils/project/report.html</v>
      </c>
      <c r="AE1571" t="s">
        <v>58</v>
      </c>
      <c r="AG1571" t="s">
        <v>63</v>
      </c>
      <c r="AH1571" s="11" t="str">
        <f t="shared" si="86"/>
        <v>mailto: soilterrain@victoria1.gov.bc.ca</v>
      </c>
    </row>
    <row r="1572" spans="1:34">
      <c r="A1572" t="s">
        <v>3673</v>
      </c>
      <c r="B1572" t="s">
        <v>56</v>
      </c>
      <c r="C1572" s="10" t="s">
        <v>1379</v>
      </c>
      <c r="D1572" t="s">
        <v>58</v>
      </c>
      <c r="E1572" t="s">
        <v>3110</v>
      </c>
      <c r="F1572" t="s">
        <v>3674</v>
      </c>
      <c r="G1572">
        <v>50000</v>
      </c>
      <c r="H1572">
        <v>1988</v>
      </c>
      <c r="I1572" t="s">
        <v>3102</v>
      </c>
      <c r="J1572" t="s">
        <v>58</v>
      </c>
      <c r="K1572" t="s">
        <v>61</v>
      </c>
      <c r="L1572" t="s">
        <v>61</v>
      </c>
      <c r="M1572" t="s">
        <v>58</v>
      </c>
      <c r="Q1572" t="s">
        <v>58</v>
      </c>
      <c r="R1572" s="11" t="str">
        <f>HYPERLINK("\\imagefiles.bcgov\imagery\scanned_maps\moe_terrain_maps\Scanned_T_maps_all\K10\K10-2007","\\imagefiles.bcgov\imagery\scanned_maps\moe_terrain_maps\Scanned_T_maps_all\K10\K10-2007")</f>
        <v>\\imagefiles.bcgov\imagery\scanned_maps\moe_terrain_maps\Scanned_T_maps_all\K10\K10-2007</v>
      </c>
      <c r="S1572" t="s">
        <v>62</v>
      </c>
      <c r="T1572" s="11" t="str">
        <f>HYPERLINK("http://www.env.gov.bc.ca/esd/distdata/ecosystems/TEI_Scanned_Maps/K10/K10-2007","http://www.env.gov.bc.ca/esd/distdata/ecosystems/TEI_Scanned_Maps/K10/K10-2007")</f>
        <v>http://www.env.gov.bc.ca/esd/distdata/ecosystems/TEI_Scanned_Maps/K10/K10-2007</v>
      </c>
      <c r="U1572" t="s">
        <v>2495</v>
      </c>
      <c r="V1572" s="11" t="str">
        <f>HYPERLINK("http://www.em.gov.bc.ca/mining/geolsurv/terrain&amp;soils/frbcguid.htm","http://www.em.gov.bc.ca/mining/geolsurv/terrain&amp;soils/frbcguid.htm")</f>
        <v>http://www.em.gov.bc.ca/mining/geolsurv/terrain&amp;soils/frbcguid.htm</v>
      </c>
      <c r="W1572" t="s">
        <v>2489</v>
      </c>
      <c r="X1572" s="11" t="str">
        <f t="shared" si="91"/>
        <v>http://www.em.gov.bc.ca/mining/geolsurv/terrain&amp;soils/frbcguid.htm</v>
      </c>
      <c r="Y1572" t="s">
        <v>269</v>
      </c>
      <c r="Z1572" s="11" t="str">
        <f>HYPERLINK("http://www.library.for.gov.bc.ca/#focus","http://www.library.for.gov.bc.ca/#focus")</f>
        <v>http://www.library.for.gov.bc.ca/#focus</v>
      </c>
      <c r="AA1572" t="s">
        <v>58</v>
      </c>
      <c r="AC1572" t="s">
        <v>58</v>
      </c>
      <c r="AE1572" t="s">
        <v>58</v>
      </c>
      <c r="AG1572" t="s">
        <v>63</v>
      </c>
      <c r="AH1572" s="11" t="str">
        <f t="shared" si="86"/>
        <v>mailto: soilterrain@victoria1.gov.bc.ca</v>
      </c>
    </row>
    <row r="1573" spans="1:34">
      <c r="A1573" t="s">
        <v>3675</v>
      </c>
      <c r="B1573" t="s">
        <v>56</v>
      </c>
      <c r="C1573" s="10" t="s">
        <v>1381</v>
      </c>
      <c r="D1573" t="s">
        <v>58</v>
      </c>
      <c r="E1573" t="s">
        <v>3110</v>
      </c>
      <c r="F1573" t="s">
        <v>3676</v>
      </c>
      <c r="G1573">
        <v>50000</v>
      </c>
      <c r="H1573">
        <v>1987</v>
      </c>
      <c r="I1573" t="s">
        <v>3102</v>
      </c>
      <c r="J1573" t="s">
        <v>58</v>
      </c>
      <c r="K1573" t="s">
        <v>61</v>
      </c>
      <c r="L1573" t="s">
        <v>61</v>
      </c>
      <c r="M1573" t="s">
        <v>58</v>
      </c>
      <c r="Q1573" t="s">
        <v>58</v>
      </c>
      <c r="R1573" s="11" t="str">
        <f>HYPERLINK("\\imagefiles.bcgov\imagery\scanned_maps\moe_terrain_maps\Scanned_T_maps_all\K10\K10-2009","\\imagefiles.bcgov\imagery\scanned_maps\moe_terrain_maps\Scanned_T_maps_all\K10\K10-2009")</f>
        <v>\\imagefiles.bcgov\imagery\scanned_maps\moe_terrain_maps\Scanned_T_maps_all\K10\K10-2009</v>
      </c>
      <c r="S1573" t="s">
        <v>62</v>
      </c>
      <c r="T1573" s="11" t="str">
        <f>HYPERLINK("http://www.env.gov.bc.ca/esd/distdata/ecosystems/TEI_Scanned_Maps/K10/K10-2009","http://www.env.gov.bc.ca/esd/distdata/ecosystems/TEI_Scanned_Maps/K10/K10-2009")</f>
        <v>http://www.env.gov.bc.ca/esd/distdata/ecosystems/TEI_Scanned_Maps/K10/K10-2009</v>
      </c>
      <c r="U1573" t="s">
        <v>2495</v>
      </c>
      <c r="V1573" s="11" t="str">
        <f>HYPERLINK("http://www.em.gov.bc.ca/mining/geolsurv/terrain&amp;soils/frbcguid.htm","http://www.em.gov.bc.ca/mining/geolsurv/terrain&amp;soils/frbcguid.htm")</f>
        <v>http://www.em.gov.bc.ca/mining/geolsurv/terrain&amp;soils/frbcguid.htm</v>
      </c>
      <c r="W1573" t="s">
        <v>2489</v>
      </c>
      <c r="X1573" s="11" t="str">
        <f t="shared" si="91"/>
        <v>http://www.em.gov.bc.ca/mining/geolsurv/terrain&amp;soils/frbcguid.htm</v>
      </c>
      <c r="Y1573" t="s">
        <v>269</v>
      </c>
      <c r="Z1573" s="11" t="str">
        <f>HYPERLINK("http://www.library.for.gov.bc.ca/#focus","http://www.library.for.gov.bc.ca/#focus")</f>
        <v>http://www.library.for.gov.bc.ca/#focus</v>
      </c>
      <c r="AA1573" t="s">
        <v>58</v>
      </c>
      <c r="AC1573" t="s">
        <v>58</v>
      </c>
      <c r="AE1573" t="s">
        <v>58</v>
      </c>
      <c r="AG1573" t="s">
        <v>63</v>
      </c>
      <c r="AH1573" s="11" t="str">
        <f t="shared" si="86"/>
        <v>mailto: soilterrain@victoria1.gov.bc.ca</v>
      </c>
    </row>
    <row r="1574" spans="1:34">
      <c r="A1574" t="s">
        <v>3677</v>
      </c>
      <c r="B1574" t="s">
        <v>56</v>
      </c>
      <c r="C1574" s="10" t="s">
        <v>1383</v>
      </c>
      <c r="D1574" t="s">
        <v>58</v>
      </c>
      <c r="E1574" t="s">
        <v>3104</v>
      </c>
      <c r="F1574" t="s">
        <v>3678</v>
      </c>
      <c r="G1574">
        <v>50000</v>
      </c>
      <c r="H1574">
        <v>1985</v>
      </c>
      <c r="I1574" t="s">
        <v>3106</v>
      </c>
      <c r="J1574" t="s">
        <v>58</v>
      </c>
      <c r="K1574" t="s">
        <v>58</v>
      </c>
      <c r="L1574" t="s">
        <v>61</v>
      </c>
      <c r="M1574" t="s">
        <v>58</v>
      </c>
      <c r="Q1574" t="s">
        <v>58</v>
      </c>
      <c r="R1574" s="11" t="str">
        <f>HYPERLINK("\\imagefiles.bcgov\imagery\scanned_maps\moe_terrain_maps\Scanned_T_maps_all\K10\K10-2011","\\imagefiles.bcgov\imagery\scanned_maps\moe_terrain_maps\Scanned_T_maps_all\K10\K10-2011")</f>
        <v>\\imagefiles.bcgov\imagery\scanned_maps\moe_terrain_maps\Scanned_T_maps_all\K10\K10-2011</v>
      </c>
      <c r="S1574" t="s">
        <v>62</v>
      </c>
      <c r="T1574" s="11" t="str">
        <f>HYPERLINK("http://www.env.gov.bc.ca/esd/distdata/ecosystems/TEI_Scanned_Maps/K10/K10-2011","http://www.env.gov.bc.ca/esd/distdata/ecosystems/TEI_Scanned_Maps/K10/K10-2011")</f>
        <v>http://www.env.gov.bc.ca/esd/distdata/ecosystems/TEI_Scanned_Maps/K10/K10-2011</v>
      </c>
      <c r="U1574" t="s">
        <v>2487</v>
      </c>
      <c r="V1574" s="11" t="str">
        <f>HYPERLINK("http://res.agr.ca/cansis/publications/surveys/bc/","http://res.agr.ca/cansis/publications/surveys/bc/")</f>
        <v>http://res.agr.ca/cansis/publications/surveys/bc/</v>
      </c>
      <c r="W1574" t="s">
        <v>269</v>
      </c>
      <c r="X1574" s="11" t="str">
        <f>HYPERLINK("http://www.library.for.gov.bc.ca/#focus","http://www.library.for.gov.bc.ca/#focus")</f>
        <v>http://www.library.for.gov.bc.ca/#focus</v>
      </c>
      <c r="Y1574" t="s">
        <v>58</v>
      </c>
      <c r="Z1574" t="s">
        <v>58</v>
      </c>
      <c r="AA1574" t="s">
        <v>58</v>
      </c>
      <c r="AC1574" t="s">
        <v>58</v>
      </c>
      <c r="AE1574" t="s">
        <v>58</v>
      </c>
      <c r="AG1574" t="s">
        <v>63</v>
      </c>
      <c r="AH1574" s="11" t="str">
        <f t="shared" si="86"/>
        <v>mailto: soilterrain@victoria1.gov.bc.ca</v>
      </c>
    </row>
    <row r="1575" spans="1:34">
      <c r="A1575" t="s">
        <v>3679</v>
      </c>
      <c r="B1575" t="s">
        <v>56</v>
      </c>
      <c r="C1575" s="10" t="s">
        <v>1385</v>
      </c>
      <c r="D1575" t="s">
        <v>58</v>
      </c>
      <c r="E1575" t="s">
        <v>3104</v>
      </c>
      <c r="F1575" t="s">
        <v>3680</v>
      </c>
      <c r="G1575">
        <v>50000</v>
      </c>
      <c r="H1575">
        <v>1985</v>
      </c>
      <c r="I1575" t="s">
        <v>3106</v>
      </c>
      <c r="J1575" t="s">
        <v>58</v>
      </c>
      <c r="K1575" t="s">
        <v>58</v>
      </c>
      <c r="L1575" t="s">
        <v>61</v>
      </c>
      <c r="M1575" t="s">
        <v>58</v>
      </c>
      <c r="Q1575" t="s">
        <v>58</v>
      </c>
      <c r="R1575" s="11" t="str">
        <f>HYPERLINK("\\imagefiles.bcgov\imagery\scanned_maps\moe_terrain_maps\Scanned_T_maps_all\K10\K10-2013","\\imagefiles.bcgov\imagery\scanned_maps\moe_terrain_maps\Scanned_T_maps_all\K10\K10-2013")</f>
        <v>\\imagefiles.bcgov\imagery\scanned_maps\moe_terrain_maps\Scanned_T_maps_all\K10\K10-2013</v>
      </c>
      <c r="S1575" t="s">
        <v>62</v>
      </c>
      <c r="T1575" s="11" t="str">
        <f>HYPERLINK("http://www.env.gov.bc.ca/esd/distdata/ecosystems/TEI_Scanned_Maps/K10/K10-2013","http://www.env.gov.bc.ca/esd/distdata/ecosystems/TEI_Scanned_Maps/K10/K10-2013")</f>
        <v>http://www.env.gov.bc.ca/esd/distdata/ecosystems/TEI_Scanned_Maps/K10/K10-2013</v>
      </c>
      <c r="U1575" t="s">
        <v>2487</v>
      </c>
      <c r="V1575" s="11" t="str">
        <f>HYPERLINK("http://res.agr.ca/cansis/publications/surveys/bc/","http://res.agr.ca/cansis/publications/surveys/bc/")</f>
        <v>http://res.agr.ca/cansis/publications/surveys/bc/</v>
      </c>
      <c r="W1575" t="s">
        <v>269</v>
      </c>
      <c r="X1575" s="11" t="str">
        <f>HYPERLINK("http://www.library.for.gov.bc.ca/#focus","http://www.library.for.gov.bc.ca/#focus")</f>
        <v>http://www.library.for.gov.bc.ca/#focus</v>
      </c>
      <c r="Y1575" t="s">
        <v>58</v>
      </c>
      <c r="Z1575" t="s">
        <v>58</v>
      </c>
      <c r="AA1575" t="s">
        <v>58</v>
      </c>
      <c r="AC1575" t="s">
        <v>58</v>
      </c>
      <c r="AE1575" t="s">
        <v>58</v>
      </c>
      <c r="AG1575" t="s">
        <v>63</v>
      </c>
      <c r="AH1575" s="11" t="str">
        <f t="shared" si="86"/>
        <v>mailto: soilterrain@victoria1.gov.bc.ca</v>
      </c>
    </row>
    <row r="1576" spans="1:34">
      <c r="A1576" t="s">
        <v>3681</v>
      </c>
      <c r="B1576" t="s">
        <v>56</v>
      </c>
      <c r="C1576" s="10" t="s">
        <v>1387</v>
      </c>
      <c r="D1576" t="s">
        <v>58</v>
      </c>
      <c r="E1576" t="s">
        <v>3104</v>
      </c>
      <c r="F1576" t="s">
        <v>3682</v>
      </c>
      <c r="G1576">
        <v>50000</v>
      </c>
      <c r="H1576">
        <v>1985</v>
      </c>
      <c r="I1576" t="s">
        <v>3106</v>
      </c>
      <c r="J1576" t="s">
        <v>58</v>
      </c>
      <c r="K1576" t="s">
        <v>58</v>
      </c>
      <c r="L1576" t="s">
        <v>61</v>
      </c>
      <c r="M1576" t="s">
        <v>58</v>
      </c>
      <c r="Q1576" t="s">
        <v>58</v>
      </c>
      <c r="R1576" s="11" t="str">
        <f>HYPERLINK("\\imagefiles.bcgov\imagery\scanned_maps\moe_terrain_maps\Scanned_T_maps_all\K10\K10-2015","\\imagefiles.bcgov\imagery\scanned_maps\moe_terrain_maps\Scanned_T_maps_all\K10\K10-2015")</f>
        <v>\\imagefiles.bcgov\imagery\scanned_maps\moe_terrain_maps\Scanned_T_maps_all\K10\K10-2015</v>
      </c>
      <c r="S1576" t="s">
        <v>62</v>
      </c>
      <c r="T1576" s="11" t="str">
        <f>HYPERLINK("http://www.env.gov.bc.ca/esd/distdata/ecosystems/TEI_Scanned_Maps/K10/K10-2015","http://www.env.gov.bc.ca/esd/distdata/ecosystems/TEI_Scanned_Maps/K10/K10-2015")</f>
        <v>http://www.env.gov.bc.ca/esd/distdata/ecosystems/TEI_Scanned_Maps/K10/K10-2015</v>
      </c>
      <c r="U1576" t="s">
        <v>2487</v>
      </c>
      <c r="V1576" s="11" t="str">
        <f>HYPERLINK("http://res.agr.ca/cansis/publications/surveys/bc/","http://res.agr.ca/cansis/publications/surveys/bc/")</f>
        <v>http://res.agr.ca/cansis/publications/surveys/bc/</v>
      </c>
      <c r="W1576" t="s">
        <v>269</v>
      </c>
      <c r="X1576" s="11" t="str">
        <f>HYPERLINK("http://www.library.for.gov.bc.ca/#focus","http://www.library.for.gov.bc.ca/#focus")</f>
        <v>http://www.library.for.gov.bc.ca/#focus</v>
      </c>
      <c r="Y1576" t="s">
        <v>58</v>
      </c>
      <c r="Z1576" t="s">
        <v>58</v>
      </c>
      <c r="AA1576" t="s">
        <v>58</v>
      </c>
      <c r="AC1576" t="s">
        <v>58</v>
      </c>
      <c r="AE1576" t="s">
        <v>58</v>
      </c>
      <c r="AG1576" t="s">
        <v>63</v>
      </c>
      <c r="AH1576" s="11" t="str">
        <f t="shared" si="86"/>
        <v>mailto: soilterrain@victoria1.gov.bc.ca</v>
      </c>
    </row>
    <row r="1577" spans="1:34">
      <c r="A1577" t="s">
        <v>3683</v>
      </c>
      <c r="B1577" t="s">
        <v>56</v>
      </c>
      <c r="C1577" s="10" t="s">
        <v>1389</v>
      </c>
      <c r="D1577" t="s">
        <v>58</v>
      </c>
      <c r="E1577" t="s">
        <v>3104</v>
      </c>
      <c r="F1577" t="s">
        <v>3684</v>
      </c>
      <c r="G1577">
        <v>50000</v>
      </c>
      <c r="H1577">
        <v>1985</v>
      </c>
      <c r="I1577" t="s">
        <v>3106</v>
      </c>
      <c r="J1577" t="s">
        <v>58</v>
      </c>
      <c r="K1577" t="s">
        <v>58</v>
      </c>
      <c r="L1577" t="s">
        <v>61</v>
      </c>
      <c r="M1577" t="s">
        <v>58</v>
      </c>
      <c r="Q1577" t="s">
        <v>58</v>
      </c>
      <c r="R1577" s="11" t="str">
        <f>HYPERLINK("\\imagefiles.bcgov\imagery\scanned_maps\moe_terrain_maps\Scanned_T_maps_all\K10\K10-2017","\\imagefiles.bcgov\imagery\scanned_maps\moe_terrain_maps\Scanned_T_maps_all\K10\K10-2017")</f>
        <v>\\imagefiles.bcgov\imagery\scanned_maps\moe_terrain_maps\Scanned_T_maps_all\K10\K10-2017</v>
      </c>
      <c r="S1577" t="s">
        <v>62</v>
      </c>
      <c r="T1577" s="11" t="str">
        <f>HYPERLINK("http://www.env.gov.bc.ca/esd/distdata/ecosystems/TEI_Scanned_Maps/K10/K10-2017","http://www.env.gov.bc.ca/esd/distdata/ecosystems/TEI_Scanned_Maps/K10/K10-2017")</f>
        <v>http://www.env.gov.bc.ca/esd/distdata/ecosystems/TEI_Scanned_Maps/K10/K10-2017</v>
      </c>
      <c r="U1577" t="s">
        <v>2487</v>
      </c>
      <c r="V1577" s="11" t="str">
        <f>HYPERLINK("http://res.agr.ca/cansis/publications/surveys/bc/","http://res.agr.ca/cansis/publications/surveys/bc/")</f>
        <v>http://res.agr.ca/cansis/publications/surveys/bc/</v>
      </c>
      <c r="W1577" t="s">
        <v>269</v>
      </c>
      <c r="X1577" s="11" t="str">
        <f>HYPERLINK("http://www.library.for.gov.bc.ca/#focus","http://www.library.for.gov.bc.ca/#focus")</f>
        <v>http://www.library.for.gov.bc.ca/#focus</v>
      </c>
      <c r="Y1577" t="s">
        <v>58</v>
      </c>
      <c r="Z1577" t="s">
        <v>58</v>
      </c>
      <c r="AA1577" t="s">
        <v>58</v>
      </c>
      <c r="AC1577" t="s">
        <v>58</v>
      </c>
      <c r="AE1577" t="s">
        <v>58</v>
      </c>
      <c r="AG1577" t="s">
        <v>63</v>
      </c>
      <c r="AH1577" s="11" t="str">
        <f t="shared" si="86"/>
        <v>mailto: soilterrain@victoria1.gov.bc.ca</v>
      </c>
    </row>
    <row r="1578" spans="1:34">
      <c r="A1578" t="s">
        <v>3685</v>
      </c>
      <c r="B1578" t="s">
        <v>56</v>
      </c>
      <c r="C1578" s="10" t="s">
        <v>1391</v>
      </c>
      <c r="D1578" t="s">
        <v>58</v>
      </c>
      <c r="E1578" t="s">
        <v>3110</v>
      </c>
      <c r="F1578" t="s">
        <v>3686</v>
      </c>
      <c r="G1578">
        <v>50000</v>
      </c>
      <c r="H1578">
        <v>1988</v>
      </c>
      <c r="I1578" t="s">
        <v>3102</v>
      </c>
      <c r="J1578" t="s">
        <v>58</v>
      </c>
      <c r="K1578" t="s">
        <v>61</v>
      </c>
      <c r="L1578" t="s">
        <v>61</v>
      </c>
      <c r="M1578" t="s">
        <v>58</v>
      </c>
      <c r="Q1578" t="s">
        <v>58</v>
      </c>
      <c r="R1578" s="11" t="str">
        <f>HYPERLINK("\\imagefiles.bcgov\imagery\scanned_maps\moe_terrain_maps\Scanned_T_maps_all\K10\K10-2019","\\imagefiles.bcgov\imagery\scanned_maps\moe_terrain_maps\Scanned_T_maps_all\K10\K10-2019")</f>
        <v>\\imagefiles.bcgov\imagery\scanned_maps\moe_terrain_maps\Scanned_T_maps_all\K10\K10-2019</v>
      </c>
      <c r="S1578" t="s">
        <v>62</v>
      </c>
      <c r="T1578" s="11" t="str">
        <f>HYPERLINK("http://www.env.gov.bc.ca/esd/distdata/ecosystems/TEI_Scanned_Maps/K10/K10-2019","http://www.env.gov.bc.ca/esd/distdata/ecosystems/TEI_Scanned_Maps/K10/K10-2019")</f>
        <v>http://www.env.gov.bc.ca/esd/distdata/ecosystems/TEI_Scanned_Maps/K10/K10-2019</v>
      </c>
      <c r="U1578" t="s">
        <v>269</v>
      </c>
      <c r="V1578" s="11" t="str">
        <f>HYPERLINK("http://www.library.for.gov.bc.ca/#focus","http://www.library.for.gov.bc.ca/#focus")</f>
        <v>http://www.library.for.gov.bc.ca/#focus</v>
      </c>
      <c r="W1578" t="s">
        <v>58</v>
      </c>
      <c r="X1578" t="s">
        <v>58</v>
      </c>
      <c r="Y1578" t="s">
        <v>58</v>
      </c>
      <c r="Z1578" t="s">
        <v>58</v>
      </c>
      <c r="AA1578" t="s">
        <v>58</v>
      </c>
      <c r="AC1578" t="s">
        <v>58</v>
      </c>
      <c r="AE1578" t="s">
        <v>58</v>
      </c>
      <c r="AG1578" t="s">
        <v>63</v>
      </c>
      <c r="AH1578" s="11" t="str">
        <f t="shared" si="86"/>
        <v>mailto: soilterrain@victoria1.gov.bc.ca</v>
      </c>
    </row>
    <row r="1579" spans="1:34">
      <c r="A1579" t="s">
        <v>3687</v>
      </c>
      <c r="B1579" t="s">
        <v>56</v>
      </c>
      <c r="C1579" s="10" t="s">
        <v>1393</v>
      </c>
      <c r="D1579" t="s">
        <v>58</v>
      </c>
      <c r="E1579" t="s">
        <v>3110</v>
      </c>
      <c r="F1579" t="s">
        <v>3688</v>
      </c>
      <c r="G1579">
        <v>50000</v>
      </c>
      <c r="H1579">
        <v>1988</v>
      </c>
      <c r="I1579" t="s">
        <v>3102</v>
      </c>
      <c r="J1579" t="s">
        <v>58</v>
      </c>
      <c r="K1579" t="s">
        <v>61</v>
      </c>
      <c r="L1579" t="s">
        <v>61</v>
      </c>
      <c r="M1579" t="s">
        <v>58</v>
      </c>
      <c r="Q1579" t="s">
        <v>58</v>
      </c>
      <c r="R1579" s="11" t="str">
        <f>HYPERLINK("\\imagefiles.bcgov\imagery\scanned_maps\moe_terrain_maps\Scanned_T_maps_all\K10\K10-2021","\\imagefiles.bcgov\imagery\scanned_maps\moe_terrain_maps\Scanned_T_maps_all\K10\K10-2021")</f>
        <v>\\imagefiles.bcgov\imagery\scanned_maps\moe_terrain_maps\Scanned_T_maps_all\K10\K10-2021</v>
      </c>
      <c r="S1579" t="s">
        <v>62</v>
      </c>
      <c r="T1579" s="11" t="str">
        <f>HYPERLINK("http://www.env.gov.bc.ca/esd/distdata/ecosystems/TEI_Scanned_Maps/K10/K10-2021","http://www.env.gov.bc.ca/esd/distdata/ecosystems/TEI_Scanned_Maps/K10/K10-2021")</f>
        <v>http://www.env.gov.bc.ca/esd/distdata/ecosystems/TEI_Scanned_Maps/K10/K10-2021</v>
      </c>
      <c r="U1579" t="s">
        <v>2495</v>
      </c>
      <c r="V1579" s="11" t="str">
        <f>HYPERLINK("http://www.em.gov.bc.ca/mining/geolsurv/terrain&amp;soils/frbcguid.htm","http://www.em.gov.bc.ca/mining/geolsurv/terrain&amp;soils/frbcguid.htm")</f>
        <v>http://www.em.gov.bc.ca/mining/geolsurv/terrain&amp;soils/frbcguid.htm</v>
      </c>
      <c r="W1579" t="s">
        <v>2489</v>
      </c>
      <c r="X1579" s="11" t="str">
        <f>HYPERLINK("http://www.em.gov.bc.ca/mining/geolsurv/terrain&amp;soils/frbcguid.htm","http://www.em.gov.bc.ca/mining/geolsurv/terrain&amp;soils/frbcguid.htm")</f>
        <v>http://www.em.gov.bc.ca/mining/geolsurv/terrain&amp;soils/frbcguid.htm</v>
      </c>
      <c r="Y1579" t="s">
        <v>269</v>
      </c>
      <c r="Z1579" s="11" t="str">
        <f>HYPERLINK("http://www.library.for.gov.bc.ca/#focus","http://www.library.for.gov.bc.ca/#focus")</f>
        <v>http://www.library.for.gov.bc.ca/#focus</v>
      </c>
      <c r="AA1579" t="s">
        <v>58</v>
      </c>
      <c r="AC1579" t="s">
        <v>58</v>
      </c>
      <c r="AE1579" t="s">
        <v>58</v>
      </c>
      <c r="AG1579" t="s">
        <v>63</v>
      </c>
      <c r="AH1579" s="11" t="str">
        <f t="shared" si="86"/>
        <v>mailto: soilterrain@victoria1.gov.bc.ca</v>
      </c>
    </row>
    <row r="1580" spans="1:34">
      <c r="A1580" t="s">
        <v>3689</v>
      </c>
      <c r="B1580" t="s">
        <v>56</v>
      </c>
      <c r="C1580" s="10" t="s">
        <v>1395</v>
      </c>
      <c r="D1580" t="s">
        <v>58</v>
      </c>
      <c r="E1580" t="s">
        <v>3110</v>
      </c>
      <c r="F1580" t="s">
        <v>3690</v>
      </c>
      <c r="G1580">
        <v>50000</v>
      </c>
      <c r="H1580">
        <v>1988</v>
      </c>
      <c r="I1580" t="s">
        <v>3102</v>
      </c>
      <c r="J1580" t="s">
        <v>58</v>
      </c>
      <c r="K1580" t="s">
        <v>61</v>
      </c>
      <c r="L1580" t="s">
        <v>61</v>
      </c>
      <c r="M1580" t="s">
        <v>58</v>
      </c>
      <c r="Q1580" t="s">
        <v>58</v>
      </c>
      <c r="R1580" s="11" t="str">
        <f>HYPERLINK("\\imagefiles.bcgov\imagery\scanned_maps\moe_terrain_maps\Scanned_T_maps_all\K10\K10-2023","\\imagefiles.bcgov\imagery\scanned_maps\moe_terrain_maps\Scanned_T_maps_all\K10\K10-2023")</f>
        <v>\\imagefiles.bcgov\imagery\scanned_maps\moe_terrain_maps\Scanned_T_maps_all\K10\K10-2023</v>
      </c>
      <c r="S1580" t="s">
        <v>62</v>
      </c>
      <c r="T1580" s="11" t="str">
        <f>HYPERLINK("http://www.env.gov.bc.ca/esd/distdata/ecosystems/TEI_Scanned_Maps/K10/K10-2023","http://www.env.gov.bc.ca/esd/distdata/ecosystems/TEI_Scanned_Maps/K10/K10-2023")</f>
        <v>http://www.env.gov.bc.ca/esd/distdata/ecosystems/TEI_Scanned_Maps/K10/K10-2023</v>
      </c>
      <c r="U1580" t="s">
        <v>2495</v>
      </c>
      <c r="V1580" s="11" t="str">
        <f>HYPERLINK("http://www.em.gov.bc.ca/mining/geolsurv/terrain&amp;soils/frbcguid.htm","http://www.em.gov.bc.ca/mining/geolsurv/terrain&amp;soils/frbcguid.htm")</f>
        <v>http://www.em.gov.bc.ca/mining/geolsurv/terrain&amp;soils/frbcguid.htm</v>
      </c>
      <c r="W1580" t="s">
        <v>2489</v>
      </c>
      <c r="X1580" s="11" t="str">
        <f>HYPERLINK("http://www.em.gov.bc.ca/mining/geolsurv/terrain&amp;soils/frbcguid.htm","http://www.em.gov.bc.ca/mining/geolsurv/terrain&amp;soils/frbcguid.htm")</f>
        <v>http://www.em.gov.bc.ca/mining/geolsurv/terrain&amp;soils/frbcguid.htm</v>
      </c>
      <c r="Y1580" t="s">
        <v>269</v>
      </c>
      <c r="Z1580" s="11" t="str">
        <f>HYPERLINK("http://www.library.for.gov.bc.ca/#focus","http://www.library.for.gov.bc.ca/#focus")</f>
        <v>http://www.library.for.gov.bc.ca/#focus</v>
      </c>
      <c r="AA1580" t="s">
        <v>58</v>
      </c>
      <c r="AC1580" t="s">
        <v>58</v>
      </c>
      <c r="AE1580" t="s">
        <v>58</v>
      </c>
      <c r="AG1580" t="s">
        <v>63</v>
      </c>
      <c r="AH1580" s="11" t="str">
        <f t="shared" si="86"/>
        <v>mailto: soilterrain@victoria1.gov.bc.ca</v>
      </c>
    </row>
    <row r="1581" spans="1:34">
      <c r="A1581" t="s">
        <v>3691</v>
      </c>
      <c r="B1581" t="s">
        <v>56</v>
      </c>
      <c r="C1581" s="10" t="s">
        <v>1397</v>
      </c>
      <c r="D1581" t="s">
        <v>58</v>
      </c>
      <c r="E1581" t="s">
        <v>3110</v>
      </c>
      <c r="F1581" t="s">
        <v>3692</v>
      </c>
      <c r="G1581">
        <v>50000</v>
      </c>
      <c r="H1581">
        <v>1987</v>
      </c>
      <c r="I1581" t="s">
        <v>3102</v>
      </c>
      <c r="J1581" t="s">
        <v>58</v>
      </c>
      <c r="K1581" t="s">
        <v>61</v>
      </c>
      <c r="L1581" t="s">
        <v>61</v>
      </c>
      <c r="M1581" t="s">
        <v>58</v>
      </c>
      <c r="Q1581" t="s">
        <v>58</v>
      </c>
      <c r="R1581" s="11" t="str">
        <f>HYPERLINK("\\imagefiles.bcgov\imagery\scanned_maps\moe_terrain_maps\Scanned_T_maps_all\K10\K10-2025","\\imagefiles.bcgov\imagery\scanned_maps\moe_terrain_maps\Scanned_T_maps_all\K10\K10-2025")</f>
        <v>\\imagefiles.bcgov\imagery\scanned_maps\moe_terrain_maps\Scanned_T_maps_all\K10\K10-2025</v>
      </c>
      <c r="S1581" t="s">
        <v>62</v>
      </c>
      <c r="T1581" s="11" t="str">
        <f>HYPERLINK("http://www.env.gov.bc.ca/esd/distdata/ecosystems/TEI_Scanned_Maps/K10/K10-2025","http://www.env.gov.bc.ca/esd/distdata/ecosystems/TEI_Scanned_Maps/K10/K10-2025")</f>
        <v>http://www.env.gov.bc.ca/esd/distdata/ecosystems/TEI_Scanned_Maps/K10/K10-2025</v>
      </c>
      <c r="U1581" t="s">
        <v>2495</v>
      </c>
      <c r="V1581" s="11" t="str">
        <f>HYPERLINK("http://www.em.gov.bc.ca/mining/geolsurv/terrain&amp;soils/frbcguid.htm","http://www.em.gov.bc.ca/mining/geolsurv/terrain&amp;soils/frbcguid.htm")</f>
        <v>http://www.em.gov.bc.ca/mining/geolsurv/terrain&amp;soils/frbcguid.htm</v>
      </c>
      <c r="W1581" t="s">
        <v>2489</v>
      </c>
      <c r="X1581" s="11" t="str">
        <f>HYPERLINK("http://www.em.gov.bc.ca/mining/geolsurv/terrain&amp;soils/frbcguid.htm","http://www.em.gov.bc.ca/mining/geolsurv/terrain&amp;soils/frbcguid.htm")</f>
        <v>http://www.em.gov.bc.ca/mining/geolsurv/terrain&amp;soils/frbcguid.htm</v>
      </c>
      <c r="Y1581" t="s">
        <v>269</v>
      </c>
      <c r="Z1581" s="11" t="str">
        <f>HYPERLINK("http://www.library.for.gov.bc.ca/#focus","http://www.library.for.gov.bc.ca/#focus")</f>
        <v>http://www.library.for.gov.bc.ca/#focus</v>
      </c>
      <c r="AA1581" t="s">
        <v>58</v>
      </c>
      <c r="AC1581" t="s">
        <v>58</v>
      </c>
      <c r="AE1581" t="s">
        <v>58</v>
      </c>
      <c r="AG1581" t="s">
        <v>63</v>
      </c>
      <c r="AH1581" s="11" t="str">
        <f t="shared" si="86"/>
        <v>mailto: soilterrain@victoria1.gov.bc.ca</v>
      </c>
    </row>
    <row r="1582" spans="1:34">
      <c r="A1582" t="s">
        <v>3693</v>
      </c>
      <c r="B1582" t="s">
        <v>56</v>
      </c>
      <c r="C1582" s="10" t="s">
        <v>1399</v>
      </c>
      <c r="D1582" t="s">
        <v>58</v>
      </c>
      <c r="E1582" t="s">
        <v>3104</v>
      </c>
      <c r="F1582" t="s">
        <v>3694</v>
      </c>
      <c r="G1582">
        <v>50000</v>
      </c>
      <c r="H1582">
        <v>1985</v>
      </c>
      <c r="I1582" t="s">
        <v>3106</v>
      </c>
      <c r="J1582" t="s">
        <v>58</v>
      </c>
      <c r="K1582" t="s">
        <v>58</v>
      </c>
      <c r="L1582" t="s">
        <v>61</v>
      </c>
      <c r="M1582" t="s">
        <v>58</v>
      </c>
      <c r="Q1582" t="s">
        <v>58</v>
      </c>
      <c r="R1582" s="11" t="str">
        <f>HYPERLINK("\\imagefiles.bcgov\imagery\scanned_maps\moe_terrain_maps\Scanned_T_maps_all\K10\K10-2027","\\imagefiles.bcgov\imagery\scanned_maps\moe_terrain_maps\Scanned_T_maps_all\K10\K10-2027")</f>
        <v>\\imagefiles.bcgov\imagery\scanned_maps\moe_terrain_maps\Scanned_T_maps_all\K10\K10-2027</v>
      </c>
      <c r="S1582" t="s">
        <v>62</v>
      </c>
      <c r="T1582" s="11" t="str">
        <f>HYPERLINK("http://www.env.gov.bc.ca/esd/distdata/ecosystems/TEI_Scanned_Maps/K10/K10-2027","http://www.env.gov.bc.ca/esd/distdata/ecosystems/TEI_Scanned_Maps/K10/K10-2027")</f>
        <v>http://www.env.gov.bc.ca/esd/distdata/ecosystems/TEI_Scanned_Maps/K10/K10-2027</v>
      </c>
      <c r="U1582" t="s">
        <v>2487</v>
      </c>
      <c r="V1582" s="11" t="str">
        <f>HYPERLINK("http://res.agr.ca/cansis/publications/surveys/bc/","http://res.agr.ca/cansis/publications/surveys/bc/")</f>
        <v>http://res.agr.ca/cansis/publications/surveys/bc/</v>
      </c>
      <c r="W1582" t="s">
        <v>269</v>
      </c>
      <c r="X1582" s="11" t="str">
        <f>HYPERLINK("http://www.library.for.gov.bc.ca/#focus","http://www.library.for.gov.bc.ca/#focus")</f>
        <v>http://www.library.for.gov.bc.ca/#focus</v>
      </c>
      <c r="Y1582" t="s">
        <v>58</v>
      </c>
      <c r="Z1582" t="s">
        <v>58</v>
      </c>
      <c r="AA1582" t="s">
        <v>58</v>
      </c>
      <c r="AC1582" t="s">
        <v>58</v>
      </c>
      <c r="AE1582" t="s">
        <v>58</v>
      </c>
      <c r="AG1582" t="s">
        <v>63</v>
      </c>
      <c r="AH1582" s="11" t="str">
        <f t="shared" si="86"/>
        <v>mailto: soilterrain@victoria1.gov.bc.ca</v>
      </c>
    </row>
    <row r="1583" spans="1:34">
      <c r="A1583" t="s">
        <v>3695</v>
      </c>
      <c r="B1583" t="s">
        <v>56</v>
      </c>
      <c r="C1583" s="10" t="s">
        <v>1401</v>
      </c>
      <c r="D1583" t="s">
        <v>58</v>
      </c>
      <c r="E1583" t="s">
        <v>3104</v>
      </c>
      <c r="F1583" t="s">
        <v>3696</v>
      </c>
      <c r="G1583">
        <v>50000</v>
      </c>
      <c r="H1583">
        <v>1981</v>
      </c>
      <c r="I1583" t="s">
        <v>3106</v>
      </c>
      <c r="J1583" t="s">
        <v>58</v>
      </c>
      <c r="K1583" t="s">
        <v>58</v>
      </c>
      <c r="L1583" t="s">
        <v>61</v>
      </c>
      <c r="M1583" t="s">
        <v>58</v>
      </c>
      <c r="Q1583" t="s">
        <v>58</v>
      </c>
      <c r="R1583" s="11" t="str">
        <f>HYPERLINK("\\imagefiles.bcgov\imagery\scanned_maps\moe_terrain_maps\Scanned_T_maps_all\K10\K10-2029","\\imagefiles.bcgov\imagery\scanned_maps\moe_terrain_maps\Scanned_T_maps_all\K10\K10-2029")</f>
        <v>\\imagefiles.bcgov\imagery\scanned_maps\moe_terrain_maps\Scanned_T_maps_all\K10\K10-2029</v>
      </c>
      <c r="S1583" t="s">
        <v>62</v>
      </c>
      <c r="T1583" s="11" t="str">
        <f>HYPERLINK("http://www.env.gov.bc.ca/esd/distdata/ecosystems/TEI_Scanned_Maps/K10/K10-2029","http://www.env.gov.bc.ca/esd/distdata/ecosystems/TEI_Scanned_Maps/K10/K10-2029")</f>
        <v>http://www.env.gov.bc.ca/esd/distdata/ecosystems/TEI_Scanned_Maps/K10/K10-2029</v>
      </c>
      <c r="U1583" t="s">
        <v>2487</v>
      </c>
      <c r="V1583" s="11" t="str">
        <f>HYPERLINK("http://res.agr.ca/cansis/publications/surveys/bc/","http://res.agr.ca/cansis/publications/surveys/bc/")</f>
        <v>http://res.agr.ca/cansis/publications/surveys/bc/</v>
      </c>
      <c r="W1583" t="s">
        <v>269</v>
      </c>
      <c r="X1583" s="11" t="str">
        <f>HYPERLINK("http://www.library.for.gov.bc.ca/#focus","http://www.library.for.gov.bc.ca/#focus")</f>
        <v>http://www.library.for.gov.bc.ca/#focus</v>
      </c>
      <c r="Y1583" t="s">
        <v>58</v>
      </c>
      <c r="Z1583" t="s">
        <v>58</v>
      </c>
      <c r="AA1583" t="s">
        <v>58</v>
      </c>
      <c r="AC1583" t="s">
        <v>58</v>
      </c>
      <c r="AE1583" t="s">
        <v>58</v>
      </c>
      <c r="AG1583" t="s">
        <v>63</v>
      </c>
      <c r="AH1583" s="11" t="str">
        <f t="shared" si="86"/>
        <v>mailto: soilterrain@victoria1.gov.bc.ca</v>
      </c>
    </row>
    <row r="1584" spans="1:34">
      <c r="A1584" t="s">
        <v>3697</v>
      </c>
      <c r="B1584" t="s">
        <v>56</v>
      </c>
      <c r="C1584" s="10" t="s">
        <v>1403</v>
      </c>
      <c r="D1584" t="s">
        <v>58</v>
      </c>
      <c r="E1584" t="s">
        <v>3104</v>
      </c>
      <c r="F1584" t="s">
        <v>3698</v>
      </c>
      <c r="G1584">
        <v>50000</v>
      </c>
      <c r="H1584">
        <v>1979</v>
      </c>
      <c r="I1584" t="s">
        <v>3106</v>
      </c>
      <c r="J1584" t="s">
        <v>58</v>
      </c>
      <c r="K1584" t="s">
        <v>58</v>
      </c>
      <c r="L1584" t="s">
        <v>61</v>
      </c>
      <c r="M1584" t="s">
        <v>58</v>
      </c>
      <c r="Q1584" t="s">
        <v>58</v>
      </c>
      <c r="R1584" s="11" t="str">
        <f>HYPERLINK("\\imagefiles.bcgov\imagery\scanned_maps\moe_terrain_maps\Scanned_T_maps_all\K10\K10-2031","\\imagefiles.bcgov\imagery\scanned_maps\moe_terrain_maps\Scanned_T_maps_all\K10\K10-2031")</f>
        <v>\\imagefiles.bcgov\imagery\scanned_maps\moe_terrain_maps\Scanned_T_maps_all\K10\K10-2031</v>
      </c>
      <c r="S1584" t="s">
        <v>62</v>
      </c>
      <c r="T1584" s="11" t="str">
        <f>HYPERLINK("http://www.env.gov.bc.ca/esd/distdata/ecosystems/TEI_Scanned_Maps/K10/K10-2031","http://www.env.gov.bc.ca/esd/distdata/ecosystems/TEI_Scanned_Maps/K10/K10-2031")</f>
        <v>http://www.env.gov.bc.ca/esd/distdata/ecosystems/TEI_Scanned_Maps/K10/K10-2031</v>
      </c>
      <c r="U1584" t="s">
        <v>2487</v>
      </c>
      <c r="V1584" s="11" t="str">
        <f>HYPERLINK("http://res.agr.ca/cansis/publications/surveys/bc/","http://res.agr.ca/cansis/publications/surveys/bc/")</f>
        <v>http://res.agr.ca/cansis/publications/surveys/bc/</v>
      </c>
      <c r="W1584" t="s">
        <v>269</v>
      </c>
      <c r="X1584" s="11" t="str">
        <f>HYPERLINK("http://www.library.for.gov.bc.ca/#focus","http://www.library.for.gov.bc.ca/#focus")</f>
        <v>http://www.library.for.gov.bc.ca/#focus</v>
      </c>
      <c r="Y1584" t="s">
        <v>58</v>
      </c>
      <c r="Z1584" t="s">
        <v>58</v>
      </c>
      <c r="AA1584" t="s">
        <v>58</v>
      </c>
      <c r="AC1584" t="s">
        <v>58</v>
      </c>
      <c r="AE1584" t="s">
        <v>58</v>
      </c>
      <c r="AG1584" t="s">
        <v>63</v>
      </c>
      <c r="AH1584" s="11" t="str">
        <f t="shared" si="86"/>
        <v>mailto: soilterrain@victoria1.gov.bc.ca</v>
      </c>
    </row>
    <row r="1585" spans="1:34">
      <c r="A1585" t="s">
        <v>3699</v>
      </c>
      <c r="B1585" t="s">
        <v>56</v>
      </c>
      <c r="C1585" s="10" t="s">
        <v>1405</v>
      </c>
      <c r="D1585" t="s">
        <v>58</v>
      </c>
      <c r="E1585" t="s">
        <v>3104</v>
      </c>
      <c r="F1585" t="s">
        <v>3700</v>
      </c>
      <c r="G1585">
        <v>50000</v>
      </c>
      <c r="H1585">
        <v>1979</v>
      </c>
      <c r="I1585" t="s">
        <v>3106</v>
      </c>
      <c r="J1585" t="s">
        <v>58</v>
      </c>
      <c r="K1585" t="s">
        <v>58</v>
      </c>
      <c r="L1585" t="s">
        <v>61</v>
      </c>
      <c r="M1585" t="s">
        <v>58</v>
      </c>
      <c r="Q1585" t="s">
        <v>58</v>
      </c>
      <c r="R1585" s="11" t="str">
        <f>HYPERLINK("\\imagefiles.bcgov\imagery\scanned_maps\moe_terrain_maps\Scanned_T_maps_all\K10\K10-2033","\\imagefiles.bcgov\imagery\scanned_maps\moe_terrain_maps\Scanned_T_maps_all\K10\K10-2033")</f>
        <v>\\imagefiles.bcgov\imagery\scanned_maps\moe_terrain_maps\Scanned_T_maps_all\K10\K10-2033</v>
      </c>
      <c r="S1585" t="s">
        <v>62</v>
      </c>
      <c r="T1585" s="11" t="str">
        <f>HYPERLINK("http://www.env.gov.bc.ca/esd/distdata/ecosystems/TEI_Scanned_Maps/K10/K10-2033","http://www.env.gov.bc.ca/esd/distdata/ecosystems/TEI_Scanned_Maps/K10/K10-2033")</f>
        <v>http://www.env.gov.bc.ca/esd/distdata/ecosystems/TEI_Scanned_Maps/K10/K10-2033</v>
      </c>
      <c r="U1585" t="s">
        <v>2487</v>
      </c>
      <c r="V1585" s="11" t="str">
        <f>HYPERLINK("http://res.agr.ca/cansis/publications/surveys/bc/","http://res.agr.ca/cansis/publications/surveys/bc/")</f>
        <v>http://res.agr.ca/cansis/publications/surveys/bc/</v>
      </c>
      <c r="W1585" t="s">
        <v>269</v>
      </c>
      <c r="X1585" s="11" t="str">
        <f>HYPERLINK("http://www.library.for.gov.bc.ca/#focus","http://www.library.for.gov.bc.ca/#focus")</f>
        <v>http://www.library.for.gov.bc.ca/#focus</v>
      </c>
      <c r="Y1585" t="s">
        <v>58</v>
      </c>
      <c r="Z1585" t="s">
        <v>58</v>
      </c>
      <c r="AA1585" t="s">
        <v>58</v>
      </c>
      <c r="AC1585" t="s">
        <v>58</v>
      </c>
      <c r="AE1585" t="s">
        <v>58</v>
      </c>
      <c r="AG1585" t="s">
        <v>63</v>
      </c>
      <c r="AH1585" s="11" t="str">
        <f t="shared" si="86"/>
        <v>mailto: soilterrain@victoria1.gov.bc.ca</v>
      </c>
    </row>
    <row r="1586" spans="1:34">
      <c r="A1586" t="s">
        <v>3701</v>
      </c>
      <c r="B1586" t="s">
        <v>56</v>
      </c>
      <c r="C1586" s="10" t="s">
        <v>1407</v>
      </c>
      <c r="D1586" t="s">
        <v>58</v>
      </c>
      <c r="E1586" t="s">
        <v>3110</v>
      </c>
      <c r="F1586" t="s">
        <v>3702</v>
      </c>
      <c r="G1586">
        <v>50000</v>
      </c>
      <c r="H1586">
        <v>1979</v>
      </c>
      <c r="I1586" t="s">
        <v>3102</v>
      </c>
      <c r="J1586" t="s">
        <v>58</v>
      </c>
      <c r="K1586" t="s">
        <v>61</v>
      </c>
      <c r="L1586" t="s">
        <v>61</v>
      </c>
      <c r="M1586" t="s">
        <v>58</v>
      </c>
      <c r="Q1586" t="s">
        <v>58</v>
      </c>
      <c r="R1586" s="11" t="str">
        <f>HYPERLINK("\\imagefiles.bcgov\imagery\scanned_maps\moe_terrain_maps\Scanned_T_maps_all\K10\K10-2035","\\imagefiles.bcgov\imagery\scanned_maps\moe_terrain_maps\Scanned_T_maps_all\K10\K10-2035")</f>
        <v>\\imagefiles.bcgov\imagery\scanned_maps\moe_terrain_maps\Scanned_T_maps_all\K10\K10-2035</v>
      </c>
      <c r="S1586" t="s">
        <v>62</v>
      </c>
      <c r="T1586" s="11" t="str">
        <f>HYPERLINK("http://www.env.gov.bc.ca/esd/distdata/ecosystems/TEI_Scanned_Maps/K10/K10-2035","http://www.env.gov.bc.ca/esd/distdata/ecosystems/TEI_Scanned_Maps/K10/K10-2035")</f>
        <v>http://www.env.gov.bc.ca/esd/distdata/ecosystems/TEI_Scanned_Maps/K10/K10-2035</v>
      </c>
      <c r="U1586" t="s">
        <v>2495</v>
      </c>
      <c r="V1586" s="11" t="str">
        <f>HYPERLINK("http://www.em.gov.bc.ca/mining/geolsurv/terrain&amp;soils/frbcguid.htm","http://www.em.gov.bc.ca/mining/geolsurv/terrain&amp;soils/frbcguid.htm")</f>
        <v>http://www.em.gov.bc.ca/mining/geolsurv/terrain&amp;soils/frbcguid.htm</v>
      </c>
      <c r="W1586" t="s">
        <v>2489</v>
      </c>
      <c r="X1586" s="11" t="str">
        <f>HYPERLINK("http://www.em.gov.bc.ca/mining/geolsurv/terrain&amp;soils/frbcguid.htm","http://www.em.gov.bc.ca/mining/geolsurv/terrain&amp;soils/frbcguid.htm")</f>
        <v>http://www.em.gov.bc.ca/mining/geolsurv/terrain&amp;soils/frbcguid.htm</v>
      </c>
      <c r="Y1586" t="s">
        <v>269</v>
      </c>
      <c r="Z1586" s="11" t="str">
        <f>HYPERLINK("http://www.library.for.gov.bc.ca/#focus","http://www.library.for.gov.bc.ca/#focus")</f>
        <v>http://www.library.for.gov.bc.ca/#focus</v>
      </c>
      <c r="AA1586" t="s">
        <v>58</v>
      </c>
      <c r="AC1586" t="s">
        <v>58</v>
      </c>
      <c r="AE1586" t="s">
        <v>58</v>
      </c>
      <c r="AG1586" t="s">
        <v>63</v>
      </c>
      <c r="AH1586" s="11" t="str">
        <f t="shared" si="86"/>
        <v>mailto: soilterrain@victoria1.gov.bc.ca</v>
      </c>
    </row>
    <row r="1587" spans="1:34">
      <c r="A1587" t="s">
        <v>3703</v>
      </c>
      <c r="B1587" t="s">
        <v>56</v>
      </c>
      <c r="C1587" s="10" t="s">
        <v>1409</v>
      </c>
      <c r="D1587" t="s">
        <v>58</v>
      </c>
      <c r="E1587" t="s">
        <v>3110</v>
      </c>
      <c r="F1587" t="s">
        <v>3704</v>
      </c>
      <c r="G1587">
        <v>50000</v>
      </c>
      <c r="H1587">
        <v>1981</v>
      </c>
      <c r="I1587" t="s">
        <v>3102</v>
      </c>
      <c r="J1587" t="s">
        <v>58</v>
      </c>
      <c r="K1587" t="s">
        <v>61</v>
      </c>
      <c r="L1587" t="s">
        <v>61</v>
      </c>
      <c r="M1587" t="s">
        <v>58</v>
      </c>
      <c r="Q1587" t="s">
        <v>58</v>
      </c>
      <c r="R1587" s="11" t="str">
        <f>HYPERLINK("\\imagefiles.bcgov\imagery\scanned_maps\moe_terrain_maps\Scanned_T_maps_all\K10\K10-2037","\\imagefiles.bcgov\imagery\scanned_maps\moe_terrain_maps\Scanned_T_maps_all\K10\K10-2037")</f>
        <v>\\imagefiles.bcgov\imagery\scanned_maps\moe_terrain_maps\Scanned_T_maps_all\K10\K10-2037</v>
      </c>
      <c r="S1587" t="s">
        <v>62</v>
      </c>
      <c r="T1587" s="11" t="str">
        <f>HYPERLINK("http://www.env.gov.bc.ca/esd/distdata/ecosystems/TEI_Scanned_Maps/K10/K10-2037","http://www.env.gov.bc.ca/esd/distdata/ecosystems/TEI_Scanned_Maps/K10/K10-2037")</f>
        <v>http://www.env.gov.bc.ca/esd/distdata/ecosystems/TEI_Scanned_Maps/K10/K10-2037</v>
      </c>
      <c r="U1587" t="s">
        <v>269</v>
      </c>
      <c r="V1587" s="11" t="str">
        <f>HYPERLINK("http://www.library.for.gov.bc.ca/#focus","http://www.library.for.gov.bc.ca/#focus")</f>
        <v>http://www.library.for.gov.bc.ca/#focus</v>
      </c>
      <c r="W1587" t="s">
        <v>58</v>
      </c>
      <c r="X1587" t="s">
        <v>58</v>
      </c>
      <c r="Y1587" t="s">
        <v>58</v>
      </c>
      <c r="Z1587" t="s">
        <v>58</v>
      </c>
      <c r="AA1587" t="s">
        <v>58</v>
      </c>
      <c r="AC1587" t="s">
        <v>58</v>
      </c>
      <c r="AE1587" t="s">
        <v>58</v>
      </c>
      <c r="AG1587" t="s">
        <v>63</v>
      </c>
      <c r="AH1587" s="11" t="str">
        <f t="shared" si="86"/>
        <v>mailto: soilterrain@victoria1.gov.bc.ca</v>
      </c>
    </row>
    <row r="1588" spans="1:34">
      <c r="A1588" t="s">
        <v>3705</v>
      </c>
      <c r="B1588" t="s">
        <v>56</v>
      </c>
      <c r="C1588" s="10" t="s">
        <v>1430</v>
      </c>
      <c r="D1588" t="s">
        <v>58</v>
      </c>
      <c r="E1588" t="s">
        <v>2931</v>
      </c>
      <c r="F1588" t="s">
        <v>3706</v>
      </c>
      <c r="G1588">
        <v>50000</v>
      </c>
      <c r="H1588">
        <v>1958</v>
      </c>
      <c r="I1588" t="s">
        <v>58</v>
      </c>
      <c r="J1588" t="s">
        <v>58</v>
      </c>
      <c r="K1588" t="s">
        <v>61</v>
      </c>
      <c r="L1588" t="s">
        <v>61</v>
      </c>
      <c r="M1588" t="s">
        <v>58</v>
      </c>
      <c r="Q1588" t="s">
        <v>58</v>
      </c>
      <c r="R1588" s="11" t="str">
        <f>HYPERLINK("\\imagefiles.bcgov\imagery\scanned_maps\moe_terrain_maps\Scanned_T_maps_all\K11\K11-2095","\\imagefiles.bcgov\imagery\scanned_maps\moe_terrain_maps\Scanned_T_maps_all\K11\K11-2095")</f>
        <v>\\imagefiles.bcgov\imagery\scanned_maps\moe_terrain_maps\Scanned_T_maps_all\K11\K11-2095</v>
      </c>
      <c r="S1588" t="s">
        <v>62</v>
      </c>
      <c r="T1588" s="11" t="str">
        <f>HYPERLINK("http://www.env.gov.bc.ca/esd/distdata/ecosystems/TEI_Scanned_Maps/K11/K11-2095","http://www.env.gov.bc.ca/esd/distdata/ecosystems/TEI_Scanned_Maps/K11/K11-2095")</f>
        <v>http://www.env.gov.bc.ca/esd/distdata/ecosystems/TEI_Scanned_Maps/K11/K11-2095</v>
      </c>
      <c r="U1588" t="s">
        <v>58</v>
      </c>
      <c r="V1588" t="s">
        <v>58</v>
      </c>
      <c r="W1588" t="s">
        <v>58</v>
      </c>
      <c r="X1588" t="s">
        <v>58</v>
      </c>
      <c r="Y1588" t="s">
        <v>58</v>
      </c>
      <c r="Z1588" t="s">
        <v>58</v>
      </c>
      <c r="AA1588" t="s">
        <v>58</v>
      </c>
      <c r="AC1588" t="s">
        <v>58</v>
      </c>
      <c r="AE1588" t="s">
        <v>58</v>
      </c>
      <c r="AG1588" t="s">
        <v>63</v>
      </c>
      <c r="AH1588" s="11" t="str">
        <f t="shared" si="86"/>
        <v>mailto: soilterrain@victoria1.gov.bc.ca</v>
      </c>
    </row>
    <row r="1589" spans="1:34">
      <c r="A1589" t="s">
        <v>3707</v>
      </c>
      <c r="B1589" t="s">
        <v>56</v>
      </c>
      <c r="C1589" s="10" t="s">
        <v>1432</v>
      </c>
      <c r="D1589" t="s">
        <v>58</v>
      </c>
      <c r="E1589" t="s">
        <v>3119</v>
      </c>
      <c r="F1589" t="s">
        <v>3708</v>
      </c>
      <c r="G1589">
        <v>50000</v>
      </c>
      <c r="H1589">
        <v>1981</v>
      </c>
      <c r="I1589" t="s">
        <v>3121</v>
      </c>
      <c r="J1589" t="s">
        <v>58</v>
      </c>
      <c r="K1589" t="s">
        <v>61</v>
      </c>
      <c r="L1589" t="s">
        <v>61</v>
      </c>
      <c r="M1589" t="s">
        <v>58</v>
      </c>
      <c r="Q1589" t="s">
        <v>58</v>
      </c>
      <c r="R1589" s="11" t="str">
        <f>HYPERLINK("\\imagefiles.bcgov\imagery\scanned_maps\moe_terrain_maps\Scanned_T_maps_all\K11\K11-2097","\\imagefiles.bcgov\imagery\scanned_maps\moe_terrain_maps\Scanned_T_maps_all\K11\K11-2097")</f>
        <v>\\imagefiles.bcgov\imagery\scanned_maps\moe_terrain_maps\Scanned_T_maps_all\K11\K11-2097</v>
      </c>
      <c r="S1589" t="s">
        <v>62</v>
      </c>
      <c r="T1589" s="11" t="str">
        <f>HYPERLINK("http://www.env.gov.bc.ca/esd/distdata/ecosystems/TEI_Scanned_Maps/K11/K11-2097","http://www.env.gov.bc.ca/esd/distdata/ecosystems/TEI_Scanned_Maps/K11/K11-2097")</f>
        <v>http://www.env.gov.bc.ca/esd/distdata/ecosystems/TEI_Scanned_Maps/K11/K11-2097</v>
      </c>
      <c r="U1589" t="s">
        <v>2487</v>
      </c>
      <c r="V1589" s="11" t="str">
        <f t="shared" ref="V1589:V1596" si="95">HYPERLINK("http://res.agr.ca/cansis/publications/surveys/bc/","http://res.agr.ca/cansis/publications/surveys/bc/")</f>
        <v>http://res.agr.ca/cansis/publications/surveys/bc/</v>
      </c>
      <c r="W1589" t="s">
        <v>2495</v>
      </c>
      <c r="X1589" s="11" t="str">
        <f t="shared" ref="X1589:X1596" si="96">HYPERLINK("http://www.em.gov.bc.ca/mining/geolsurv/terrain&amp;soils/frbcguid.htm","http://www.em.gov.bc.ca/mining/geolsurv/terrain&amp;soils/frbcguid.htm")</f>
        <v>http://www.em.gov.bc.ca/mining/geolsurv/terrain&amp;soils/frbcguid.htm</v>
      </c>
      <c r="Y1589" t="s">
        <v>2489</v>
      </c>
      <c r="Z1589" s="11" t="str">
        <f t="shared" ref="Z1589:Z1596" si="97">HYPERLINK("http://www.em.gov.bc.ca/mining/geolsurv/terrain&amp;soils/frbcguid.htm","http://www.em.gov.bc.ca/mining/geolsurv/terrain&amp;soils/frbcguid.htm")</f>
        <v>http://www.em.gov.bc.ca/mining/geolsurv/terrain&amp;soils/frbcguid.htm</v>
      </c>
      <c r="AA1589" t="s">
        <v>269</v>
      </c>
      <c r="AB1589" s="11" t="str">
        <f t="shared" ref="AB1589:AB1596" si="98">HYPERLINK("http://www.library.for.gov.bc.ca/#focus","http://www.library.for.gov.bc.ca/#focus")</f>
        <v>http://www.library.for.gov.bc.ca/#focus</v>
      </c>
      <c r="AC1589" t="s">
        <v>3053</v>
      </c>
      <c r="AD1589" s="11" t="str">
        <f t="shared" ref="AD1589:AD1596" si="99">HYPERLINK("http://www.prsss.ca/","http://www.prsss.ca/")</f>
        <v>http://www.prsss.ca/</v>
      </c>
      <c r="AE1589" t="s">
        <v>58</v>
      </c>
      <c r="AG1589" t="s">
        <v>63</v>
      </c>
      <c r="AH1589" s="11" t="str">
        <f t="shared" si="86"/>
        <v>mailto: soilterrain@victoria1.gov.bc.ca</v>
      </c>
    </row>
    <row r="1590" spans="1:34">
      <c r="A1590" t="s">
        <v>3709</v>
      </c>
      <c r="B1590" t="s">
        <v>56</v>
      </c>
      <c r="C1590" s="10" t="s">
        <v>1436</v>
      </c>
      <c r="D1590" t="s">
        <v>58</v>
      </c>
      <c r="E1590" t="s">
        <v>3119</v>
      </c>
      <c r="F1590" t="s">
        <v>3710</v>
      </c>
      <c r="G1590">
        <v>50000</v>
      </c>
      <c r="H1590">
        <v>1959</v>
      </c>
      <c r="I1590" t="s">
        <v>3121</v>
      </c>
      <c r="J1590" t="s">
        <v>58</v>
      </c>
      <c r="K1590" t="s">
        <v>61</v>
      </c>
      <c r="L1590" t="s">
        <v>61</v>
      </c>
      <c r="M1590" t="s">
        <v>58</v>
      </c>
      <c r="Q1590" t="s">
        <v>58</v>
      </c>
      <c r="R1590" s="11" t="str">
        <f>HYPERLINK("\\imagefiles.bcgov\imagery\scanned_maps\moe_terrain_maps\Scanned_T_maps_all\K11\K11-2101","\\imagefiles.bcgov\imagery\scanned_maps\moe_terrain_maps\Scanned_T_maps_all\K11\K11-2101")</f>
        <v>\\imagefiles.bcgov\imagery\scanned_maps\moe_terrain_maps\Scanned_T_maps_all\K11\K11-2101</v>
      </c>
      <c r="S1590" t="s">
        <v>62</v>
      </c>
      <c r="T1590" s="11" t="str">
        <f>HYPERLINK("http://www.env.gov.bc.ca/esd/distdata/ecosystems/TEI_Scanned_Maps/K11/K11-2101","http://www.env.gov.bc.ca/esd/distdata/ecosystems/TEI_Scanned_Maps/K11/K11-2101")</f>
        <v>http://www.env.gov.bc.ca/esd/distdata/ecosystems/TEI_Scanned_Maps/K11/K11-2101</v>
      </c>
      <c r="U1590" t="s">
        <v>2487</v>
      </c>
      <c r="V1590" s="11" t="str">
        <f t="shared" si="95"/>
        <v>http://res.agr.ca/cansis/publications/surveys/bc/</v>
      </c>
      <c r="W1590" t="s">
        <v>2495</v>
      </c>
      <c r="X1590" s="11" t="str">
        <f t="shared" si="96"/>
        <v>http://www.em.gov.bc.ca/mining/geolsurv/terrain&amp;soils/frbcguid.htm</v>
      </c>
      <c r="Y1590" t="s">
        <v>2489</v>
      </c>
      <c r="Z1590" s="11" t="str">
        <f t="shared" si="97"/>
        <v>http://www.em.gov.bc.ca/mining/geolsurv/terrain&amp;soils/frbcguid.htm</v>
      </c>
      <c r="AA1590" t="s">
        <v>269</v>
      </c>
      <c r="AB1590" s="11" t="str">
        <f t="shared" si="98"/>
        <v>http://www.library.for.gov.bc.ca/#focus</v>
      </c>
      <c r="AC1590" t="s">
        <v>3053</v>
      </c>
      <c r="AD1590" s="11" t="str">
        <f t="shared" si="99"/>
        <v>http://www.prsss.ca/</v>
      </c>
      <c r="AE1590" t="s">
        <v>58</v>
      </c>
      <c r="AG1590" t="s">
        <v>63</v>
      </c>
      <c r="AH1590" s="11" t="str">
        <f t="shared" si="86"/>
        <v>mailto: soilterrain@victoria1.gov.bc.ca</v>
      </c>
    </row>
    <row r="1591" spans="1:34">
      <c r="A1591" t="s">
        <v>3711</v>
      </c>
      <c r="B1591" t="s">
        <v>56</v>
      </c>
      <c r="C1591" s="10" t="s">
        <v>1438</v>
      </c>
      <c r="D1591" t="s">
        <v>58</v>
      </c>
      <c r="E1591" t="s">
        <v>3119</v>
      </c>
      <c r="F1591" t="s">
        <v>3712</v>
      </c>
      <c r="G1591">
        <v>50000</v>
      </c>
      <c r="H1591">
        <v>1974</v>
      </c>
      <c r="I1591" t="s">
        <v>3121</v>
      </c>
      <c r="J1591" t="s">
        <v>58</v>
      </c>
      <c r="K1591" t="s">
        <v>61</v>
      </c>
      <c r="L1591" t="s">
        <v>61</v>
      </c>
      <c r="M1591" t="s">
        <v>58</v>
      </c>
      <c r="Q1591" t="s">
        <v>58</v>
      </c>
      <c r="R1591" s="11" t="str">
        <f>HYPERLINK("\\imagefiles.bcgov\imagery\scanned_maps\moe_terrain_maps\Scanned_T_maps_all\K11\K11-2103","\\imagefiles.bcgov\imagery\scanned_maps\moe_terrain_maps\Scanned_T_maps_all\K11\K11-2103")</f>
        <v>\\imagefiles.bcgov\imagery\scanned_maps\moe_terrain_maps\Scanned_T_maps_all\K11\K11-2103</v>
      </c>
      <c r="S1591" t="s">
        <v>62</v>
      </c>
      <c r="T1591" s="11" t="str">
        <f>HYPERLINK("http://www.env.gov.bc.ca/esd/distdata/ecosystems/TEI_Scanned_Maps/K11/K11-2103","http://www.env.gov.bc.ca/esd/distdata/ecosystems/TEI_Scanned_Maps/K11/K11-2103")</f>
        <v>http://www.env.gov.bc.ca/esd/distdata/ecosystems/TEI_Scanned_Maps/K11/K11-2103</v>
      </c>
      <c r="U1591" t="s">
        <v>2487</v>
      </c>
      <c r="V1591" s="11" t="str">
        <f t="shared" si="95"/>
        <v>http://res.agr.ca/cansis/publications/surveys/bc/</v>
      </c>
      <c r="W1591" t="s">
        <v>2495</v>
      </c>
      <c r="X1591" s="11" t="str">
        <f t="shared" si="96"/>
        <v>http://www.em.gov.bc.ca/mining/geolsurv/terrain&amp;soils/frbcguid.htm</v>
      </c>
      <c r="Y1591" t="s">
        <v>2489</v>
      </c>
      <c r="Z1591" s="11" t="str">
        <f t="shared" si="97"/>
        <v>http://www.em.gov.bc.ca/mining/geolsurv/terrain&amp;soils/frbcguid.htm</v>
      </c>
      <c r="AA1591" t="s">
        <v>269</v>
      </c>
      <c r="AB1591" s="11" t="str">
        <f t="shared" si="98"/>
        <v>http://www.library.for.gov.bc.ca/#focus</v>
      </c>
      <c r="AC1591" t="s">
        <v>3053</v>
      </c>
      <c r="AD1591" s="11" t="str">
        <f t="shared" si="99"/>
        <v>http://www.prsss.ca/</v>
      </c>
      <c r="AE1591" t="s">
        <v>58</v>
      </c>
      <c r="AG1591" t="s">
        <v>63</v>
      </c>
      <c r="AH1591" s="11" t="str">
        <f t="shared" si="86"/>
        <v>mailto: soilterrain@victoria1.gov.bc.ca</v>
      </c>
    </row>
    <row r="1592" spans="1:34">
      <c r="A1592" t="s">
        <v>3713</v>
      </c>
      <c r="B1592" t="s">
        <v>56</v>
      </c>
      <c r="C1592" s="10" t="s">
        <v>1440</v>
      </c>
      <c r="D1592" t="s">
        <v>58</v>
      </c>
      <c r="E1592" t="s">
        <v>3119</v>
      </c>
      <c r="F1592" t="s">
        <v>3714</v>
      </c>
      <c r="G1592">
        <v>50000</v>
      </c>
      <c r="H1592">
        <v>1979</v>
      </c>
      <c r="I1592" t="s">
        <v>3121</v>
      </c>
      <c r="J1592" t="s">
        <v>58</v>
      </c>
      <c r="K1592" t="s">
        <v>61</v>
      </c>
      <c r="L1592" t="s">
        <v>61</v>
      </c>
      <c r="M1592" t="s">
        <v>58</v>
      </c>
      <c r="Q1592" t="s">
        <v>58</v>
      </c>
      <c r="R1592" s="11" t="str">
        <f>HYPERLINK("\\imagefiles.bcgov\imagery\scanned_maps\moe_terrain_maps\Scanned_T_maps_all\K11\K11-2105","\\imagefiles.bcgov\imagery\scanned_maps\moe_terrain_maps\Scanned_T_maps_all\K11\K11-2105")</f>
        <v>\\imagefiles.bcgov\imagery\scanned_maps\moe_terrain_maps\Scanned_T_maps_all\K11\K11-2105</v>
      </c>
      <c r="S1592" t="s">
        <v>62</v>
      </c>
      <c r="T1592" s="11" t="str">
        <f>HYPERLINK("http://www.env.gov.bc.ca/esd/distdata/ecosystems/TEI_Scanned_Maps/K11/K11-2105","http://www.env.gov.bc.ca/esd/distdata/ecosystems/TEI_Scanned_Maps/K11/K11-2105")</f>
        <v>http://www.env.gov.bc.ca/esd/distdata/ecosystems/TEI_Scanned_Maps/K11/K11-2105</v>
      </c>
      <c r="U1592" t="s">
        <v>2487</v>
      </c>
      <c r="V1592" s="11" t="str">
        <f t="shared" si="95"/>
        <v>http://res.agr.ca/cansis/publications/surveys/bc/</v>
      </c>
      <c r="W1592" t="s">
        <v>2495</v>
      </c>
      <c r="X1592" s="11" t="str">
        <f t="shared" si="96"/>
        <v>http://www.em.gov.bc.ca/mining/geolsurv/terrain&amp;soils/frbcguid.htm</v>
      </c>
      <c r="Y1592" t="s">
        <v>2489</v>
      </c>
      <c r="Z1592" s="11" t="str">
        <f t="shared" si="97"/>
        <v>http://www.em.gov.bc.ca/mining/geolsurv/terrain&amp;soils/frbcguid.htm</v>
      </c>
      <c r="AA1592" t="s">
        <v>269</v>
      </c>
      <c r="AB1592" s="11" t="str">
        <f t="shared" si="98"/>
        <v>http://www.library.for.gov.bc.ca/#focus</v>
      </c>
      <c r="AC1592" t="s">
        <v>3053</v>
      </c>
      <c r="AD1592" s="11" t="str">
        <f t="shared" si="99"/>
        <v>http://www.prsss.ca/</v>
      </c>
      <c r="AE1592" t="s">
        <v>58</v>
      </c>
      <c r="AG1592" t="s">
        <v>63</v>
      </c>
      <c r="AH1592" s="11" t="str">
        <f t="shared" si="86"/>
        <v>mailto: soilterrain@victoria1.gov.bc.ca</v>
      </c>
    </row>
    <row r="1593" spans="1:34">
      <c r="A1593" t="s">
        <v>3715</v>
      </c>
      <c r="B1593" t="s">
        <v>56</v>
      </c>
      <c r="C1593" s="10" t="s">
        <v>1442</v>
      </c>
      <c r="D1593" t="s">
        <v>58</v>
      </c>
      <c r="E1593" t="s">
        <v>3119</v>
      </c>
      <c r="F1593" t="s">
        <v>3716</v>
      </c>
      <c r="G1593">
        <v>50000</v>
      </c>
      <c r="H1593">
        <v>1955</v>
      </c>
      <c r="I1593" t="s">
        <v>3121</v>
      </c>
      <c r="J1593" t="s">
        <v>58</v>
      </c>
      <c r="K1593" t="s">
        <v>61</v>
      </c>
      <c r="L1593" t="s">
        <v>61</v>
      </c>
      <c r="M1593" t="s">
        <v>58</v>
      </c>
      <c r="Q1593" t="s">
        <v>58</v>
      </c>
      <c r="R1593" s="11" t="str">
        <f>HYPERLINK("\\imagefiles.bcgov\imagery\scanned_maps\moe_terrain_maps\Scanned_T_maps_all\K11\K11-2108","\\imagefiles.bcgov\imagery\scanned_maps\moe_terrain_maps\Scanned_T_maps_all\K11\K11-2108")</f>
        <v>\\imagefiles.bcgov\imagery\scanned_maps\moe_terrain_maps\Scanned_T_maps_all\K11\K11-2108</v>
      </c>
      <c r="S1593" t="s">
        <v>62</v>
      </c>
      <c r="T1593" s="11" t="str">
        <f>HYPERLINK("http://www.env.gov.bc.ca/esd/distdata/ecosystems/TEI_Scanned_Maps/K11/K11-2108","http://www.env.gov.bc.ca/esd/distdata/ecosystems/TEI_Scanned_Maps/K11/K11-2108")</f>
        <v>http://www.env.gov.bc.ca/esd/distdata/ecosystems/TEI_Scanned_Maps/K11/K11-2108</v>
      </c>
      <c r="U1593" t="s">
        <v>2487</v>
      </c>
      <c r="V1593" s="11" t="str">
        <f t="shared" si="95"/>
        <v>http://res.agr.ca/cansis/publications/surveys/bc/</v>
      </c>
      <c r="W1593" t="s">
        <v>2495</v>
      </c>
      <c r="X1593" s="11" t="str">
        <f t="shared" si="96"/>
        <v>http://www.em.gov.bc.ca/mining/geolsurv/terrain&amp;soils/frbcguid.htm</v>
      </c>
      <c r="Y1593" t="s">
        <v>2489</v>
      </c>
      <c r="Z1593" s="11" t="str">
        <f t="shared" si="97"/>
        <v>http://www.em.gov.bc.ca/mining/geolsurv/terrain&amp;soils/frbcguid.htm</v>
      </c>
      <c r="AA1593" t="s">
        <v>269</v>
      </c>
      <c r="AB1593" s="11" t="str">
        <f t="shared" si="98"/>
        <v>http://www.library.for.gov.bc.ca/#focus</v>
      </c>
      <c r="AC1593" t="s">
        <v>3053</v>
      </c>
      <c r="AD1593" s="11" t="str">
        <f t="shared" si="99"/>
        <v>http://www.prsss.ca/</v>
      </c>
      <c r="AE1593" t="s">
        <v>58</v>
      </c>
      <c r="AG1593" t="s">
        <v>63</v>
      </c>
      <c r="AH1593" s="11" t="str">
        <f t="shared" si="86"/>
        <v>mailto: soilterrain@victoria1.gov.bc.ca</v>
      </c>
    </row>
    <row r="1594" spans="1:34">
      <c r="A1594" t="s">
        <v>3717</v>
      </c>
      <c r="B1594" t="s">
        <v>56</v>
      </c>
      <c r="C1594" s="10" t="s">
        <v>3718</v>
      </c>
      <c r="D1594" t="s">
        <v>58</v>
      </c>
      <c r="E1594" t="s">
        <v>3119</v>
      </c>
      <c r="F1594" t="s">
        <v>3719</v>
      </c>
      <c r="G1594">
        <v>50000</v>
      </c>
      <c r="H1594">
        <v>1974</v>
      </c>
      <c r="I1594" t="s">
        <v>3121</v>
      </c>
      <c r="J1594" t="s">
        <v>58</v>
      </c>
      <c r="K1594" t="s">
        <v>61</v>
      </c>
      <c r="L1594" t="s">
        <v>61</v>
      </c>
      <c r="M1594" t="s">
        <v>58</v>
      </c>
      <c r="Q1594" t="s">
        <v>58</v>
      </c>
      <c r="R1594" s="11" t="str">
        <f>HYPERLINK("\\imagefiles.bcgov\imagery\scanned_maps\moe_terrain_maps\Scanned_T_maps_all\K11\K11-2111","\\imagefiles.bcgov\imagery\scanned_maps\moe_terrain_maps\Scanned_T_maps_all\K11\K11-2111")</f>
        <v>\\imagefiles.bcgov\imagery\scanned_maps\moe_terrain_maps\Scanned_T_maps_all\K11\K11-2111</v>
      </c>
      <c r="S1594" t="s">
        <v>62</v>
      </c>
      <c r="T1594" s="11" t="str">
        <f>HYPERLINK("http://www.env.gov.bc.ca/esd/distdata/ecosystems/TEI_Scanned_Maps/K11/K11-2111","http://www.env.gov.bc.ca/esd/distdata/ecosystems/TEI_Scanned_Maps/K11/K11-2111")</f>
        <v>http://www.env.gov.bc.ca/esd/distdata/ecosystems/TEI_Scanned_Maps/K11/K11-2111</v>
      </c>
      <c r="U1594" t="s">
        <v>2487</v>
      </c>
      <c r="V1594" s="11" t="str">
        <f t="shared" si="95"/>
        <v>http://res.agr.ca/cansis/publications/surveys/bc/</v>
      </c>
      <c r="W1594" t="s">
        <v>2495</v>
      </c>
      <c r="X1594" s="11" t="str">
        <f t="shared" si="96"/>
        <v>http://www.em.gov.bc.ca/mining/geolsurv/terrain&amp;soils/frbcguid.htm</v>
      </c>
      <c r="Y1594" t="s">
        <v>2489</v>
      </c>
      <c r="Z1594" s="11" t="str">
        <f t="shared" si="97"/>
        <v>http://www.em.gov.bc.ca/mining/geolsurv/terrain&amp;soils/frbcguid.htm</v>
      </c>
      <c r="AA1594" t="s">
        <v>269</v>
      </c>
      <c r="AB1594" s="11" t="str">
        <f t="shared" si="98"/>
        <v>http://www.library.for.gov.bc.ca/#focus</v>
      </c>
      <c r="AC1594" t="s">
        <v>3053</v>
      </c>
      <c r="AD1594" s="11" t="str">
        <f t="shared" si="99"/>
        <v>http://www.prsss.ca/</v>
      </c>
      <c r="AE1594" t="s">
        <v>58</v>
      </c>
      <c r="AG1594" t="s">
        <v>63</v>
      </c>
      <c r="AH1594" s="11" t="str">
        <f t="shared" si="86"/>
        <v>mailto: soilterrain@victoria1.gov.bc.ca</v>
      </c>
    </row>
    <row r="1595" spans="1:34">
      <c r="A1595" t="s">
        <v>3720</v>
      </c>
      <c r="B1595" t="s">
        <v>56</v>
      </c>
      <c r="C1595" s="10" t="s">
        <v>3721</v>
      </c>
      <c r="D1595" t="s">
        <v>58</v>
      </c>
      <c r="E1595" t="s">
        <v>3119</v>
      </c>
      <c r="F1595" t="s">
        <v>3722</v>
      </c>
      <c r="G1595">
        <v>50000</v>
      </c>
      <c r="H1595">
        <v>1956</v>
      </c>
      <c r="I1595" t="s">
        <v>3121</v>
      </c>
      <c r="J1595" t="s">
        <v>58</v>
      </c>
      <c r="K1595" t="s">
        <v>61</v>
      </c>
      <c r="L1595" t="s">
        <v>61</v>
      </c>
      <c r="M1595" t="s">
        <v>58</v>
      </c>
      <c r="Q1595" t="s">
        <v>58</v>
      </c>
      <c r="R1595" s="11" t="str">
        <f>HYPERLINK("\\imagefiles.bcgov\imagery\scanned_maps\moe_terrain_maps\Scanned_T_maps_all\K11\K11-2112","\\imagefiles.bcgov\imagery\scanned_maps\moe_terrain_maps\Scanned_T_maps_all\K11\K11-2112")</f>
        <v>\\imagefiles.bcgov\imagery\scanned_maps\moe_terrain_maps\Scanned_T_maps_all\K11\K11-2112</v>
      </c>
      <c r="S1595" t="s">
        <v>62</v>
      </c>
      <c r="T1595" s="11" t="str">
        <f>HYPERLINK("http://www.env.gov.bc.ca/esd/distdata/ecosystems/TEI_Scanned_Maps/K11/K11-2112","http://www.env.gov.bc.ca/esd/distdata/ecosystems/TEI_Scanned_Maps/K11/K11-2112")</f>
        <v>http://www.env.gov.bc.ca/esd/distdata/ecosystems/TEI_Scanned_Maps/K11/K11-2112</v>
      </c>
      <c r="U1595" t="s">
        <v>2487</v>
      </c>
      <c r="V1595" s="11" t="str">
        <f t="shared" si="95"/>
        <v>http://res.agr.ca/cansis/publications/surveys/bc/</v>
      </c>
      <c r="W1595" t="s">
        <v>2495</v>
      </c>
      <c r="X1595" s="11" t="str">
        <f t="shared" si="96"/>
        <v>http://www.em.gov.bc.ca/mining/geolsurv/terrain&amp;soils/frbcguid.htm</v>
      </c>
      <c r="Y1595" t="s">
        <v>2489</v>
      </c>
      <c r="Z1595" s="11" t="str">
        <f t="shared" si="97"/>
        <v>http://www.em.gov.bc.ca/mining/geolsurv/terrain&amp;soils/frbcguid.htm</v>
      </c>
      <c r="AA1595" t="s">
        <v>269</v>
      </c>
      <c r="AB1595" s="11" t="str">
        <f t="shared" si="98"/>
        <v>http://www.library.for.gov.bc.ca/#focus</v>
      </c>
      <c r="AC1595" t="s">
        <v>3053</v>
      </c>
      <c r="AD1595" s="11" t="str">
        <f t="shared" si="99"/>
        <v>http://www.prsss.ca/</v>
      </c>
      <c r="AE1595" t="s">
        <v>58</v>
      </c>
      <c r="AG1595" t="s">
        <v>63</v>
      </c>
      <c r="AH1595" s="11" t="str">
        <f t="shared" si="86"/>
        <v>mailto: soilterrain@victoria1.gov.bc.ca</v>
      </c>
    </row>
    <row r="1596" spans="1:34">
      <c r="A1596" t="s">
        <v>3723</v>
      </c>
      <c r="B1596" t="s">
        <v>56</v>
      </c>
      <c r="C1596" s="10" t="s">
        <v>3724</v>
      </c>
      <c r="D1596" t="s">
        <v>58</v>
      </c>
      <c r="E1596" t="s">
        <v>3119</v>
      </c>
      <c r="F1596" t="s">
        <v>3725</v>
      </c>
      <c r="G1596">
        <v>50000</v>
      </c>
      <c r="H1596">
        <v>1981</v>
      </c>
      <c r="I1596" t="s">
        <v>3121</v>
      </c>
      <c r="J1596" t="s">
        <v>58</v>
      </c>
      <c r="K1596" t="s">
        <v>61</v>
      </c>
      <c r="L1596" t="s">
        <v>61</v>
      </c>
      <c r="M1596" t="s">
        <v>58</v>
      </c>
      <c r="Q1596" t="s">
        <v>58</v>
      </c>
      <c r="R1596" s="11" t="str">
        <f>HYPERLINK("\\imagefiles.bcgov\imagery\scanned_maps\moe_terrain_maps\Scanned_T_maps_all\K11\K11-2113","\\imagefiles.bcgov\imagery\scanned_maps\moe_terrain_maps\Scanned_T_maps_all\K11\K11-2113")</f>
        <v>\\imagefiles.bcgov\imagery\scanned_maps\moe_terrain_maps\Scanned_T_maps_all\K11\K11-2113</v>
      </c>
      <c r="S1596" t="s">
        <v>62</v>
      </c>
      <c r="T1596" s="11" t="str">
        <f>HYPERLINK("http://www.env.gov.bc.ca/esd/distdata/ecosystems/TEI_Scanned_Maps/K11/K11-2113","http://www.env.gov.bc.ca/esd/distdata/ecosystems/TEI_Scanned_Maps/K11/K11-2113")</f>
        <v>http://www.env.gov.bc.ca/esd/distdata/ecosystems/TEI_Scanned_Maps/K11/K11-2113</v>
      </c>
      <c r="U1596" t="s">
        <v>2487</v>
      </c>
      <c r="V1596" s="11" t="str">
        <f t="shared" si="95"/>
        <v>http://res.agr.ca/cansis/publications/surveys/bc/</v>
      </c>
      <c r="W1596" t="s">
        <v>2495</v>
      </c>
      <c r="X1596" s="11" t="str">
        <f t="shared" si="96"/>
        <v>http://www.em.gov.bc.ca/mining/geolsurv/terrain&amp;soils/frbcguid.htm</v>
      </c>
      <c r="Y1596" t="s">
        <v>2489</v>
      </c>
      <c r="Z1596" s="11" t="str">
        <f t="shared" si="97"/>
        <v>http://www.em.gov.bc.ca/mining/geolsurv/terrain&amp;soils/frbcguid.htm</v>
      </c>
      <c r="AA1596" t="s">
        <v>269</v>
      </c>
      <c r="AB1596" s="11" t="str">
        <f t="shared" si="98"/>
        <v>http://www.library.for.gov.bc.ca/#focus</v>
      </c>
      <c r="AC1596" t="s">
        <v>3053</v>
      </c>
      <c r="AD1596" s="11" t="str">
        <f t="shared" si="99"/>
        <v>http://www.prsss.ca/</v>
      </c>
      <c r="AE1596" t="s">
        <v>58</v>
      </c>
      <c r="AG1596" t="s">
        <v>63</v>
      </c>
      <c r="AH1596" s="11" t="str">
        <f t="shared" si="86"/>
        <v>mailto: soilterrain@victoria1.gov.bc.ca</v>
      </c>
    </row>
    <row r="1597" spans="1:34">
      <c r="A1597" t="s">
        <v>3726</v>
      </c>
      <c r="B1597" t="s">
        <v>56</v>
      </c>
      <c r="C1597" s="10" t="s">
        <v>3727</v>
      </c>
      <c r="D1597" t="s">
        <v>58</v>
      </c>
      <c r="E1597" t="s">
        <v>3728</v>
      </c>
      <c r="F1597" t="s">
        <v>3729</v>
      </c>
      <c r="G1597">
        <v>50000</v>
      </c>
      <c r="H1597">
        <v>1980</v>
      </c>
      <c r="I1597" t="s">
        <v>3730</v>
      </c>
      <c r="J1597" t="s">
        <v>58</v>
      </c>
      <c r="K1597" t="s">
        <v>58</v>
      </c>
      <c r="L1597" t="s">
        <v>61</v>
      </c>
      <c r="M1597" t="s">
        <v>58</v>
      </c>
      <c r="Q1597" t="s">
        <v>58</v>
      </c>
      <c r="R1597" s="11" t="str">
        <f>HYPERLINK("\\imagefiles.bcgov\imagery\scanned_maps\moe_terrain_maps\Scanned_T_maps_all\K11\K11-2114","\\imagefiles.bcgov\imagery\scanned_maps\moe_terrain_maps\Scanned_T_maps_all\K11\K11-2114")</f>
        <v>\\imagefiles.bcgov\imagery\scanned_maps\moe_terrain_maps\Scanned_T_maps_all\K11\K11-2114</v>
      </c>
      <c r="S1597" t="s">
        <v>62</v>
      </c>
      <c r="T1597" s="11" t="str">
        <f>HYPERLINK("http://www.env.gov.bc.ca/esd/distdata/ecosystems/TEI_Scanned_Maps/K11/K11-2114","http://www.env.gov.bc.ca/esd/distdata/ecosystems/TEI_Scanned_Maps/K11/K11-2114")</f>
        <v>http://www.env.gov.bc.ca/esd/distdata/ecosystems/TEI_Scanned_Maps/K11/K11-2114</v>
      </c>
      <c r="U1597" t="s">
        <v>269</v>
      </c>
      <c r="V1597" s="11" t="str">
        <f>HYPERLINK("http://www.library.for.gov.bc.ca/#focus","http://www.library.for.gov.bc.ca/#focus")</f>
        <v>http://www.library.for.gov.bc.ca/#focus</v>
      </c>
      <c r="W1597" t="s">
        <v>58</v>
      </c>
      <c r="X1597" t="s">
        <v>58</v>
      </c>
      <c r="Y1597" t="s">
        <v>58</v>
      </c>
      <c r="Z1597" t="s">
        <v>58</v>
      </c>
      <c r="AA1597" t="s">
        <v>58</v>
      </c>
      <c r="AC1597" t="s">
        <v>58</v>
      </c>
      <c r="AE1597" t="s">
        <v>58</v>
      </c>
      <c r="AG1597" t="s">
        <v>63</v>
      </c>
      <c r="AH1597" s="11" t="str">
        <f t="shared" si="86"/>
        <v>mailto: soilterrain@victoria1.gov.bc.ca</v>
      </c>
    </row>
    <row r="1598" spans="1:34">
      <c r="A1598" t="s">
        <v>3731</v>
      </c>
      <c r="B1598" t="s">
        <v>56</v>
      </c>
      <c r="C1598" s="10" t="s">
        <v>3727</v>
      </c>
      <c r="D1598" t="s">
        <v>58</v>
      </c>
      <c r="E1598" t="s">
        <v>3728</v>
      </c>
      <c r="F1598" t="s">
        <v>3732</v>
      </c>
      <c r="G1598">
        <v>50000</v>
      </c>
      <c r="H1598">
        <v>1979</v>
      </c>
      <c r="I1598" t="s">
        <v>3730</v>
      </c>
      <c r="J1598" t="s">
        <v>58</v>
      </c>
      <c r="K1598" t="s">
        <v>58</v>
      </c>
      <c r="L1598" t="s">
        <v>61</v>
      </c>
      <c r="M1598" t="s">
        <v>58</v>
      </c>
      <c r="Q1598" t="s">
        <v>58</v>
      </c>
      <c r="R1598" s="11" t="str">
        <f>HYPERLINK("\\imagefiles.bcgov\imagery\scanned_maps\moe_terrain_maps\Scanned_T_maps_all\K11\K11-2115","\\imagefiles.bcgov\imagery\scanned_maps\moe_terrain_maps\Scanned_T_maps_all\K11\K11-2115")</f>
        <v>\\imagefiles.bcgov\imagery\scanned_maps\moe_terrain_maps\Scanned_T_maps_all\K11\K11-2115</v>
      </c>
      <c r="S1598" t="s">
        <v>62</v>
      </c>
      <c r="T1598" s="11" t="str">
        <f>HYPERLINK("http://www.env.gov.bc.ca/esd/distdata/ecosystems/TEI_Scanned_Maps/K11/K11-2115","http://www.env.gov.bc.ca/esd/distdata/ecosystems/TEI_Scanned_Maps/K11/K11-2115")</f>
        <v>http://www.env.gov.bc.ca/esd/distdata/ecosystems/TEI_Scanned_Maps/K11/K11-2115</v>
      </c>
      <c r="U1598" t="s">
        <v>269</v>
      </c>
      <c r="V1598" s="11" t="str">
        <f>HYPERLINK("http://www.library.for.gov.bc.ca/#focus","http://www.library.for.gov.bc.ca/#focus")</f>
        <v>http://www.library.for.gov.bc.ca/#focus</v>
      </c>
      <c r="W1598" t="s">
        <v>58</v>
      </c>
      <c r="X1598" t="s">
        <v>58</v>
      </c>
      <c r="Y1598" t="s">
        <v>58</v>
      </c>
      <c r="Z1598" t="s">
        <v>58</v>
      </c>
      <c r="AA1598" t="s">
        <v>58</v>
      </c>
      <c r="AC1598" t="s">
        <v>58</v>
      </c>
      <c r="AE1598" t="s">
        <v>58</v>
      </c>
      <c r="AG1598" t="s">
        <v>63</v>
      </c>
      <c r="AH1598" s="11" t="str">
        <f t="shared" si="86"/>
        <v>mailto: soilterrain@victoria1.gov.bc.ca</v>
      </c>
    </row>
    <row r="1599" spans="1:34">
      <c r="A1599" t="s">
        <v>3733</v>
      </c>
      <c r="B1599" t="s">
        <v>56</v>
      </c>
      <c r="C1599" s="10" t="s">
        <v>1444</v>
      </c>
      <c r="D1599" t="s">
        <v>58</v>
      </c>
      <c r="E1599" t="s">
        <v>3132</v>
      </c>
      <c r="F1599" t="s">
        <v>3734</v>
      </c>
      <c r="G1599">
        <v>50000</v>
      </c>
      <c r="H1599">
        <v>1980</v>
      </c>
      <c r="I1599" t="s">
        <v>3133</v>
      </c>
      <c r="J1599" t="s">
        <v>58</v>
      </c>
      <c r="K1599" t="s">
        <v>61</v>
      </c>
      <c r="L1599" t="s">
        <v>61</v>
      </c>
      <c r="M1599" t="s">
        <v>58</v>
      </c>
      <c r="Q1599" t="s">
        <v>58</v>
      </c>
      <c r="R1599" s="11" t="str">
        <f>HYPERLINK("\\imagefiles.bcgov\imagery\scanned_maps\moe_terrain_maps\Scanned_T_maps_all\K11\K11-2140","\\imagefiles.bcgov\imagery\scanned_maps\moe_terrain_maps\Scanned_T_maps_all\K11\K11-2140")</f>
        <v>\\imagefiles.bcgov\imagery\scanned_maps\moe_terrain_maps\Scanned_T_maps_all\K11\K11-2140</v>
      </c>
      <c r="S1599" t="s">
        <v>62</v>
      </c>
      <c r="T1599" s="11" t="str">
        <f>HYPERLINK("http://www.env.gov.bc.ca/esd/distdata/ecosystems/TEI_Scanned_Maps/K11/K11-2140","http://www.env.gov.bc.ca/esd/distdata/ecosystems/TEI_Scanned_Maps/K11/K11-2140")</f>
        <v>http://www.env.gov.bc.ca/esd/distdata/ecosystems/TEI_Scanned_Maps/K11/K11-2140</v>
      </c>
      <c r="U1599" t="s">
        <v>2487</v>
      </c>
      <c r="V1599" s="11" t="str">
        <f t="shared" ref="V1599:V1607" si="100">HYPERLINK("http://res.agr.ca/cansis/publications/surveys/bc/","http://res.agr.ca/cansis/publications/surveys/bc/")</f>
        <v>http://res.agr.ca/cansis/publications/surveys/bc/</v>
      </c>
      <c r="W1599" t="s">
        <v>2495</v>
      </c>
      <c r="X1599" s="11" t="str">
        <f t="shared" ref="X1599:X1607" si="101">HYPERLINK("http://www.em.gov.bc.ca/mining/geolsurv/terrain&amp;soils/frbcguid.htm","http://www.em.gov.bc.ca/mining/geolsurv/terrain&amp;soils/frbcguid.htm")</f>
        <v>http://www.em.gov.bc.ca/mining/geolsurv/terrain&amp;soils/frbcguid.htm</v>
      </c>
      <c r="Y1599" t="s">
        <v>2489</v>
      </c>
      <c r="Z1599" s="11" t="str">
        <f t="shared" ref="Z1599:Z1605" si="102">HYPERLINK("http://www.em.gov.bc.ca/mining/geolsurv/terrain&amp;soils/frbcguid.htm","http://www.em.gov.bc.ca/mining/geolsurv/terrain&amp;soils/frbcguid.htm")</f>
        <v>http://www.em.gov.bc.ca/mining/geolsurv/terrain&amp;soils/frbcguid.htm</v>
      </c>
      <c r="AA1599" t="s">
        <v>269</v>
      </c>
      <c r="AB1599" s="11" t="str">
        <f t="shared" ref="AB1599:AB1605" si="103">HYPERLINK("http://www.library.for.gov.bc.ca/#focus","http://www.library.for.gov.bc.ca/#focus")</f>
        <v>http://www.library.for.gov.bc.ca/#focus</v>
      </c>
      <c r="AC1599" t="s">
        <v>58</v>
      </c>
      <c r="AD1599" s="11" t="str">
        <f t="shared" ref="AD1599:AD1605" si="104">HYPERLINK("http://www.env.gov.bc.ca/soils/project/report.html","http://www.env.gov.bc.ca/soils/project/report.html")</f>
        <v>http://www.env.gov.bc.ca/soils/project/report.html</v>
      </c>
      <c r="AE1599" t="s">
        <v>58</v>
      </c>
      <c r="AG1599" t="s">
        <v>63</v>
      </c>
      <c r="AH1599" s="11" t="str">
        <f t="shared" si="86"/>
        <v>mailto: soilterrain@victoria1.gov.bc.ca</v>
      </c>
    </row>
    <row r="1600" spans="1:34">
      <c r="A1600" t="s">
        <v>3735</v>
      </c>
      <c r="B1600" t="s">
        <v>56</v>
      </c>
      <c r="C1600" s="10" t="s">
        <v>1446</v>
      </c>
      <c r="D1600" t="s">
        <v>58</v>
      </c>
      <c r="E1600" t="s">
        <v>3132</v>
      </c>
      <c r="F1600" t="s">
        <v>3736</v>
      </c>
      <c r="G1600">
        <v>50000</v>
      </c>
      <c r="H1600">
        <v>1979</v>
      </c>
      <c r="I1600" t="s">
        <v>3133</v>
      </c>
      <c r="J1600" t="s">
        <v>58</v>
      </c>
      <c r="K1600" t="s">
        <v>61</v>
      </c>
      <c r="L1600" t="s">
        <v>61</v>
      </c>
      <c r="M1600" t="s">
        <v>58</v>
      </c>
      <c r="Q1600" t="s">
        <v>58</v>
      </c>
      <c r="R1600" s="11" t="str">
        <f>HYPERLINK("\\imagefiles.bcgov\imagery\scanned_maps\moe_terrain_maps\Scanned_T_maps_all\K11\K11-2142","\\imagefiles.bcgov\imagery\scanned_maps\moe_terrain_maps\Scanned_T_maps_all\K11\K11-2142")</f>
        <v>\\imagefiles.bcgov\imagery\scanned_maps\moe_terrain_maps\Scanned_T_maps_all\K11\K11-2142</v>
      </c>
      <c r="S1600" t="s">
        <v>62</v>
      </c>
      <c r="T1600" s="11" t="str">
        <f>HYPERLINK("http://www.env.gov.bc.ca/esd/distdata/ecosystems/TEI_Scanned_Maps/K11/K11-2142","http://www.env.gov.bc.ca/esd/distdata/ecosystems/TEI_Scanned_Maps/K11/K11-2142")</f>
        <v>http://www.env.gov.bc.ca/esd/distdata/ecosystems/TEI_Scanned_Maps/K11/K11-2142</v>
      </c>
      <c r="U1600" t="s">
        <v>2487</v>
      </c>
      <c r="V1600" s="11" t="str">
        <f t="shared" si="100"/>
        <v>http://res.agr.ca/cansis/publications/surveys/bc/</v>
      </c>
      <c r="W1600" t="s">
        <v>2495</v>
      </c>
      <c r="X1600" s="11" t="str">
        <f t="shared" si="101"/>
        <v>http://www.em.gov.bc.ca/mining/geolsurv/terrain&amp;soils/frbcguid.htm</v>
      </c>
      <c r="Y1600" t="s">
        <v>2489</v>
      </c>
      <c r="Z1600" s="11" t="str">
        <f t="shared" si="102"/>
        <v>http://www.em.gov.bc.ca/mining/geolsurv/terrain&amp;soils/frbcguid.htm</v>
      </c>
      <c r="AA1600" t="s">
        <v>269</v>
      </c>
      <c r="AB1600" s="11" t="str">
        <f t="shared" si="103"/>
        <v>http://www.library.for.gov.bc.ca/#focus</v>
      </c>
      <c r="AC1600" t="s">
        <v>58</v>
      </c>
      <c r="AD1600" s="11" t="str">
        <f t="shared" si="104"/>
        <v>http://www.env.gov.bc.ca/soils/project/report.html</v>
      </c>
      <c r="AE1600" t="s">
        <v>58</v>
      </c>
      <c r="AG1600" t="s">
        <v>63</v>
      </c>
      <c r="AH1600" s="11" t="str">
        <f t="shared" si="86"/>
        <v>mailto: soilterrain@victoria1.gov.bc.ca</v>
      </c>
    </row>
    <row r="1601" spans="1:34">
      <c r="A1601" t="s">
        <v>3737</v>
      </c>
      <c r="B1601" t="s">
        <v>56</v>
      </c>
      <c r="C1601" s="10" t="s">
        <v>1448</v>
      </c>
      <c r="D1601" t="s">
        <v>58</v>
      </c>
      <c r="E1601" t="s">
        <v>3132</v>
      </c>
      <c r="F1601" t="s">
        <v>3738</v>
      </c>
      <c r="G1601">
        <v>50000</v>
      </c>
      <c r="H1601">
        <v>1979</v>
      </c>
      <c r="I1601" t="s">
        <v>3133</v>
      </c>
      <c r="J1601" t="s">
        <v>58</v>
      </c>
      <c r="K1601" t="s">
        <v>61</v>
      </c>
      <c r="L1601" t="s">
        <v>61</v>
      </c>
      <c r="M1601" t="s">
        <v>58</v>
      </c>
      <c r="Q1601" t="s">
        <v>58</v>
      </c>
      <c r="R1601" s="11" t="str">
        <f>HYPERLINK("\\imagefiles.bcgov\imagery\scanned_maps\moe_terrain_maps\Scanned_T_maps_all\K11\K11-2144","\\imagefiles.bcgov\imagery\scanned_maps\moe_terrain_maps\Scanned_T_maps_all\K11\K11-2144")</f>
        <v>\\imagefiles.bcgov\imagery\scanned_maps\moe_terrain_maps\Scanned_T_maps_all\K11\K11-2144</v>
      </c>
      <c r="S1601" t="s">
        <v>62</v>
      </c>
      <c r="T1601" s="11" t="str">
        <f>HYPERLINK("http://www.env.gov.bc.ca/esd/distdata/ecosystems/TEI_Scanned_Maps/K11/K11-2144","http://www.env.gov.bc.ca/esd/distdata/ecosystems/TEI_Scanned_Maps/K11/K11-2144")</f>
        <v>http://www.env.gov.bc.ca/esd/distdata/ecosystems/TEI_Scanned_Maps/K11/K11-2144</v>
      </c>
      <c r="U1601" t="s">
        <v>2487</v>
      </c>
      <c r="V1601" s="11" t="str">
        <f t="shared" si="100"/>
        <v>http://res.agr.ca/cansis/publications/surveys/bc/</v>
      </c>
      <c r="W1601" t="s">
        <v>2495</v>
      </c>
      <c r="X1601" s="11" t="str">
        <f t="shared" si="101"/>
        <v>http://www.em.gov.bc.ca/mining/geolsurv/terrain&amp;soils/frbcguid.htm</v>
      </c>
      <c r="Y1601" t="s">
        <v>2489</v>
      </c>
      <c r="Z1601" s="11" t="str">
        <f t="shared" si="102"/>
        <v>http://www.em.gov.bc.ca/mining/geolsurv/terrain&amp;soils/frbcguid.htm</v>
      </c>
      <c r="AA1601" t="s">
        <v>269</v>
      </c>
      <c r="AB1601" s="11" t="str">
        <f t="shared" si="103"/>
        <v>http://www.library.for.gov.bc.ca/#focus</v>
      </c>
      <c r="AC1601" t="s">
        <v>58</v>
      </c>
      <c r="AD1601" s="11" t="str">
        <f t="shared" si="104"/>
        <v>http://www.env.gov.bc.ca/soils/project/report.html</v>
      </c>
      <c r="AE1601" t="s">
        <v>58</v>
      </c>
      <c r="AG1601" t="s">
        <v>63</v>
      </c>
      <c r="AH1601" s="11" t="str">
        <f t="shared" si="86"/>
        <v>mailto: soilterrain@victoria1.gov.bc.ca</v>
      </c>
    </row>
    <row r="1602" spans="1:34">
      <c r="A1602" t="s">
        <v>3739</v>
      </c>
      <c r="B1602" t="s">
        <v>56</v>
      </c>
      <c r="C1602" s="10" t="s">
        <v>1450</v>
      </c>
      <c r="D1602" t="s">
        <v>58</v>
      </c>
      <c r="E1602" t="s">
        <v>3132</v>
      </c>
      <c r="F1602" t="s">
        <v>3740</v>
      </c>
      <c r="G1602">
        <v>50000</v>
      </c>
      <c r="H1602">
        <v>1979</v>
      </c>
      <c r="I1602" t="s">
        <v>3133</v>
      </c>
      <c r="J1602" t="s">
        <v>58</v>
      </c>
      <c r="K1602" t="s">
        <v>61</v>
      </c>
      <c r="L1602" t="s">
        <v>61</v>
      </c>
      <c r="M1602" t="s">
        <v>58</v>
      </c>
      <c r="Q1602" t="s">
        <v>58</v>
      </c>
      <c r="R1602" s="11" t="str">
        <f>HYPERLINK("\\imagefiles.bcgov\imagery\scanned_maps\moe_terrain_maps\Scanned_T_maps_all\K11\K11-2146","\\imagefiles.bcgov\imagery\scanned_maps\moe_terrain_maps\Scanned_T_maps_all\K11\K11-2146")</f>
        <v>\\imagefiles.bcgov\imagery\scanned_maps\moe_terrain_maps\Scanned_T_maps_all\K11\K11-2146</v>
      </c>
      <c r="S1602" t="s">
        <v>62</v>
      </c>
      <c r="T1602" s="11" t="str">
        <f>HYPERLINK("http://www.env.gov.bc.ca/esd/distdata/ecosystems/TEI_Scanned_Maps/K11/K11-2146","http://www.env.gov.bc.ca/esd/distdata/ecosystems/TEI_Scanned_Maps/K11/K11-2146")</f>
        <v>http://www.env.gov.bc.ca/esd/distdata/ecosystems/TEI_Scanned_Maps/K11/K11-2146</v>
      </c>
      <c r="U1602" t="s">
        <v>2487</v>
      </c>
      <c r="V1602" s="11" t="str">
        <f t="shared" si="100"/>
        <v>http://res.agr.ca/cansis/publications/surveys/bc/</v>
      </c>
      <c r="W1602" t="s">
        <v>2495</v>
      </c>
      <c r="X1602" s="11" t="str">
        <f t="shared" si="101"/>
        <v>http://www.em.gov.bc.ca/mining/geolsurv/terrain&amp;soils/frbcguid.htm</v>
      </c>
      <c r="Y1602" t="s">
        <v>2489</v>
      </c>
      <c r="Z1602" s="11" t="str">
        <f t="shared" si="102"/>
        <v>http://www.em.gov.bc.ca/mining/geolsurv/terrain&amp;soils/frbcguid.htm</v>
      </c>
      <c r="AA1602" t="s">
        <v>269</v>
      </c>
      <c r="AB1602" s="11" t="str">
        <f t="shared" si="103"/>
        <v>http://www.library.for.gov.bc.ca/#focus</v>
      </c>
      <c r="AC1602" t="s">
        <v>58</v>
      </c>
      <c r="AD1602" s="11" t="str">
        <f t="shared" si="104"/>
        <v>http://www.env.gov.bc.ca/soils/project/report.html</v>
      </c>
      <c r="AE1602" t="s">
        <v>58</v>
      </c>
      <c r="AG1602" t="s">
        <v>63</v>
      </c>
      <c r="AH1602" s="11" t="str">
        <f t="shared" ref="AH1602:AH1665" si="105">HYPERLINK("mailto: soilterrain@victoria1.gov.bc.ca","mailto: soilterrain@victoria1.gov.bc.ca")</f>
        <v>mailto: soilterrain@victoria1.gov.bc.ca</v>
      </c>
    </row>
    <row r="1603" spans="1:34">
      <c r="A1603" t="s">
        <v>3741</v>
      </c>
      <c r="B1603" t="s">
        <v>56</v>
      </c>
      <c r="C1603" s="10" t="s">
        <v>1452</v>
      </c>
      <c r="D1603" t="s">
        <v>58</v>
      </c>
      <c r="E1603" t="s">
        <v>3132</v>
      </c>
      <c r="F1603" t="s">
        <v>3081</v>
      </c>
      <c r="G1603">
        <v>50000</v>
      </c>
      <c r="H1603">
        <v>1974</v>
      </c>
      <c r="I1603" t="s">
        <v>3133</v>
      </c>
      <c r="J1603" t="s">
        <v>58</v>
      </c>
      <c r="K1603" t="s">
        <v>61</v>
      </c>
      <c r="L1603" t="s">
        <v>61</v>
      </c>
      <c r="M1603" t="s">
        <v>58</v>
      </c>
      <c r="Q1603" t="s">
        <v>58</v>
      </c>
      <c r="R1603" s="11" t="str">
        <f>HYPERLINK("\\imagefiles.bcgov\imagery\scanned_maps\moe_terrain_maps\Scanned_T_maps_all\K11\K11-2148","\\imagefiles.bcgov\imagery\scanned_maps\moe_terrain_maps\Scanned_T_maps_all\K11\K11-2148")</f>
        <v>\\imagefiles.bcgov\imagery\scanned_maps\moe_terrain_maps\Scanned_T_maps_all\K11\K11-2148</v>
      </c>
      <c r="S1603" t="s">
        <v>62</v>
      </c>
      <c r="T1603" s="11" t="str">
        <f>HYPERLINK("http://www.env.gov.bc.ca/esd/distdata/ecosystems/TEI_Scanned_Maps/K11/K11-2148","http://www.env.gov.bc.ca/esd/distdata/ecosystems/TEI_Scanned_Maps/K11/K11-2148")</f>
        <v>http://www.env.gov.bc.ca/esd/distdata/ecosystems/TEI_Scanned_Maps/K11/K11-2148</v>
      </c>
      <c r="U1603" t="s">
        <v>2487</v>
      </c>
      <c r="V1603" s="11" t="str">
        <f t="shared" si="100"/>
        <v>http://res.agr.ca/cansis/publications/surveys/bc/</v>
      </c>
      <c r="W1603" t="s">
        <v>2495</v>
      </c>
      <c r="X1603" s="11" t="str">
        <f t="shared" si="101"/>
        <v>http://www.em.gov.bc.ca/mining/geolsurv/terrain&amp;soils/frbcguid.htm</v>
      </c>
      <c r="Y1603" t="s">
        <v>2489</v>
      </c>
      <c r="Z1603" s="11" t="str">
        <f t="shared" si="102"/>
        <v>http://www.em.gov.bc.ca/mining/geolsurv/terrain&amp;soils/frbcguid.htm</v>
      </c>
      <c r="AA1603" t="s">
        <v>269</v>
      </c>
      <c r="AB1603" s="11" t="str">
        <f t="shared" si="103"/>
        <v>http://www.library.for.gov.bc.ca/#focus</v>
      </c>
      <c r="AC1603" t="s">
        <v>58</v>
      </c>
      <c r="AD1603" s="11" t="str">
        <f t="shared" si="104"/>
        <v>http://www.env.gov.bc.ca/soils/project/report.html</v>
      </c>
      <c r="AE1603" t="s">
        <v>58</v>
      </c>
      <c r="AG1603" t="s">
        <v>63</v>
      </c>
      <c r="AH1603" s="11" t="str">
        <f t="shared" si="105"/>
        <v>mailto: soilterrain@victoria1.gov.bc.ca</v>
      </c>
    </row>
    <row r="1604" spans="1:34">
      <c r="A1604" t="s">
        <v>3742</v>
      </c>
      <c r="B1604" t="s">
        <v>56</v>
      </c>
      <c r="C1604" s="10" t="s">
        <v>1454</v>
      </c>
      <c r="D1604" t="s">
        <v>58</v>
      </c>
      <c r="E1604" t="s">
        <v>3132</v>
      </c>
      <c r="F1604" t="s">
        <v>3081</v>
      </c>
      <c r="G1604">
        <v>50000</v>
      </c>
      <c r="H1604">
        <v>1979</v>
      </c>
      <c r="I1604" t="s">
        <v>3133</v>
      </c>
      <c r="J1604" t="s">
        <v>58</v>
      </c>
      <c r="K1604" t="s">
        <v>61</v>
      </c>
      <c r="L1604" t="s">
        <v>61</v>
      </c>
      <c r="M1604" t="s">
        <v>58</v>
      </c>
      <c r="Q1604" t="s">
        <v>58</v>
      </c>
      <c r="R1604" s="11" t="str">
        <f>HYPERLINK("\\imagefiles.bcgov\imagery\scanned_maps\moe_terrain_maps\Scanned_T_maps_all\K11\K11-2150","\\imagefiles.bcgov\imagery\scanned_maps\moe_terrain_maps\Scanned_T_maps_all\K11\K11-2150")</f>
        <v>\\imagefiles.bcgov\imagery\scanned_maps\moe_terrain_maps\Scanned_T_maps_all\K11\K11-2150</v>
      </c>
      <c r="S1604" t="s">
        <v>62</v>
      </c>
      <c r="T1604" s="11" t="str">
        <f>HYPERLINK("http://www.env.gov.bc.ca/esd/distdata/ecosystems/TEI_Scanned_Maps/K11/K11-2150","http://www.env.gov.bc.ca/esd/distdata/ecosystems/TEI_Scanned_Maps/K11/K11-2150")</f>
        <v>http://www.env.gov.bc.ca/esd/distdata/ecosystems/TEI_Scanned_Maps/K11/K11-2150</v>
      </c>
      <c r="U1604" t="s">
        <v>2487</v>
      </c>
      <c r="V1604" s="11" t="str">
        <f t="shared" si="100"/>
        <v>http://res.agr.ca/cansis/publications/surveys/bc/</v>
      </c>
      <c r="W1604" t="s">
        <v>2495</v>
      </c>
      <c r="X1604" s="11" t="str">
        <f t="shared" si="101"/>
        <v>http://www.em.gov.bc.ca/mining/geolsurv/terrain&amp;soils/frbcguid.htm</v>
      </c>
      <c r="Y1604" t="s">
        <v>2489</v>
      </c>
      <c r="Z1604" s="11" t="str">
        <f t="shared" si="102"/>
        <v>http://www.em.gov.bc.ca/mining/geolsurv/terrain&amp;soils/frbcguid.htm</v>
      </c>
      <c r="AA1604" t="s">
        <v>269</v>
      </c>
      <c r="AB1604" s="11" t="str">
        <f t="shared" si="103"/>
        <v>http://www.library.for.gov.bc.ca/#focus</v>
      </c>
      <c r="AC1604" t="s">
        <v>58</v>
      </c>
      <c r="AD1604" s="11" t="str">
        <f t="shared" si="104"/>
        <v>http://www.env.gov.bc.ca/soils/project/report.html</v>
      </c>
      <c r="AE1604" t="s">
        <v>58</v>
      </c>
      <c r="AG1604" t="s">
        <v>63</v>
      </c>
      <c r="AH1604" s="11" t="str">
        <f t="shared" si="105"/>
        <v>mailto: soilterrain@victoria1.gov.bc.ca</v>
      </c>
    </row>
    <row r="1605" spans="1:34">
      <c r="A1605" t="s">
        <v>3743</v>
      </c>
      <c r="B1605" t="s">
        <v>56</v>
      </c>
      <c r="C1605" s="10" t="s">
        <v>1456</v>
      </c>
      <c r="D1605" t="s">
        <v>58</v>
      </c>
      <c r="E1605" t="s">
        <v>3132</v>
      </c>
      <c r="F1605" t="s">
        <v>3744</v>
      </c>
      <c r="G1605">
        <v>50000</v>
      </c>
      <c r="H1605">
        <v>1974</v>
      </c>
      <c r="I1605" t="s">
        <v>3133</v>
      </c>
      <c r="J1605" t="s">
        <v>58</v>
      </c>
      <c r="K1605" t="s">
        <v>61</v>
      </c>
      <c r="L1605" t="s">
        <v>61</v>
      </c>
      <c r="M1605" t="s">
        <v>58</v>
      </c>
      <c r="Q1605" t="s">
        <v>58</v>
      </c>
      <c r="R1605" s="11" t="str">
        <f>HYPERLINK("\\imagefiles.bcgov\imagery\scanned_maps\moe_terrain_maps\Scanned_T_maps_all\K11\K11-2152","\\imagefiles.bcgov\imagery\scanned_maps\moe_terrain_maps\Scanned_T_maps_all\K11\K11-2152")</f>
        <v>\\imagefiles.bcgov\imagery\scanned_maps\moe_terrain_maps\Scanned_T_maps_all\K11\K11-2152</v>
      </c>
      <c r="S1605" t="s">
        <v>62</v>
      </c>
      <c r="T1605" s="11" t="str">
        <f>HYPERLINK("http://www.env.gov.bc.ca/esd/distdata/ecosystems/TEI_Scanned_Maps/K11/K11-2152","http://www.env.gov.bc.ca/esd/distdata/ecosystems/TEI_Scanned_Maps/K11/K11-2152")</f>
        <v>http://www.env.gov.bc.ca/esd/distdata/ecosystems/TEI_Scanned_Maps/K11/K11-2152</v>
      </c>
      <c r="U1605" t="s">
        <v>2487</v>
      </c>
      <c r="V1605" s="11" t="str">
        <f t="shared" si="100"/>
        <v>http://res.agr.ca/cansis/publications/surveys/bc/</v>
      </c>
      <c r="W1605" t="s">
        <v>2495</v>
      </c>
      <c r="X1605" s="11" t="str">
        <f t="shared" si="101"/>
        <v>http://www.em.gov.bc.ca/mining/geolsurv/terrain&amp;soils/frbcguid.htm</v>
      </c>
      <c r="Y1605" t="s">
        <v>2489</v>
      </c>
      <c r="Z1605" s="11" t="str">
        <f t="shared" si="102"/>
        <v>http://www.em.gov.bc.ca/mining/geolsurv/terrain&amp;soils/frbcguid.htm</v>
      </c>
      <c r="AA1605" t="s">
        <v>269</v>
      </c>
      <c r="AB1605" s="11" t="str">
        <f t="shared" si="103"/>
        <v>http://www.library.for.gov.bc.ca/#focus</v>
      </c>
      <c r="AC1605" t="s">
        <v>58</v>
      </c>
      <c r="AD1605" s="11" t="str">
        <f t="shared" si="104"/>
        <v>http://www.env.gov.bc.ca/soils/project/report.html</v>
      </c>
      <c r="AE1605" t="s">
        <v>58</v>
      </c>
      <c r="AG1605" t="s">
        <v>63</v>
      </c>
      <c r="AH1605" s="11" t="str">
        <f t="shared" si="105"/>
        <v>mailto: soilterrain@victoria1.gov.bc.ca</v>
      </c>
    </row>
    <row r="1606" spans="1:34">
      <c r="A1606" t="s">
        <v>3745</v>
      </c>
      <c r="B1606" t="s">
        <v>56</v>
      </c>
      <c r="C1606" s="10" t="s">
        <v>1463</v>
      </c>
      <c r="D1606" t="s">
        <v>58</v>
      </c>
      <c r="E1606" t="s">
        <v>3125</v>
      </c>
      <c r="F1606" t="s">
        <v>3746</v>
      </c>
      <c r="G1606">
        <v>50000</v>
      </c>
      <c r="H1606">
        <v>1979</v>
      </c>
      <c r="I1606" t="s">
        <v>3127</v>
      </c>
      <c r="J1606" t="s">
        <v>58</v>
      </c>
      <c r="K1606" t="s">
        <v>61</v>
      </c>
      <c r="L1606" t="s">
        <v>61</v>
      </c>
      <c r="M1606" t="s">
        <v>58</v>
      </c>
      <c r="Q1606" t="s">
        <v>58</v>
      </c>
      <c r="R1606" s="11" t="str">
        <f>HYPERLINK("\\imagefiles.bcgov\imagery\scanned_maps\moe_terrain_maps\Scanned_T_maps_all\K11\K11-2158","\\imagefiles.bcgov\imagery\scanned_maps\moe_terrain_maps\Scanned_T_maps_all\K11\K11-2158")</f>
        <v>\\imagefiles.bcgov\imagery\scanned_maps\moe_terrain_maps\Scanned_T_maps_all\K11\K11-2158</v>
      </c>
      <c r="S1606" t="s">
        <v>62</v>
      </c>
      <c r="T1606" s="11" t="str">
        <f>HYPERLINK("http://www.env.gov.bc.ca/esd/distdata/ecosystems/TEI_Scanned_Maps/K11/K11-2158","http://www.env.gov.bc.ca/esd/distdata/ecosystems/TEI_Scanned_Maps/K11/K11-2158")</f>
        <v>http://www.env.gov.bc.ca/esd/distdata/ecosystems/TEI_Scanned_Maps/K11/K11-2158</v>
      </c>
      <c r="U1606" t="s">
        <v>2487</v>
      </c>
      <c r="V1606" s="11" t="str">
        <f t="shared" si="100"/>
        <v>http://res.agr.ca/cansis/publications/surveys/bc/</v>
      </c>
      <c r="W1606" t="s">
        <v>2495</v>
      </c>
      <c r="X1606" s="11" t="str">
        <f t="shared" si="101"/>
        <v>http://www.em.gov.bc.ca/mining/geolsurv/terrain&amp;soils/frbcguid.htm</v>
      </c>
      <c r="Y1606" t="s">
        <v>269</v>
      </c>
      <c r="Z1606" s="11" t="str">
        <f>HYPERLINK("http://www.library.for.gov.bc.ca/#focus","http://www.library.for.gov.bc.ca/#focus")</f>
        <v>http://www.library.for.gov.bc.ca/#focus</v>
      </c>
      <c r="AA1606" t="s">
        <v>3053</v>
      </c>
      <c r="AB1606" s="11" t="str">
        <f>HYPERLINK("http://www.prsss.ca/","http://www.prsss.ca/")</f>
        <v>http://www.prsss.ca/</v>
      </c>
      <c r="AC1606" t="s">
        <v>58</v>
      </c>
      <c r="AE1606" t="s">
        <v>58</v>
      </c>
      <c r="AG1606" t="s">
        <v>63</v>
      </c>
      <c r="AH1606" s="11" t="str">
        <f t="shared" si="105"/>
        <v>mailto: soilterrain@victoria1.gov.bc.ca</v>
      </c>
    </row>
    <row r="1607" spans="1:34">
      <c r="A1607" t="s">
        <v>3747</v>
      </c>
      <c r="B1607" t="s">
        <v>56</v>
      </c>
      <c r="C1607" s="10" t="s">
        <v>1466</v>
      </c>
      <c r="D1607" t="s">
        <v>58</v>
      </c>
      <c r="E1607" t="s">
        <v>3155</v>
      </c>
      <c r="F1607" t="s">
        <v>3081</v>
      </c>
      <c r="G1607">
        <v>50000</v>
      </c>
      <c r="H1607">
        <v>1979</v>
      </c>
      <c r="I1607" t="s">
        <v>3130</v>
      </c>
      <c r="J1607" t="s">
        <v>58</v>
      </c>
      <c r="K1607" t="s">
        <v>61</v>
      </c>
      <c r="L1607" t="s">
        <v>61</v>
      </c>
      <c r="M1607" t="s">
        <v>58</v>
      </c>
      <c r="Q1607" t="s">
        <v>58</v>
      </c>
      <c r="R1607" s="11" t="str">
        <f>HYPERLINK("\\imagefiles.bcgov\imagery\scanned_maps\moe_terrain_maps\Scanned_T_maps_all\K11\K11-2160","\\imagefiles.bcgov\imagery\scanned_maps\moe_terrain_maps\Scanned_T_maps_all\K11\K11-2160")</f>
        <v>\\imagefiles.bcgov\imagery\scanned_maps\moe_terrain_maps\Scanned_T_maps_all\K11\K11-2160</v>
      </c>
      <c r="S1607" t="s">
        <v>62</v>
      </c>
      <c r="T1607" s="11" t="str">
        <f>HYPERLINK("http://www.env.gov.bc.ca/esd/distdata/ecosystems/TEI_Scanned_Maps/K11/K11-2160","http://www.env.gov.bc.ca/esd/distdata/ecosystems/TEI_Scanned_Maps/K11/K11-2160")</f>
        <v>http://www.env.gov.bc.ca/esd/distdata/ecosystems/TEI_Scanned_Maps/K11/K11-2160</v>
      </c>
      <c r="U1607" t="s">
        <v>2487</v>
      </c>
      <c r="V1607" s="11" t="str">
        <f t="shared" si="100"/>
        <v>http://res.agr.ca/cansis/publications/surveys/bc/</v>
      </c>
      <c r="W1607" t="s">
        <v>2495</v>
      </c>
      <c r="X1607" s="11" t="str">
        <f t="shared" si="101"/>
        <v>http://www.em.gov.bc.ca/mining/geolsurv/terrain&amp;soils/frbcguid.htm</v>
      </c>
      <c r="Y1607" t="s">
        <v>2489</v>
      </c>
      <c r="Z1607" s="11" t="str">
        <f>HYPERLINK("http://www.em.gov.bc.ca/mining/geolsurv/terrain&amp;soils/frbcguid.htm","http://www.em.gov.bc.ca/mining/geolsurv/terrain&amp;soils/frbcguid.htm")</f>
        <v>http://www.em.gov.bc.ca/mining/geolsurv/terrain&amp;soils/frbcguid.htm</v>
      </c>
      <c r="AA1607" t="s">
        <v>269</v>
      </c>
      <c r="AB1607" s="11" t="str">
        <f>HYPERLINK("http://www.library.for.gov.bc.ca/#focus","http://www.library.for.gov.bc.ca/#focus")</f>
        <v>http://www.library.for.gov.bc.ca/#focus</v>
      </c>
      <c r="AC1607" t="s">
        <v>58</v>
      </c>
      <c r="AD1607" s="11" t="str">
        <f>HYPERLINK("http://www.env.gov.bc.ca/soils/project/report.html","http://www.env.gov.bc.ca/soils/project/report.html")</f>
        <v>http://www.env.gov.bc.ca/soils/project/report.html</v>
      </c>
      <c r="AE1607" t="s">
        <v>58</v>
      </c>
      <c r="AG1607" t="s">
        <v>63</v>
      </c>
      <c r="AH1607" s="11" t="str">
        <f t="shared" si="105"/>
        <v>mailto: soilterrain@victoria1.gov.bc.ca</v>
      </c>
    </row>
    <row r="1608" spans="1:34">
      <c r="A1608" t="s">
        <v>3748</v>
      </c>
      <c r="B1608" t="s">
        <v>56</v>
      </c>
      <c r="C1608" s="10" t="s">
        <v>1468</v>
      </c>
      <c r="D1608" t="s">
        <v>58</v>
      </c>
      <c r="E1608" t="s">
        <v>3155</v>
      </c>
      <c r="F1608" t="s">
        <v>3749</v>
      </c>
      <c r="G1608">
        <v>50000</v>
      </c>
      <c r="H1608">
        <v>1979</v>
      </c>
      <c r="I1608" t="s">
        <v>3130</v>
      </c>
      <c r="J1608" t="s">
        <v>58</v>
      </c>
      <c r="K1608" t="s">
        <v>61</v>
      </c>
      <c r="L1608" t="s">
        <v>61</v>
      </c>
      <c r="M1608" t="s">
        <v>58</v>
      </c>
      <c r="Q1608" t="s">
        <v>58</v>
      </c>
      <c r="R1608" s="11" t="str">
        <f>HYPERLINK("\\imagefiles.bcgov\imagery\scanned_maps\moe_terrain_maps\Scanned_T_maps_all\K11\K11-2162","\\imagefiles.bcgov\imagery\scanned_maps\moe_terrain_maps\Scanned_T_maps_all\K11\K11-2162")</f>
        <v>\\imagefiles.bcgov\imagery\scanned_maps\moe_terrain_maps\Scanned_T_maps_all\K11\K11-2162</v>
      </c>
      <c r="S1608" t="s">
        <v>62</v>
      </c>
      <c r="T1608" s="11" t="str">
        <f>HYPERLINK("http://www.env.gov.bc.ca/esd/distdata/ecosystems/TEI_Scanned_Maps/K11/K11-2162","http://www.env.gov.bc.ca/esd/distdata/ecosystems/TEI_Scanned_Maps/K11/K11-2162")</f>
        <v>http://www.env.gov.bc.ca/esd/distdata/ecosystems/TEI_Scanned_Maps/K11/K11-2162</v>
      </c>
      <c r="U1608" t="s">
        <v>58</v>
      </c>
      <c r="V1608" t="s">
        <v>58</v>
      </c>
      <c r="W1608" t="s">
        <v>58</v>
      </c>
      <c r="X1608" t="s">
        <v>58</v>
      </c>
      <c r="Y1608" t="s">
        <v>58</v>
      </c>
      <c r="Z1608" t="s">
        <v>58</v>
      </c>
      <c r="AA1608" t="s">
        <v>58</v>
      </c>
      <c r="AC1608" t="s">
        <v>58</v>
      </c>
      <c r="AE1608" t="s">
        <v>58</v>
      </c>
      <c r="AG1608" t="s">
        <v>63</v>
      </c>
      <c r="AH1608" s="11" t="str">
        <f t="shared" si="105"/>
        <v>mailto: soilterrain@victoria1.gov.bc.ca</v>
      </c>
    </row>
    <row r="1609" spans="1:34">
      <c r="A1609" t="s">
        <v>3750</v>
      </c>
      <c r="B1609" t="s">
        <v>56</v>
      </c>
      <c r="C1609" s="10" t="s">
        <v>1470</v>
      </c>
      <c r="D1609" t="s">
        <v>58</v>
      </c>
      <c r="E1609" t="s">
        <v>3155</v>
      </c>
      <c r="F1609" t="s">
        <v>3081</v>
      </c>
      <c r="G1609">
        <v>50000</v>
      </c>
      <c r="H1609">
        <v>1979</v>
      </c>
      <c r="I1609" t="s">
        <v>3130</v>
      </c>
      <c r="J1609" t="s">
        <v>58</v>
      </c>
      <c r="K1609" t="s">
        <v>61</v>
      </c>
      <c r="L1609" t="s">
        <v>61</v>
      </c>
      <c r="M1609" t="s">
        <v>58</v>
      </c>
      <c r="Q1609" t="s">
        <v>58</v>
      </c>
      <c r="R1609" s="11" t="str">
        <f>HYPERLINK("\\imagefiles.bcgov\imagery\scanned_maps\moe_terrain_maps\Scanned_T_maps_all\K11\K11-2164","\\imagefiles.bcgov\imagery\scanned_maps\moe_terrain_maps\Scanned_T_maps_all\K11\K11-2164")</f>
        <v>\\imagefiles.bcgov\imagery\scanned_maps\moe_terrain_maps\Scanned_T_maps_all\K11\K11-2164</v>
      </c>
      <c r="S1609" t="s">
        <v>62</v>
      </c>
      <c r="T1609" s="11" t="str">
        <f>HYPERLINK("http://www.env.gov.bc.ca/esd/distdata/ecosystems/TEI_Scanned_Maps/K11/K11-2164","http://www.env.gov.bc.ca/esd/distdata/ecosystems/TEI_Scanned_Maps/K11/K11-2164")</f>
        <v>http://www.env.gov.bc.ca/esd/distdata/ecosystems/TEI_Scanned_Maps/K11/K11-2164</v>
      </c>
      <c r="U1609" t="s">
        <v>2487</v>
      </c>
      <c r="V1609" s="11" t="str">
        <f>HYPERLINK("http://res.agr.ca/cansis/publications/surveys/bc/","http://res.agr.ca/cansis/publications/surveys/bc/")</f>
        <v>http://res.agr.ca/cansis/publications/surveys/bc/</v>
      </c>
      <c r="W1609" t="s">
        <v>2495</v>
      </c>
      <c r="X1609" s="11" t="str">
        <f t="shared" ref="X1609:X1641" si="106">HYPERLINK("http://www.em.gov.bc.ca/mining/geolsurv/terrain&amp;soils/frbcguid.htm","http://www.em.gov.bc.ca/mining/geolsurv/terrain&amp;soils/frbcguid.htm")</f>
        <v>http://www.em.gov.bc.ca/mining/geolsurv/terrain&amp;soils/frbcguid.htm</v>
      </c>
      <c r="Y1609" t="s">
        <v>2489</v>
      </c>
      <c r="Z1609" s="11" t="str">
        <f>HYPERLINK("http://www.em.gov.bc.ca/mining/geolsurv/terrain&amp;soils/frbcguid.htm","http://www.em.gov.bc.ca/mining/geolsurv/terrain&amp;soils/frbcguid.htm")</f>
        <v>http://www.em.gov.bc.ca/mining/geolsurv/terrain&amp;soils/frbcguid.htm</v>
      </c>
      <c r="AA1609" t="s">
        <v>269</v>
      </c>
      <c r="AB1609" s="11" t="str">
        <f>HYPERLINK("http://www.library.for.gov.bc.ca/#focus","http://www.library.for.gov.bc.ca/#focus")</f>
        <v>http://www.library.for.gov.bc.ca/#focus</v>
      </c>
      <c r="AC1609" t="s">
        <v>58</v>
      </c>
      <c r="AD1609" s="11" t="str">
        <f>HYPERLINK("http://www.env.gov.bc.ca/soils/project/report.html","http://www.env.gov.bc.ca/soils/project/report.html")</f>
        <v>http://www.env.gov.bc.ca/soils/project/report.html</v>
      </c>
      <c r="AE1609" t="s">
        <v>58</v>
      </c>
      <c r="AG1609" t="s">
        <v>63</v>
      </c>
      <c r="AH1609" s="11" t="str">
        <f t="shared" si="105"/>
        <v>mailto: soilterrain@victoria1.gov.bc.ca</v>
      </c>
    </row>
    <row r="1610" spans="1:34">
      <c r="A1610" t="s">
        <v>3751</v>
      </c>
      <c r="B1610" t="s">
        <v>56</v>
      </c>
      <c r="C1610" s="10" t="s">
        <v>1472</v>
      </c>
      <c r="D1610" t="s">
        <v>58</v>
      </c>
      <c r="E1610" t="s">
        <v>3155</v>
      </c>
      <c r="F1610" t="s">
        <v>3081</v>
      </c>
      <c r="G1610">
        <v>50000</v>
      </c>
      <c r="H1610">
        <v>1979</v>
      </c>
      <c r="I1610" t="s">
        <v>3130</v>
      </c>
      <c r="J1610" t="s">
        <v>58</v>
      </c>
      <c r="K1610" t="s">
        <v>61</v>
      </c>
      <c r="L1610" t="s">
        <v>61</v>
      </c>
      <c r="M1610" t="s">
        <v>58</v>
      </c>
      <c r="Q1610" t="s">
        <v>58</v>
      </c>
      <c r="R1610" s="11" t="str">
        <f>HYPERLINK("\\imagefiles.bcgov\imagery\scanned_maps\moe_terrain_maps\Scanned_T_maps_all\K11\K11-2166","\\imagefiles.bcgov\imagery\scanned_maps\moe_terrain_maps\Scanned_T_maps_all\K11\K11-2166")</f>
        <v>\\imagefiles.bcgov\imagery\scanned_maps\moe_terrain_maps\Scanned_T_maps_all\K11\K11-2166</v>
      </c>
      <c r="S1610" t="s">
        <v>62</v>
      </c>
      <c r="T1610" s="11" t="str">
        <f>HYPERLINK("http://www.env.gov.bc.ca/esd/distdata/ecosystems/TEI_Scanned_Maps/K11/K11-2166","http://www.env.gov.bc.ca/esd/distdata/ecosystems/TEI_Scanned_Maps/K11/K11-2166")</f>
        <v>http://www.env.gov.bc.ca/esd/distdata/ecosystems/TEI_Scanned_Maps/K11/K11-2166</v>
      </c>
      <c r="U1610" t="s">
        <v>2487</v>
      </c>
      <c r="V1610" s="11" t="str">
        <f>HYPERLINK("http://res.agr.ca/cansis/publications/surveys/bc/","http://res.agr.ca/cansis/publications/surveys/bc/")</f>
        <v>http://res.agr.ca/cansis/publications/surveys/bc/</v>
      </c>
      <c r="W1610" t="s">
        <v>2495</v>
      </c>
      <c r="X1610" s="11" t="str">
        <f t="shared" si="106"/>
        <v>http://www.em.gov.bc.ca/mining/geolsurv/terrain&amp;soils/frbcguid.htm</v>
      </c>
      <c r="Y1610" t="s">
        <v>2489</v>
      </c>
      <c r="Z1610" s="11" t="str">
        <f>HYPERLINK("http://www.em.gov.bc.ca/mining/geolsurv/terrain&amp;soils/frbcguid.htm","http://www.em.gov.bc.ca/mining/geolsurv/terrain&amp;soils/frbcguid.htm")</f>
        <v>http://www.em.gov.bc.ca/mining/geolsurv/terrain&amp;soils/frbcguid.htm</v>
      </c>
      <c r="AA1610" t="s">
        <v>269</v>
      </c>
      <c r="AB1610" s="11" t="str">
        <f>HYPERLINK("http://www.library.for.gov.bc.ca/#focus","http://www.library.for.gov.bc.ca/#focus")</f>
        <v>http://www.library.for.gov.bc.ca/#focus</v>
      </c>
      <c r="AC1610" t="s">
        <v>58</v>
      </c>
      <c r="AD1610" s="11" t="str">
        <f>HYPERLINK("http://www.env.gov.bc.ca/soils/project/report.html","http://www.env.gov.bc.ca/soils/project/report.html")</f>
        <v>http://www.env.gov.bc.ca/soils/project/report.html</v>
      </c>
      <c r="AE1610" t="s">
        <v>58</v>
      </c>
      <c r="AG1610" t="s">
        <v>63</v>
      </c>
      <c r="AH1610" s="11" t="str">
        <f t="shared" si="105"/>
        <v>mailto: soilterrain@victoria1.gov.bc.ca</v>
      </c>
    </row>
    <row r="1611" spans="1:34">
      <c r="A1611" t="s">
        <v>3752</v>
      </c>
      <c r="B1611" t="s">
        <v>56</v>
      </c>
      <c r="C1611" s="10" t="s">
        <v>1474</v>
      </c>
      <c r="D1611" t="s">
        <v>58</v>
      </c>
      <c r="E1611" t="s">
        <v>3125</v>
      </c>
      <c r="F1611" t="s">
        <v>3746</v>
      </c>
      <c r="G1611">
        <v>50000</v>
      </c>
      <c r="H1611">
        <v>1974</v>
      </c>
      <c r="I1611" t="s">
        <v>3127</v>
      </c>
      <c r="J1611" t="s">
        <v>58</v>
      </c>
      <c r="K1611" t="s">
        <v>61</v>
      </c>
      <c r="L1611" t="s">
        <v>61</v>
      </c>
      <c r="M1611" t="s">
        <v>58</v>
      </c>
      <c r="Q1611" t="s">
        <v>58</v>
      </c>
      <c r="R1611" s="11" t="str">
        <f>HYPERLINK("\\imagefiles.bcgov\imagery\scanned_maps\moe_terrain_maps\Scanned_T_maps_all\K11\K11-2169","\\imagefiles.bcgov\imagery\scanned_maps\moe_terrain_maps\Scanned_T_maps_all\K11\K11-2169")</f>
        <v>\\imagefiles.bcgov\imagery\scanned_maps\moe_terrain_maps\Scanned_T_maps_all\K11\K11-2169</v>
      </c>
      <c r="S1611" t="s">
        <v>62</v>
      </c>
      <c r="T1611" s="11" t="str">
        <f>HYPERLINK("http://www.env.gov.bc.ca/esd/distdata/ecosystems/TEI_Scanned_Maps/K11/K11-2169","http://www.env.gov.bc.ca/esd/distdata/ecosystems/TEI_Scanned_Maps/K11/K11-2169")</f>
        <v>http://www.env.gov.bc.ca/esd/distdata/ecosystems/TEI_Scanned_Maps/K11/K11-2169</v>
      </c>
      <c r="U1611" t="s">
        <v>2487</v>
      </c>
      <c r="V1611" s="11" t="str">
        <f>HYPERLINK("http://res.agr.ca/cansis/publications/surveys/bc/","http://res.agr.ca/cansis/publications/surveys/bc/")</f>
        <v>http://res.agr.ca/cansis/publications/surveys/bc/</v>
      </c>
      <c r="W1611" t="s">
        <v>2495</v>
      </c>
      <c r="X1611" s="11" t="str">
        <f t="shared" si="106"/>
        <v>http://www.em.gov.bc.ca/mining/geolsurv/terrain&amp;soils/frbcguid.htm</v>
      </c>
      <c r="Y1611" t="s">
        <v>269</v>
      </c>
      <c r="Z1611" s="11" t="str">
        <f>HYPERLINK("http://www.library.for.gov.bc.ca/#focus","http://www.library.for.gov.bc.ca/#focus")</f>
        <v>http://www.library.for.gov.bc.ca/#focus</v>
      </c>
      <c r="AA1611" t="s">
        <v>3053</v>
      </c>
      <c r="AB1611" s="11" t="str">
        <f>HYPERLINK("http://www.prsss.ca/","http://www.prsss.ca/")</f>
        <v>http://www.prsss.ca/</v>
      </c>
      <c r="AC1611" t="s">
        <v>58</v>
      </c>
      <c r="AE1611" t="s">
        <v>58</v>
      </c>
      <c r="AG1611" t="s">
        <v>63</v>
      </c>
      <c r="AH1611" s="11" t="str">
        <f t="shared" si="105"/>
        <v>mailto: soilterrain@victoria1.gov.bc.ca</v>
      </c>
    </row>
    <row r="1612" spans="1:34">
      <c r="A1612" t="s">
        <v>3753</v>
      </c>
      <c r="B1612" t="s">
        <v>56</v>
      </c>
      <c r="C1612" s="10" t="s">
        <v>1477</v>
      </c>
      <c r="D1612" t="s">
        <v>58</v>
      </c>
      <c r="E1612" t="s">
        <v>3125</v>
      </c>
      <c r="F1612" t="s">
        <v>3754</v>
      </c>
      <c r="G1612">
        <v>50000</v>
      </c>
      <c r="H1612">
        <v>1979</v>
      </c>
      <c r="I1612" t="s">
        <v>3127</v>
      </c>
      <c r="J1612" t="s">
        <v>58</v>
      </c>
      <c r="K1612" t="s">
        <v>61</v>
      </c>
      <c r="L1612" t="s">
        <v>61</v>
      </c>
      <c r="M1612" t="s">
        <v>58</v>
      </c>
      <c r="Q1612" t="s">
        <v>58</v>
      </c>
      <c r="R1612" s="11" t="str">
        <f>HYPERLINK("\\imagefiles.bcgov\imagery\scanned_maps\moe_terrain_maps\Scanned_T_maps_all\K11\K11-2172","\\imagefiles.bcgov\imagery\scanned_maps\moe_terrain_maps\Scanned_T_maps_all\K11\K11-2172")</f>
        <v>\\imagefiles.bcgov\imagery\scanned_maps\moe_terrain_maps\Scanned_T_maps_all\K11\K11-2172</v>
      </c>
      <c r="S1612" t="s">
        <v>62</v>
      </c>
      <c r="T1612" s="11" t="str">
        <f>HYPERLINK("http://www.env.gov.bc.ca/esd/distdata/ecosystems/TEI_Scanned_Maps/K11/K11-2172","http://www.env.gov.bc.ca/esd/distdata/ecosystems/TEI_Scanned_Maps/K11/K11-2172")</f>
        <v>http://www.env.gov.bc.ca/esd/distdata/ecosystems/TEI_Scanned_Maps/K11/K11-2172</v>
      </c>
      <c r="U1612" t="s">
        <v>2487</v>
      </c>
      <c r="V1612" s="11" t="str">
        <f>HYPERLINK("http://res.agr.ca/cansis/publications/surveys/bc/","http://res.agr.ca/cansis/publications/surveys/bc/")</f>
        <v>http://res.agr.ca/cansis/publications/surveys/bc/</v>
      </c>
      <c r="W1612" t="s">
        <v>2495</v>
      </c>
      <c r="X1612" s="11" t="str">
        <f t="shared" si="106"/>
        <v>http://www.em.gov.bc.ca/mining/geolsurv/terrain&amp;soils/frbcguid.htm</v>
      </c>
      <c r="Y1612" t="s">
        <v>269</v>
      </c>
      <c r="Z1612" s="11" t="str">
        <f>HYPERLINK("http://www.library.for.gov.bc.ca/#focus","http://www.library.for.gov.bc.ca/#focus")</f>
        <v>http://www.library.for.gov.bc.ca/#focus</v>
      </c>
      <c r="AA1612" t="s">
        <v>3053</v>
      </c>
      <c r="AB1612" s="11" t="str">
        <f>HYPERLINK("http://www.prsss.ca/","http://www.prsss.ca/")</f>
        <v>http://www.prsss.ca/</v>
      </c>
      <c r="AC1612" t="s">
        <v>58</v>
      </c>
      <c r="AE1612" t="s">
        <v>58</v>
      </c>
      <c r="AG1612" t="s">
        <v>63</v>
      </c>
      <c r="AH1612" s="11" t="str">
        <f t="shared" si="105"/>
        <v>mailto: soilterrain@victoria1.gov.bc.ca</v>
      </c>
    </row>
    <row r="1613" spans="1:34">
      <c r="A1613" t="s">
        <v>3755</v>
      </c>
      <c r="B1613" t="s">
        <v>56</v>
      </c>
      <c r="C1613" s="10" t="s">
        <v>1602</v>
      </c>
      <c r="D1613" t="s">
        <v>58</v>
      </c>
      <c r="E1613" t="s">
        <v>3132</v>
      </c>
      <c r="F1613" t="s">
        <v>3756</v>
      </c>
      <c r="G1613">
        <v>50000</v>
      </c>
      <c r="H1613">
        <v>1978</v>
      </c>
      <c r="I1613" t="s">
        <v>3133</v>
      </c>
      <c r="J1613" t="s">
        <v>58</v>
      </c>
      <c r="K1613" t="s">
        <v>61</v>
      </c>
      <c r="L1613" t="s">
        <v>61</v>
      </c>
      <c r="M1613" t="s">
        <v>58</v>
      </c>
      <c r="Q1613" t="s">
        <v>58</v>
      </c>
      <c r="R1613" s="11" t="str">
        <f>HYPERLINK("\\imagefiles.bcgov\imagery\scanned_maps\moe_terrain_maps\Scanned_T_maps_all\K11\K11-4941","\\imagefiles.bcgov\imagery\scanned_maps\moe_terrain_maps\Scanned_T_maps_all\K11\K11-4941")</f>
        <v>\\imagefiles.bcgov\imagery\scanned_maps\moe_terrain_maps\Scanned_T_maps_all\K11\K11-4941</v>
      </c>
      <c r="S1613" t="s">
        <v>62</v>
      </c>
      <c r="T1613" s="11" t="str">
        <f>HYPERLINK("http://www.env.gov.bc.ca/esd/distdata/ecosystems/TEI_Scanned_Maps/K11/K11-4941","http://www.env.gov.bc.ca/esd/distdata/ecosystems/TEI_Scanned_Maps/K11/K11-4941")</f>
        <v>http://www.env.gov.bc.ca/esd/distdata/ecosystems/TEI_Scanned_Maps/K11/K11-4941</v>
      </c>
      <c r="U1613" t="s">
        <v>2487</v>
      </c>
      <c r="V1613" s="11" t="str">
        <f>HYPERLINK("http://res.agr.ca/cansis/publications/surveys/bc/","http://res.agr.ca/cansis/publications/surveys/bc/")</f>
        <v>http://res.agr.ca/cansis/publications/surveys/bc/</v>
      </c>
      <c r="W1613" t="s">
        <v>2495</v>
      </c>
      <c r="X1613" s="11" t="str">
        <f t="shared" si="106"/>
        <v>http://www.em.gov.bc.ca/mining/geolsurv/terrain&amp;soils/frbcguid.htm</v>
      </c>
      <c r="Y1613" t="s">
        <v>2489</v>
      </c>
      <c r="Z1613" s="11" t="str">
        <f>HYPERLINK("http://www.em.gov.bc.ca/mining/geolsurv/terrain&amp;soils/frbcguid.htm","http://www.em.gov.bc.ca/mining/geolsurv/terrain&amp;soils/frbcguid.htm")</f>
        <v>http://www.em.gov.bc.ca/mining/geolsurv/terrain&amp;soils/frbcguid.htm</v>
      </c>
      <c r="AA1613" t="s">
        <v>269</v>
      </c>
      <c r="AB1613" s="11" t="str">
        <f>HYPERLINK("http://www.library.for.gov.bc.ca/#focus","http://www.library.for.gov.bc.ca/#focus")</f>
        <v>http://www.library.for.gov.bc.ca/#focus</v>
      </c>
      <c r="AC1613" t="s">
        <v>58</v>
      </c>
      <c r="AD1613" s="11" t="str">
        <f>HYPERLINK("http://www.env.gov.bc.ca/soils/project/report.html","http://www.env.gov.bc.ca/soils/project/report.html")</f>
        <v>http://www.env.gov.bc.ca/soils/project/report.html</v>
      </c>
      <c r="AE1613" t="s">
        <v>58</v>
      </c>
      <c r="AG1613" t="s">
        <v>63</v>
      </c>
      <c r="AH1613" s="11" t="str">
        <f t="shared" si="105"/>
        <v>mailto: soilterrain@victoria1.gov.bc.ca</v>
      </c>
    </row>
    <row r="1614" spans="1:34">
      <c r="A1614" t="s">
        <v>3757</v>
      </c>
      <c r="B1614" t="s">
        <v>56</v>
      </c>
      <c r="C1614" s="10" t="s">
        <v>1486</v>
      </c>
      <c r="D1614" t="s">
        <v>58</v>
      </c>
      <c r="E1614" t="s">
        <v>2931</v>
      </c>
      <c r="F1614" t="s">
        <v>3758</v>
      </c>
      <c r="G1614">
        <v>50000</v>
      </c>
      <c r="H1614">
        <v>1955</v>
      </c>
      <c r="I1614" t="s">
        <v>3759</v>
      </c>
      <c r="J1614" t="s">
        <v>58</v>
      </c>
      <c r="K1614" t="s">
        <v>61</v>
      </c>
      <c r="L1614" t="s">
        <v>61</v>
      </c>
      <c r="M1614" t="s">
        <v>58</v>
      </c>
      <c r="Q1614" t="s">
        <v>58</v>
      </c>
      <c r="R1614" s="11" t="str">
        <f>HYPERLINK("\\imagefiles.bcgov\imagery\scanned_maps\moe_terrain_maps\Scanned_T_maps_all\K12\K12-2212","\\imagefiles.bcgov\imagery\scanned_maps\moe_terrain_maps\Scanned_T_maps_all\K12\K12-2212")</f>
        <v>\\imagefiles.bcgov\imagery\scanned_maps\moe_terrain_maps\Scanned_T_maps_all\K12\K12-2212</v>
      </c>
      <c r="S1614" t="s">
        <v>62</v>
      </c>
      <c r="T1614" s="11" t="str">
        <f>HYPERLINK("http://www.env.gov.bc.ca/esd/distdata/ecosystems/TEI_Scanned_Maps/K12/K12-2212","http://www.env.gov.bc.ca/esd/distdata/ecosystems/TEI_Scanned_Maps/K12/K12-2212")</f>
        <v>http://www.env.gov.bc.ca/esd/distdata/ecosystems/TEI_Scanned_Maps/K12/K12-2212</v>
      </c>
      <c r="U1614" t="s">
        <v>2495</v>
      </c>
      <c r="V1614" s="11" t="str">
        <f>HYPERLINK("http://www.em.gov.bc.ca/mining/geolsurv/terrain&amp;soils/frbcguid.htm","http://www.em.gov.bc.ca/mining/geolsurv/terrain&amp;soils/frbcguid.htm")</f>
        <v>http://www.em.gov.bc.ca/mining/geolsurv/terrain&amp;soils/frbcguid.htm</v>
      </c>
      <c r="W1614" t="s">
        <v>2489</v>
      </c>
      <c r="X1614" s="11" t="str">
        <f t="shared" si="106"/>
        <v>http://www.em.gov.bc.ca/mining/geolsurv/terrain&amp;soils/frbcguid.htm</v>
      </c>
      <c r="Y1614" t="s">
        <v>58</v>
      </c>
      <c r="Z1614" t="s">
        <v>58</v>
      </c>
      <c r="AA1614" t="s">
        <v>58</v>
      </c>
      <c r="AC1614" t="s">
        <v>58</v>
      </c>
      <c r="AE1614" t="s">
        <v>58</v>
      </c>
      <c r="AG1614" t="s">
        <v>63</v>
      </c>
      <c r="AH1614" s="11" t="str">
        <f t="shared" si="105"/>
        <v>mailto: soilterrain@victoria1.gov.bc.ca</v>
      </c>
    </row>
    <row r="1615" spans="1:34">
      <c r="A1615" t="s">
        <v>3760</v>
      </c>
      <c r="B1615" t="s">
        <v>56</v>
      </c>
      <c r="C1615" s="10" t="s">
        <v>1488</v>
      </c>
      <c r="D1615" t="s">
        <v>58</v>
      </c>
      <c r="E1615" t="s">
        <v>2931</v>
      </c>
      <c r="F1615" t="s">
        <v>3758</v>
      </c>
      <c r="G1615">
        <v>50000</v>
      </c>
      <c r="H1615">
        <v>1957</v>
      </c>
      <c r="I1615" t="s">
        <v>3759</v>
      </c>
      <c r="J1615" t="s">
        <v>58</v>
      </c>
      <c r="K1615" t="s">
        <v>61</v>
      </c>
      <c r="L1615" t="s">
        <v>61</v>
      </c>
      <c r="M1615" t="s">
        <v>58</v>
      </c>
      <c r="Q1615" t="s">
        <v>58</v>
      </c>
      <c r="R1615" s="11" t="str">
        <f>HYPERLINK("\\imagefiles.bcgov\imagery\scanned_maps\moe_terrain_maps\Scanned_T_maps_all\K12\K12-2214","\\imagefiles.bcgov\imagery\scanned_maps\moe_terrain_maps\Scanned_T_maps_all\K12\K12-2214")</f>
        <v>\\imagefiles.bcgov\imagery\scanned_maps\moe_terrain_maps\Scanned_T_maps_all\K12\K12-2214</v>
      </c>
      <c r="S1615" t="s">
        <v>62</v>
      </c>
      <c r="T1615" s="11" t="str">
        <f>HYPERLINK("http://www.env.gov.bc.ca/esd/distdata/ecosystems/TEI_Scanned_Maps/K12/K12-2214","http://www.env.gov.bc.ca/esd/distdata/ecosystems/TEI_Scanned_Maps/K12/K12-2214")</f>
        <v>http://www.env.gov.bc.ca/esd/distdata/ecosystems/TEI_Scanned_Maps/K12/K12-2214</v>
      </c>
      <c r="U1615" t="s">
        <v>2495</v>
      </c>
      <c r="V1615" s="11" t="str">
        <f>HYPERLINK("http://www.em.gov.bc.ca/mining/geolsurv/terrain&amp;soils/frbcguid.htm","http://www.em.gov.bc.ca/mining/geolsurv/terrain&amp;soils/frbcguid.htm")</f>
        <v>http://www.em.gov.bc.ca/mining/geolsurv/terrain&amp;soils/frbcguid.htm</v>
      </c>
      <c r="W1615" t="s">
        <v>2489</v>
      </c>
      <c r="X1615" s="11" t="str">
        <f t="shared" si="106"/>
        <v>http://www.em.gov.bc.ca/mining/geolsurv/terrain&amp;soils/frbcguid.htm</v>
      </c>
      <c r="Y1615" t="s">
        <v>58</v>
      </c>
      <c r="Z1615" t="s">
        <v>58</v>
      </c>
      <c r="AA1615" t="s">
        <v>58</v>
      </c>
      <c r="AC1615" t="s">
        <v>58</v>
      </c>
      <c r="AE1615" t="s">
        <v>58</v>
      </c>
      <c r="AG1615" t="s">
        <v>63</v>
      </c>
      <c r="AH1615" s="11" t="str">
        <f t="shared" si="105"/>
        <v>mailto: soilterrain@victoria1.gov.bc.ca</v>
      </c>
    </row>
    <row r="1616" spans="1:34">
      <c r="A1616" t="s">
        <v>3761</v>
      </c>
      <c r="B1616" t="s">
        <v>56</v>
      </c>
      <c r="C1616" s="10" t="s">
        <v>1490</v>
      </c>
      <c r="D1616" t="s">
        <v>58</v>
      </c>
      <c r="E1616" t="s">
        <v>3138</v>
      </c>
      <c r="F1616" t="s">
        <v>3762</v>
      </c>
      <c r="G1616">
        <v>50000</v>
      </c>
      <c r="H1616" t="s">
        <v>187</v>
      </c>
      <c r="I1616" t="s">
        <v>3140</v>
      </c>
      <c r="J1616" t="s">
        <v>58</v>
      </c>
      <c r="K1616" t="s">
        <v>61</v>
      </c>
      <c r="L1616" t="s">
        <v>61</v>
      </c>
      <c r="M1616" t="s">
        <v>58</v>
      </c>
      <c r="Q1616" t="s">
        <v>58</v>
      </c>
      <c r="R1616" s="11" t="str">
        <f>HYPERLINK("\\imagefiles.bcgov\imagery\scanned_maps\moe_terrain_maps\Scanned_T_maps_all\K12\K12-2228","\\imagefiles.bcgov\imagery\scanned_maps\moe_terrain_maps\Scanned_T_maps_all\K12\K12-2228")</f>
        <v>\\imagefiles.bcgov\imagery\scanned_maps\moe_terrain_maps\Scanned_T_maps_all\K12\K12-2228</v>
      </c>
      <c r="S1616" t="s">
        <v>62</v>
      </c>
      <c r="T1616" s="11" t="str">
        <f>HYPERLINK("http://www.env.gov.bc.ca/esd/distdata/ecosystems/TEI_Scanned_Maps/K12/K12-2228","http://www.env.gov.bc.ca/esd/distdata/ecosystems/TEI_Scanned_Maps/K12/K12-2228")</f>
        <v>http://www.env.gov.bc.ca/esd/distdata/ecosystems/TEI_Scanned_Maps/K12/K12-2228</v>
      </c>
      <c r="U1616" t="s">
        <v>2487</v>
      </c>
      <c r="V1616" s="11" t="str">
        <f t="shared" ref="V1616:V1631" si="107">HYPERLINK("http://res.agr.ca/cansis/publications/surveys/bc/","http://res.agr.ca/cansis/publications/surveys/bc/")</f>
        <v>http://res.agr.ca/cansis/publications/surveys/bc/</v>
      </c>
      <c r="W1616" t="s">
        <v>2489</v>
      </c>
      <c r="X1616" s="11" t="str">
        <f t="shared" si="106"/>
        <v>http://www.em.gov.bc.ca/mining/geolsurv/terrain&amp;soils/frbcguid.htm</v>
      </c>
      <c r="Y1616" t="s">
        <v>269</v>
      </c>
      <c r="Z1616" s="11" t="str">
        <f t="shared" ref="Z1616:Z1639" si="108">HYPERLINK("http://www.library.for.gov.bc.ca/#focus","http://www.library.for.gov.bc.ca/#focus")</f>
        <v>http://www.library.for.gov.bc.ca/#focus</v>
      </c>
      <c r="AA1616" t="s">
        <v>58</v>
      </c>
      <c r="AC1616" t="s">
        <v>58</v>
      </c>
      <c r="AE1616" t="s">
        <v>58</v>
      </c>
      <c r="AG1616" t="s">
        <v>63</v>
      </c>
      <c r="AH1616" s="11" t="str">
        <f t="shared" si="105"/>
        <v>mailto: soilterrain@victoria1.gov.bc.ca</v>
      </c>
    </row>
    <row r="1617" spans="1:34">
      <c r="A1617" t="s">
        <v>3763</v>
      </c>
      <c r="B1617" t="s">
        <v>56</v>
      </c>
      <c r="C1617" s="10" t="s">
        <v>1492</v>
      </c>
      <c r="D1617" t="s">
        <v>58</v>
      </c>
      <c r="E1617" t="s">
        <v>3138</v>
      </c>
      <c r="F1617" t="s">
        <v>3762</v>
      </c>
      <c r="G1617">
        <v>50000</v>
      </c>
      <c r="H1617">
        <v>1981</v>
      </c>
      <c r="I1617" t="s">
        <v>3140</v>
      </c>
      <c r="J1617" t="s">
        <v>58</v>
      </c>
      <c r="K1617" t="s">
        <v>61</v>
      </c>
      <c r="L1617" t="s">
        <v>61</v>
      </c>
      <c r="M1617" t="s">
        <v>58</v>
      </c>
      <c r="Q1617" t="s">
        <v>58</v>
      </c>
      <c r="R1617" s="11" t="str">
        <f>HYPERLINK("\\imagefiles.bcgov\imagery\scanned_maps\moe_terrain_maps\Scanned_T_maps_all\K12\K12-2230","\\imagefiles.bcgov\imagery\scanned_maps\moe_terrain_maps\Scanned_T_maps_all\K12\K12-2230")</f>
        <v>\\imagefiles.bcgov\imagery\scanned_maps\moe_terrain_maps\Scanned_T_maps_all\K12\K12-2230</v>
      </c>
      <c r="S1617" t="s">
        <v>62</v>
      </c>
      <c r="T1617" s="11" t="str">
        <f>HYPERLINK("http://www.env.gov.bc.ca/esd/distdata/ecosystems/TEI_Scanned_Maps/K12/K12-2230","http://www.env.gov.bc.ca/esd/distdata/ecosystems/TEI_Scanned_Maps/K12/K12-2230")</f>
        <v>http://www.env.gov.bc.ca/esd/distdata/ecosystems/TEI_Scanned_Maps/K12/K12-2230</v>
      </c>
      <c r="U1617" t="s">
        <v>2487</v>
      </c>
      <c r="V1617" s="11" t="str">
        <f t="shared" si="107"/>
        <v>http://res.agr.ca/cansis/publications/surveys/bc/</v>
      </c>
      <c r="W1617" t="s">
        <v>2489</v>
      </c>
      <c r="X1617" s="11" t="str">
        <f t="shared" si="106"/>
        <v>http://www.em.gov.bc.ca/mining/geolsurv/terrain&amp;soils/frbcguid.htm</v>
      </c>
      <c r="Y1617" t="s">
        <v>269</v>
      </c>
      <c r="Z1617" s="11" t="str">
        <f t="shared" si="108"/>
        <v>http://www.library.for.gov.bc.ca/#focus</v>
      </c>
      <c r="AA1617" t="s">
        <v>58</v>
      </c>
      <c r="AC1617" t="s">
        <v>58</v>
      </c>
      <c r="AE1617" t="s">
        <v>58</v>
      </c>
      <c r="AG1617" t="s">
        <v>63</v>
      </c>
      <c r="AH1617" s="11" t="str">
        <f t="shared" si="105"/>
        <v>mailto: soilterrain@victoria1.gov.bc.ca</v>
      </c>
    </row>
    <row r="1618" spans="1:34">
      <c r="A1618" t="s">
        <v>3764</v>
      </c>
      <c r="B1618" t="s">
        <v>56</v>
      </c>
      <c r="C1618" s="10" t="s">
        <v>1494</v>
      </c>
      <c r="D1618" t="s">
        <v>58</v>
      </c>
      <c r="E1618" t="s">
        <v>3138</v>
      </c>
      <c r="F1618" t="s">
        <v>3762</v>
      </c>
      <c r="G1618">
        <v>50000</v>
      </c>
      <c r="H1618">
        <v>1980</v>
      </c>
      <c r="I1618" t="s">
        <v>3140</v>
      </c>
      <c r="J1618" t="s">
        <v>58</v>
      </c>
      <c r="K1618" t="s">
        <v>61</v>
      </c>
      <c r="L1618" t="s">
        <v>61</v>
      </c>
      <c r="M1618" t="s">
        <v>58</v>
      </c>
      <c r="Q1618" t="s">
        <v>58</v>
      </c>
      <c r="R1618" s="11" t="str">
        <f>HYPERLINK("\\imagefiles.bcgov\imagery\scanned_maps\moe_terrain_maps\Scanned_T_maps_all\K12\K12-2232","\\imagefiles.bcgov\imagery\scanned_maps\moe_terrain_maps\Scanned_T_maps_all\K12\K12-2232")</f>
        <v>\\imagefiles.bcgov\imagery\scanned_maps\moe_terrain_maps\Scanned_T_maps_all\K12\K12-2232</v>
      </c>
      <c r="S1618" t="s">
        <v>62</v>
      </c>
      <c r="T1618" s="11" t="str">
        <f>HYPERLINK("http://www.env.gov.bc.ca/esd/distdata/ecosystems/TEI_Scanned_Maps/K12/K12-2232","http://www.env.gov.bc.ca/esd/distdata/ecosystems/TEI_Scanned_Maps/K12/K12-2232")</f>
        <v>http://www.env.gov.bc.ca/esd/distdata/ecosystems/TEI_Scanned_Maps/K12/K12-2232</v>
      </c>
      <c r="U1618" t="s">
        <v>2487</v>
      </c>
      <c r="V1618" s="11" t="str">
        <f t="shared" si="107"/>
        <v>http://res.agr.ca/cansis/publications/surveys/bc/</v>
      </c>
      <c r="W1618" t="s">
        <v>2489</v>
      </c>
      <c r="X1618" s="11" t="str">
        <f t="shared" si="106"/>
        <v>http://www.em.gov.bc.ca/mining/geolsurv/terrain&amp;soils/frbcguid.htm</v>
      </c>
      <c r="Y1618" t="s">
        <v>269</v>
      </c>
      <c r="Z1618" s="11" t="str">
        <f t="shared" si="108"/>
        <v>http://www.library.for.gov.bc.ca/#focus</v>
      </c>
      <c r="AA1618" t="s">
        <v>58</v>
      </c>
      <c r="AC1618" t="s">
        <v>58</v>
      </c>
      <c r="AE1618" t="s">
        <v>58</v>
      </c>
      <c r="AG1618" t="s">
        <v>63</v>
      </c>
      <c r="AH1618" s="11" t="str">
        <f t="shared" si="105"/>
        <v>mailto: soilterrain@victoria1.gov.bc.ca</v>
      </c>
    </row>
    <row r="1619" spans="1:34">
      <c r="A1619" t="s">
        <v>3765</v>
      </c>
      <c r="B1619" t="s">
        <v>56</v>
      </c>
      <c r="C1619" s="10" t="s">
        <v>942</v>
      </c>
      <c r="D1619" t="s">
        <v>58</v>
      </c>
      <c r="E1619" t="s">
        <v>3138</v>
      </c>
      <c r="F1619" t="s">
        <v>3762</v>
      </c>
      <c r="G1619">
        <v>50000</v>
      </c>
      <c r="H1619">
        <v>1979</v>
      </c>
      <c r="I1619" t="s">
        <v>3140</v>
      </c>
      <c r="J1619" t="s">
        <v>58</v>
      </c>
      <c r="K1619" t="s">
        <v>61</v>
      </c>
      <c r="L1619" t="s">
        <v>61</v>
      </c>
      <c r="M1619" t="s">
        <v>58</v>
      </c>
      <c r="Q1619" t="s">
        <v>58</v>
      </c>
      <c r="R1619" s="11" t="str">
        <f>HYPERLINK("\\imagefiles.bcgov\imagery\scanned_maps\moe_terrain_maps\Scanned_T_maps_all\K12\K12-2234","\\imagefiles.bcgov\imagery\scanned_maps\moe_terrain_maps\Scanned_T_maps_all\K12\K12-2234")</f>
        <v>\\imagefiles.bcgov\imagery\scanned_maps\moe_terrain_maps\Scanned_T_maps_all\K12\K12-2234</v>
      </c>
      <c r="S1619" t="s">
        <v>62</v>
      </c>
      <c r="T1619" s="11" t="str">
        <f>HYPERLINK("http://www.env.gov.bc.ca/esd/distdata/ecosystems/TEI_Scanned_Maps/K12/K12-2234","http://www.env.gov.bc.ca/esd/distdata/ecosystems/TEI_Scanned_Maps/K12/K12-2234")</f>
        <v>http://www.env.gov.bc.ca/esd/distdata/ecosystems/TEI_Scanned_Maps/K12/K12-2234</v>
      </c>
      <c r="U1619" t="s">
        <v>2487</v>
      </c>
      <c r="V1619" s="11" t="str">
        <f t="shared" si="107"/>
        <v>http://res.agr.ca/cansis/publications/surveys/bc/</v>
      </c>
      <c r="W1619" t="s">
        <v>2489</v>
      </c>
      <c r="X1619" s="11" t="str">
        <f t="shared" si="106"/>
        <v>http://www.em.gov.bc.ca/mining/geolsurv/terrain&amp;soils/frbcguid.htm</v>
      </c>
      <c r="Y1619" t="s">
        <v>269</v>
      </c>
      <c r="Z1619" s="11" t="str">
        <f t="shared" si="108"/>
        <v>http://www.library.for.gov.bc.ca/#focus</v>
      </c>
      <c r="AA1619" t="s">
        <v>58</v>
      </c>
      <c r="AC1619" t="s">
        <v>58</v>
      </c>
      <c r="AE1619" t="s">
        <v>58</v>
      </c>
      <c r="AG1619" t="s">
        <v>63</v>
      </c>
      <c r="AH1619" s="11" t="str">
        <f t="shared" si="105"/>
        <v>mailto: soilterrain@victoria1.gov.bc.ca</v>
      </c>
    </row>
    <row r="1620" spans="1:34">
      <c r="A1620" t="s">
        <v>3766</v>
      </c>
      <c r="B1620" t="s">
        <v>56</v>
      </c>
      <c r="C1620" s="10" t="s">
        <v>1497</v>
      </c>
      <c r="D1620" t="s">
        <v>58</v>
      </c>
      <c r="E1620" t="s">
        <v>3138</v>
      </c>
      <c r="F1620" t="s">
        <v>3762</v>
      </c>
      <c r="G1620">
        <v>50000</v>
      </c>
      <c r="H1620">
        <v>1978</v>
      </c>
      <c r="I1620" t="s">
        <v>3140</v>
      </c>
      <c r="J1620" t="s">
        <v>58</v>
      </c>
      <c r="K1620" t="s">
        <v>61</v>
      </c>
      <c r="L1620" t="s">
        <v>61</v>
      </c>
      <c r="M1620" t="s">
        <v>58</v>
      </c>
      <c r="Q1620" t="s">
        <v>58</v>
      </c>
      <c r="R1620" s="11" t="str">
        <f>HYPERLINK("\\imagefiles.bcgov\imagery\scanned_maps\moe_terrain_maps\Scanned_T_maps_all\K12\K12-2236","\\imagefiles.bcgov\imagery\scanned_maps\moe_terrain_maps\Scanned_T_maps_all\K12\K12-2236")</f>
        <v>\\imagefiles.bcgov\imagery\scanned_maps\moe_terrain_maps\Scanned_T_maps_all\K12\K12-2236</v>
      </c>
      <c r="S1620" t="s">
        <v>62</v>
      </c>
      <c r="T1620" s="11" t="str">
        <f>HYPERLINK("http://www.env.gov.bc.ca/esd/distdata/ecosystems/TEI_Scanned_Maps/K12/K12-2236","http://www.env.gov.bc.ca/esd/distdata/ecosystems/TEI_Scanned_Maps/K12/K12-2236")</f>
        <v>http://www.env.gov.bc.ca/esd/distdata/ecosystems/TEI_Scanned_Maps/K12/K12-2236</v>
      </c>
      <c r="U1620" t="s">
        <v>2487</v>
      </c>
      <c r="V1620" s="11" t="str">
        <f t="shared" si="107"/>
        <v>http://res.agr.ca/cansis/publications/surveys/bc/</v>
      </c>
      <c r="W1620" t="s">
        <v>2489</v>
      </c>
      <c r="X1620" s="11" t="str">
        <f t="shared" si="106"/>
        <v>http://www.em.gov.bc.ca/mining/geolsurv/terrain&amp;soils/frbcguid.htm</v>
      </c>
      <c r="Y1620" t="s">
        <v>269</v>
      </c>
      <c r="Z1620" s="11" t="str">
        <f t="shared" si="108"/>
        <v>http://www.library.for.gov.bc.ca/#focus</v>
      </c>
      <c r="AA1620" t="s">
        <v>58</v>
      </c>
      <c r="AC1620" t="s">
        <v>58</v>
      </c>
      <c r="AE1620" t="s">
        <v>58</v>
      </c>
      <c r="AG1620" t="s">
        <v>63</v>
      </c>
      <c r="AH1620" s="11" t="str">
        <f t="shared" si="105"/>
        <v>mailto: soilterrain@victoria1.gov.bc.ca</v>
      </c>
    </row>
    <row r="1621" spans="1:34">
      <c r="A1621" t="s">
        <v>3767</v>
      </c>
      <c r="B1621" t="s">
        <v>56</v>
      </c>
      <c r="C1621" s="10" t="s">
        <v>1499</v>
      </c>
      <c r="D1621" t="s">
        <v>58</v>
      </c>
      <c r="E1621" t="s">
        <v>3138</v>
      </c>
      <c r="F1621" t="s">
        <v>3762</v>
      </c>
      <c r="G1621">
        <v>50000</v>
      </c>
      <c r="H1621">
        <v>1980</v>
      </c>
      <c r="I1621" t="s">
        <v>3140</v>
      </c>
      <c r="J1621" t="s">
        <v>58</v>
      </c>
      <c r="K1621" t="s">
        <v>61</v>
      </c>
      <c r="L1621" t="s">
        <v>61</v>
      </c>
      <c r="M1621" t="s">
        <v>58</v>
      </c>
      <c r="Q1621" t="s">
        <v>58</v>
      </c>
      <c r="R1621" s="11" t="str">
        <f>HYPERLINK("\\imagefiles.bcgov\imagery\scanned_maps\moe_terrain_maps\Scanned_T_maps_all\K12\K12-2238","\\imagefiles.bcgov\imagery\scanned_maps\moe_terrain_maps\Scanned_T_maps_all\K12\K12-2238")</f>
        <v>\\imagefiles.bcgov\imagery\scanned_maps\moe_terrain_maps\Scanned_T_maps_all\K12\K12-2238</v>
      </c>
      <c r="S1621" t="s">
        <v>62</v>
      </c>
      <c r="T1621" s="11" t="str">
        <f>HYPERLINK("http://www.env.gov.bc.ca/esd/distdata/ecosystems/TEI_Scanned_Maps/K12/K12-2238","http://www.env.gov.bc.ca/esd/distdata/ecosystems/TEI_Scanned_Maps/K12/K12-2238")</f>
        <v>http://www.env.gov.bc.ca/esd/distdata/ecosystems/TEI_Scanned_Maps/K12/K12-2238</v>
      </c>
      <c r="U1621" t="s">
        <v>2487</v>
      </c>
      <c r="V1621" s="11" t="str">
        <f t="shared" si="107"/>
        <v>http://res.agr.ca/cansis/publications/surveys/bc/</v>
      </c>
      <c r="W1621" t="s">
        <v>2489</v>
      </c>
      <c r="X1621" s="11" t="str">
        <f t="shared" si="106"/>
        <v>http://www.em.gov.bc.ca/mining/geolsurv/terrain&amp;soils/frbcguid.htm</v>
      </c>
      <c r="Y1621" t="s">
        <v>269</v>
      </c>
      <c r="Z1621" s="11" t="str">
        <f t="shared" si="108"/>
        <v>http://www.library.for.gov.bc.ca/#focus</v>
      </c>
      <c r="AA1621" t="s">
        <v>58</v>
      </c>
      <c r="AC1621" t="s">
        <v>58</v>
      </c>
      <c r="AE1621" t="s">
        <v>58</v>
      </c>
      <c r="AG1621" t="s">
        <v>63</v>
      </c>
      <c r="AH1621" s="11" t="str">
        <f t="shared" si="105"/>
        <v>mailto: soilterrain@victoria1.gov.bc.ca</v>
      </c>
    </row>
    <row r="1622" spans="1:34">
      <c r="A1622" t="s">
        <v>3768</v>
      </c>
      <c r="B1622" t="s">
        <v>56</v>
      </c>
      <c r="C1622" s="10" t="s">
        <v>1501</v>
      </c>
      <c r="D1622" t="s">
        <v>58</v>
      </c>
      <c r="E1622" t="s">
        <v>3138</v>
      </c>
      <c r="F1622" t="s">
        <v>3762</v>
      </c>
      <c r="G1622">
        <v>50000</v>
      </c>
      <c r="H1622">
        <v>1979</v>
      </c>
      <c r="I1622" t="s">
        <v>3140</v>
      </c>
      <c r="J1622" t="s">
        <v>58</v>
      </c>
      <c r="K1622" t="s">
        <v>61</v>
      </c>
      <c r="L1622" t="s">
        <v>61</v>
      </c>
      <c r="M1622" t="s">
        <v>58</v>
      </c>
      <c r="Q1622" t="s">
        <v>58</v>
      </c>
      <c r="R1622" s="11" t="str">
        <f>HYPERLINK("\\imagefiles.bcgov\imagery\scanned_maps\moe_terrain_maps\Scanned_T_maps_all\K12\K12-2240","\\imagefiles.bcgov\imagery\scanned_maps\moe_terrain_maps\Scanned_T_maps_all\K12\K12-2240")</f>
        <v>\\imagefiles.bcgov\imagery\scanned_maps\moe_terrain_maps\Scanned_T_maps_all\K12\K12-2240</v>
      </c>
      <c r="S1622" t="s">
        <v>62</v>
      </c>
      <c r="T1622" s="11" t="str">
        <f>HYPERLINK("http://www.env.gov.bc.ca/esd/distdata/ecosystems/TEI_Scanned_Maps/K12/K12-2240","http://www.env.gov.bc.ca/esd/distdata/ecosystems/TEI_Scanned_Maps/K12/K12-2240")</f>
        <v>http://www.env.gov.bc.ca/esd/distdata/ecosystems/TEI_Scanned_Maps/K12/K12-2240</v>
      </c>
      <c r="U1622" t="s">
        <v>2487</v>
      </c>
      <c r="V1622" s="11" t="str">
        <f t="shared" si="107"/>
        <v>http://res.agr.ca/cansis/publications/surveys/bc/</v>
      </c>
      <c r="W1622" t="s">
        <v>2489</v>
      </c>
      <c r="X1622" s="11" t="str">
        <f t="shared" si="106"/>
        <v>http://www.em.gov.bc.ca/mining/geolsurv/terrain&amp;soils/frbcguid.htm</v>
      </c>
      <c r="Y1622" t="s">
        <v>269</v>
      </c>
      <c r="Z1622" s="11" t="str">
        <f t="shared" si="108"/>
        <v>http://www.library.for.gov.bc.ca/#focus</v>
      </c>
      <c r="AA1622" t="s">
        <v>58</v>
      </c>
      <c r="AC1622" t="s">
        <v>58</v>
      </c>
      <c r="AE1622" t="s">
        <v>58</v>
      </c>
      <c r="AG1622" t="s">
        <v>63</v>
      </c>
      <c r="AH1622" s="11" t="str">
        <f t="shared" si="105"/>
        <v>mailto: soilterrain@victoria1.gov.bc.ca</v>
      </c>
    </row>
    <row r="1623" spans="1:34">
      <c r="A1623" t="s">
        <v>3769</v>
      </c>
      <c r="B1623" t="s">
        <v>56</v>
      </c>
      <c r="C1623" s="10" t="s">
        <v>1503</v>
      </c>
      <c r="D1623" t="s">
        <v>58</v>
      </c>
      <c r="E1623" t="s">
        <v>3138</v>
      </c>
      <c r="F1623" t="s">
        <v>3762</v>
      </c>
      <c r="G1623">
        <v>50000</v>
      </c>
      <c r="H1623" t="s">
        <v>187</v>
      </c>
      <c r="I1623" t="s">
        <v>3140</v>
      </c>
      <c r="J1623" t="s">
        <v>58</v>
      </c>
      <c r="K1623" t="s">
        <v>61</v>
      </c>
      <c r="L1623" t="s">
        <v>61</v>
      </c>
      <c r="M1623" t="s">
        <v>58</v>
      </c>
      <c r="Q1623" t="s">
        <v>58</v>
      </c>
      <c r="R1623" s="11" t="str">
        <f>HYPERLINK("\\imagefiles.bcgov\imagery\scanned_maps\moe_terrain_maps\Scanned_T_maps_all\K12\K12-2242","\\imagefiles.bcgov\imagery\scanned_maps\moe_terrain_maps\Scanned_T_maps_all\K12\K12-2242")</f>
        <v>\\imagefiles.bcgov\imagery\scanned_maps\moe_terrain_maps\Scanned_T_maps_all\K12\K12-2242</v>
      </c>
      <c r="S1623" t="s">
        <v>62</v>
      </c>
      <c r="T1623" s="11" t="str">
        <f>HYPERLINK("http://www.env.gov.bc.ca/esd/distdata/ecosystems/TEI_Scanned_Maps/K12/K12-2242","http://www.env.gov.bc.ca/esd/distdata/ecosystems/TEI_Scanned_Maps/K12/K12-2242")</f>
        <v>http://www.env.gov.bc.ca/esd/distdata/ecosystems/TEI_Scanned_Maps/K12/K12-2242</v>
      </c>
      <c r="U1623" t="s">
        <v>2487</v>
      </c>
      <c r="V1623" s="11" t="str">
        <f t="shared" si="107"/>
        <v>http://res.agr.ca/cansis/publications/surveys/bc/</v>
      </c>
      <c r="W1623" t="s">
        <v>2489</v>
      </c>
      <c r="X1623" s="11" t="str">
        <f t="shared" si="106"/>
        <v>http://www.em.gov.bc.ca/mining/geolsurv/terrain&amp;soils/frbcguid.htm</v>
      </c>
      <c r="Y1623" t="s">
        <v>269</v>
      </c>
      <c r="Z1623" s="11" t="str">
        <f t="shared" si="108"/>
        <v>http://www.library.for.gov.bc.ca/#focus</v>
      </c>
      <c r="AA1623" t="s">
        <v>58</v>
      </c>
      <c r="AC1623" t="s">
        <v>58</v>
      </c>
      <c r="AE1623" t="s">
        <v>58</v>
      </c>
      <c r="AG1623" t="s">
        <v>63</v>
      </c>
      <c r="AH1623" s="11" t="str">
        <f t="shared" si="105"/>
        <v>mailto: soilterrain@victoria1.gov.bc.ca</v>
      </c>
    </row>
    <row r="1624" spans="1:34">
      <c r="A1624" t="s">
        <v>3770</v>
      </c>
      <c r="B1624" t="s">
        <v>56</v>
      </c>
      <c r="C1624" s="10" t="s">
        <v>1505</v>
      </c>
      <c r="D1624" t="s">
        <v>58</v>
      </c>
      <c r="E1624" t="s">
        <v>3125</v>
      </c>
      <c r="F1624" t="s">
        <v>3771</v>
      </c>
      <c r="G1624">
        <v>50000</v>
      </c>
      <c r="H1624">
        <v>1979</v>
      </c>
      <c r="I1624" t="s">
        <v>3127</v>
      </c>
      <c r="J1624" t="s">
        <v>58</v>
      </c>
      <c r="K1624" t="s">
        <v>61</v>
      </c>
      <c r="L1624" t="s">
        <v>61</v>
      </c>
      <c r="M1624" t="s">
        <v>58</v>
      </c>
      <c r="Q1624" t="s">
        <v>58</v>
      </c>
      <c r="R1624" s="11" t="str">
        <f>HYPERLINK("\\imagefiles.bcgov\imagery\scanned_maps\moe_terrain_maps\Scanned_T_maps_all\K12\K12-2266","\\imagefiles.bcgov\imagery\scanned_maps\moe_terrain_maps\Scanned_T_maps_all\K12\K12-2266")</f>
        <v>\\imagefiles.bcgov\imagery\scanned_maps\moe_terrain_maps\Scanned_T_maps_all\K12\K12-2266</v>
      </c>
      <c r="S1624" t="s">
        <v>62</v>
      </c>
      <c r="T1624" s="11" t="str">
        <f>HYPERLINK("http://www.env.gov.bc.ca/esd/distdata/ecosystems/TEI_Scanned_Maps/K12/K12-2266","http://www.env.gov.bc.ca/esd/distdata/ecosystems/TEI_Scanned_Maps/K12/K12-2266")</f>
        <v>http://www.env.gov.bc.ca/esd/distdata/ecosystems/TEI_Scanned_Maps/K12/K12-2266</v>
      </c>
      <c r="U1624" t="s">
        <v>2487</v>
      </c>
      <c r="V1624" s="11" t="str">
        <f t="shared" si="107"/>
        <v>http://res.agr.ca/cansis/publications/surveys/bc/</v>
      </c>
      <c r="W1624" t="s">
        <v>2495</v>
      </c>
      <c r="X1624" s="11" t="str">
        <f t="shared" si="106"/>
        <v>http://www.em.gov.bc.ca/mining/geolsurv/terrain&amp;soils/frbcguid.htm</v>
      </c>
      <c r="Y1624" t="s">
        <v>269</v>
      </c>
      <c r="Z1624" s="11" t="str">
        <f t="shared" si="108"/>
        <v>http://www.library.for.gov.bc.ca/#focus</v>
      </c>
      <c r="AA1624" t="s">
        <v>3053</v>
      </c>
      <c r="AB1624" s="11" t="str">
        <f t="shared" ref="AB1624:AB1631" si="109">HYPERLINK("http://www.prsss.ca/","http://www.prsss.ca/")</f>
        <v>http://www.prsss.ca/</v>
      </c>
      <c r="AC1624" t="s">
        <v>58</v>
      </c>
      <c r="AE1624" t="s">
        <v>58</v>
      </c>
      <c r="AG1624" t="s">
        <v>63</v>
      </c>
      <c r="AH1624" s="11" t="str">
        <f t="shared" si="105"/>
        <v>mailto: soilterrain@victoria1.gov.bc.ca</v>
      </c>
    </row>
    <row r="1625" spans="1:34">
      <c r="A1625" t="s">
        <v>3772</v>
      </c>
      <c r="B1625" t="s">
        <v>56</v>
      </c>
      <c r="C1625" s="10" t="s">
        <v>1508</v>
      </c>
      <c r="D1625" t="s">
        <v>58</v>
      </c>
      <c r="E1625" t="s">
        <v>3125</v>
      </c>
      <c r="F1625" t="s">
        <v>3773</v>
      </c>
      <c r="G1625">
        <v>50000</v>
      </c>
      <c r="H1625" t="s">
        <v>187</v>
      </c>
      <c r="I1625" t="s">
        <v>3127</v>
      </c>
      <c r="J1625" t="s">
        <v>58</v>
      </c>
      <c r="K1625" t="s">
        <v>61</v>
      </c>
      <c r="L1625" t="s">
        <v>61</v>
      </c>
      <c r="M1625" t="s">
        <v>58</v>
      </c>
      <c r="Q1625" t="s">
        <v>58</v>
      </c>
      <c r="R1625" s="11" t="str">
        <f>HYPERLINK("\\imagefiles.bcgov\imagery\scanned_maps\moe_terrain_maps\Scanned_T_maps_all\K12\K12-2270","\\imagefiles.bcgov\imagery\scanned_maps\moe_terrain_maps\Scanned_T_maps_all\K12\K12-2270")</f>
        <v>\\imagefiles.bcgov\imagery\scanned_maps\moe_terrain_maps\Scanned_T_maps_all\K12\K12-2270</v>
      </c>
      <c r="S1625" t="s">
        <v>62</v>
      </c>
      <c r="T1625" s="11" t="str">
        <f>HYPERLINK("http://www.env.gov.bc.ca/esd/distdata/ecosystems/TEI_Scanned_Maps/K12/K12-2270","http://www.env.gov.bc.ca/esd/distdata/ecosystems/TEI_Scanned_Maps/K12/K12-2270")</f>
        <v>http://www.env.gov.bc.ca/esd/distdata/ecosystems/TEI_Scanned_Maps/K12/K12-2270</v>
      </c>
      <c r="U1625" t="s">
        <v>2487</v>
      </c>
      <c r="V1625" s="11" t="str">
        <f t="shared" si="107"/>
        <v>http://res.agr.ca/cansis/publications/surveys/bc/</v>
      </c>
      <c r="W1625" t="s">
        <v>2495</v>
      </c>
      <c r="X1625" s="11" t="str">
        <f t="shared" si="106"/>
        <v>http://www.em.gov.bc.ca/mining/geolsurv/terrain&amp;soils/frbcguid.htm</v>
      </c>
      <c r="Y1625" t="s">
        <v>269</v>
      </c>
      <c r="Z1625" s="11" t="str">
        <f t="shared" si="108"/>
        <v>http://www.library.for.gov.bc.ca/#focus</v>
      </c>
      <c r="AA1625" t="s">
        <v>3053</v>
      </c>
      <c r="AB1625" s="11" t="str">
        <f t="shared" si="109"/>
        <v>http://www.prsss.ca/</v>
      </c>
      <c r="AC1625" t="s">
        <v>58</v>
      </c>
      <c r="AE1625" t="s">
        <v>58</v>
      </c>
      <c r="AG1625" t="s">
        <v>63</v>
      </c>
      <c r="AH1625" s="11" t="str">
        <f t="shared" si="105"/>
        <v>mailto: soilterrain@victoria1.gov.bc.ca</v>
      </c>
    </row>
    <row r="1626" spans="1:34">
      <c r="A1626" t="s">
        <v>3774</v>
      </c>
      <c r="B1626" t="s">
        <v>56</v>
      </c>
      <c r="C1626" s="10" t="s">
        <v>1511</v>
      </c>
      <c r="D1626" t="s">
        <v>58</v>
      </c>
      <c r="E1626" t="s">
        <v>3125</v>
      </c>
      <c r="F1626" t="s">
        <v>3746</v>
      </c>
      <c r="G1626">
        <v>50000</v>
      </c>
      <c r="H1626">
        <v>1979</v>
      </c>
      <c r="I1626" t="s">
        <v>3127</v>
      </c>
      <c r="J1626" t="s">
        <v>58</v>
      </c>
      <c r="K1626" t="s">
        <v>61</v>
      </c>
      <c r="L1626" t="s">
        <v>61</v>
      </c>
      <c r="M1626" t="s">
        <v>58</v>
      </c>
      <c r="Q1626" t="s">
        <v>58</v>
      </c>
      <c r="R1626" s="11" t="str">
        <f>HYPERLINK("\\imagefiles.bcgov\imagery\scanned_maps\moe_terrain_maps\Scanned_T_maps_all\K12\K12-2272","\\imagefiles.bcgov\imagery\scanned_maps\moe_terrain_maps\Scanned_T_maps_all\K12\K12-2272")</f>
        <v>\\imagefiles.bcgov\imagery\scanned_maps\moe_terrain_maps\Scanned_T_maps_all\K12\K12-2272</v>
      </c>
      <c r="S1626" t="s">
        <v>62</v>
      </c>
      <c r="T1626" s="11" t="str">
        <f>HYPERLINK("http://www.env.gov.bc.ca/esd/distdata/ecosystems/TEI_Scanned_Maps/K12/K12-2272","http://www.env.gov.bc.ca/esd/distdata/ecosystems/TEI_Scanned_Maps/K12/K12-2272")</f>
        <v>http://www.env.gov.bc.ca/esd/distdata/ecosystems/TEI_Scanned_Maps/K12/K12-2272</v>
      </c>
      <c r="U1626" t="s">
        <v>2487</v>
      </c>
      <c r="V1626" s="11" t="str">
        <f t="shared" si="107"/>
        <v>http://res.agr.ca/cansis/publications/surveys/bc/</v>
      </c>
      <c r="W1626" t="s">
        <v>2495</v>
      </c>
      <c r="X1626" s="11" t="str">
        <f t="shared" si="106"/>
        <v>http://www.em.gov.bc.ca/mining/geolsurv/terrain&amp;soils/frbcguid.htm</v>
      </c>
      <c r="Y1626" t="s">
        <v>269</v>
      </c>
      <c r="Z1626" s="11" t="str">
        <f t="shared" si="108"/>
        <v>http://www.library.for.gov.bc.ca/#focus</v>
      </c>
      <c r="AA1626" t="s">
        <v>3053</v>
      </c>
      <c r="AB1626" s="11" t="str">
        <f t="shared" si="109"/>
        <v>http://www.prsss.ca/</v>
      </c>
      <c r="AC1626" t="s">
        <v>58</v>
      </c>
      <c r="AE1626" t="s">
        <v>58</v>
      </c>
      <c r="AG1626" t="s">
        <v>63</v>
      </c>
      <c r="AH1626" s="11" t="str">
        <f t="shared" si="105"/>
        <v>mailto: soilterrain@victoria1.gov.bc.ca</v>
      </c>
    </row>
    <row r="1627" spans="1:34">
      <c r="A1627" t="s">
        <v>3775</v>
      </c>
      <c r="B1627" t="s">
        <v>56</v>
      </c>
      <c r="C1627" s="10" t="s">
        <v>1513</v>
      </c>
      <c r="D1627" t="s">
        <v>58</v>
      </c>
      <c r="E1627" t="s">
        <v>3125</v>
      </c>
      <c r="F1627" t="s">
        <v>3776</v>
      </c>
      <c r="G1627">
        <v>50000</v>
      </c>
      <c r="H1627">
        <v>1980</v>
      </c>
      <c r="I1627" t="s">
        <v>3127</v>
      </c>
      <c r="J1627" t="s">
        <v>58</v>
      </c>
      <c r="K1627" t="s">
        <v>61</v>
      </c>
      <c r="L1627" t="s">
        <v>61</v>
      </c>
      <c r="M1627" t="s">
        <v>58</v>
      </c>
      <c r="Q1627" t="s">
        <v>58</v>
      </c>
      <c r="R1627" s="11" t="str">
        <f>HYPERLINK("\\imagefiles.bcgov\imagery\scanned_maps\moe_terrain_maps\Scanned_T_maps_all\K12\K12-2274","\\imagefiles.bcgov\imagery\scanned_maps\moe_terrain_maps\Scanned_T_maps_all\K12\K12-2274")</f>
        <v>\\imagefiles.bcgov\imagery\scanned_maps\moe_terrain_maps\Scanned_T_maps_all\K12\K12-2274</v>
      </c>
      <c r="S1627" t="s">
        <v>62</v>
      </c>
      <c r="T1627" s="11" t="str">
        <f>HYPERLINK("http://www.env.gov.bc.ca/esd/distdata/ecosystems/TEI_Scanned_Maps/K12/K12-2274","http://www.env.gov.bc.ca/esd/distdata/ecosystems/TEI_Scanned_Maps/K12/K12-2274")</f>
        <v>http://www.env.gov.bc.ca/esd/distdata/ecosystems/TEI_Scanned_Maps/K12/K12-2274</v>
      </c>
      <c r="U1627" t="s">
        <v>2487</v>
      </c>
      <c r="V1627" s="11" t="str">
        <f t="shared" si="107"/>
        <v>http://res.agr.ca/cansis/publications/surveys/bc/</v>
      </c>
      <c r="W1627" t="s">
        <v>2495</v>
      </c>
      <c r="X1627" s="11" t="str">
        <f t="shared" si="106"/>
        <v>http://www.em.gov.bc.ca/mining/geolsurv/terrain&amp;soils/frbcguid.htm</v>
      </c>
      <c r="Y1627" t="s">
        <v>269</v>
      </c>
      <c r="Z1627" s="11" t="str">
        <f t="shared" si="108"/>
        <v>http://www.library.for.gov.bc.ca/#focus</v>
      </c>
      <c r="AA1627" t="s">
        <v>3053</v>
      </c>
      <c r="AB1627" s="11" t="str">
        <f t="shared" si="109"/>
        <v>http://www.prsss.ca/</v>
      </c>
      <c r="AC1627" t="s">
        <v>58</v>
      </c>
      <c r="AE1627" t="s">
        <v>58</v>
      </c>
      <c r="AG1627" t="s">
        <v>63</v>
      </c>
      <c r="AH1627" s="11" t="str">
        <f t="shared" si="105"/>
        <v>mailto: soilterrain@victoria1.gov.bc.ca</v>
      </c>
    </row>
    <row r="1628" spans="1:34">
      <c r="A1628" t="s">
        <v>3777</v>
      </c>
      <c r="B1628" t="s">
        <v>56</v>
      </c>
      <c r="C1628" s="10" t="s">
        <v>1515</v>
      </c>
      <c r="D1628" t="s">
        <v>58</v>
      </c>
      <c r="E1628" t="s">
        <v>3125</v>
      </c>
      <c r="F1628" t="s">
        <v>3778</v>
      </c>
      <c r="G1628">
        <v>50000</v>
      </c>
      <c r="H1628">
        <v>1980</v>
      </c>
      <c r="I1628" t="s">
        <v>3127</v>
      </c>
      <c r="J1628" t="s">
        <v>58</v>
      </c>
      <c r="K1628" t="s">
        <v>61</v>
      </c>
      <c r="L1628" t="s">
        <v>61</v>
      </c>
      <c r="M1628" t="s">
        <v>58</v>
      </c>
      <c r="Q1628" t="s">
        <v>58</v>
      </c>
      <c r="R1628" s="11" t="str">
        <f>HYPERLINK("\\imagefiles.bcgov\imagery\scanned_maps\moe_terrain_maps\Scanned_T_maps_all\K12\K12-2276","\\imagefiles.bcgov\imagery\scanned_maps\moe_terrain_maps\Scanned_T_maps_all\K12\K12-2276")</f>
        <v>\\imagefiles.bcgov\imagery\scanned_maps\moe_terrain_maps\Scanned_T_maps_all\K12\K12-2276</v>
      </c>
      <c r="S1628" t="s">
        <v>62</v>
      </c>
      <c r="T1628" s="11" t="str">
        <f>HYPERLINK("http://www.env.gov.bc.ca/esd/distdata/ecosystems/TEI_Scanned_Maps/K12/K12-2276","http://www.env.gov.bc.ca/esd/distdata/ecosystems/TEI_Scanned_Maps/K12/K12-2276")</f>
        <v>http://www.env.gov.bc.ca/esd/distdata/ecosystems/TEI_Scanned_Maps/K12/K12-2276</v>
      </c>
      <c r="U1628" t="s">
        <v>2487</v>
      </c>
      <c r="V1628" s="11" t="str">
        <f t="shared" si="107"/>
        <v>http://res.agr.ca/cansis/publications/surveys/bc/</v>
      </c>
      <c r="W1628" t="s">
        <v>2495</v>
      </c>
      <c r="X1628" s="11" t="str">
        <f t="shared" si="106"/>
        <v>http://www.em.gov.bc.ca/mining/geolsurv/terrain&amp;soils/frbcguid.htm</v>
      </c>
      <c r="Y1628" t="s">
        <v>269</v>
      </c>
      <c r="Z1628" s="11" t="str">
        <f t="shared" si="108"/>
        <v>http://www.library.for.gov.bc.ca/#focus</v>
      </c>
      <c r="AA1628" t="s">
        <v>3053</v>
      </c>
      <c r="AB1628" s="11" t="str">
        <f t="shared" si="109"/>
        <v>http://www.prsss.ca/</v>
      </c>
      <c r="AC1628" t="s">
        <v>58</v>
      </c>
      <c r="AE1628" t="s">
        <v>58</v>
      </c>
      <c r="AG1628" t="s">
        <v>63</v>
      </c>
      <c r="AH1628" s="11" t="str">
        <f t="shared" si="105"/>
        <v>mailto: soilterrain@victoria1.gov.bc.ca</v>
      </c>
    </row>
    <row r="1629" spans="1:34">
      <c r="A1629" t="s">
        <v>3779</v>
      </c>
      <c r="B1629" t="s">
        <v>56</v>
      </c>
      <c r="C1629" s="10" t="s">
        <v>1517</v>
      </c>
      <c r="D1629" t="s">
        <v>58</v>
      </c>
      <c r="E1629" t="s">
        <v>3125</v>
      </c>
      <c r="F1629" t="s">
        <v>3780</v>
      </c>
      <c r="G1629">
        <v>50000</v>
      </c>
      <c r="H1629">
        <v>1980</v>
      </c>
      <c r="I1629" t="s">
        <v>3127</v>
      </c>
      <c r="J1629" t="s">
        <v>58</v>
      </c>
      <c r="K1629" t="s">
        <v>61</v>
      </c>
      <c r="L1629" t="s">
        <v>61</v>
      </c>
      <c r="M1629" t="s">
        <v>58</v>
      </c>
      <c r="Q1629" t="s">
        <v>58</v>
      </c>
      <c r="R1629" s="11" t="str">
        <f>HYPERLINK("\\imagefiles.bcgov\imagery\scanned_maps\moe_terrain_maps\Scanned_T_maps_all\K12\K12-2278","\\imagefiles.bcgov\imagery\scanned_maps\moe_terrain_maps\Scanned_T_maps_all\K12\K12-2278")</f>
        <v>\\imagefiles.bcgov\imagery\scanned_maps\moe_terrain_maps\Scanned_T_maps_all\K12\K12-2278</v>
      </c>
      <c r="S1629" t="s">
        <v>62</v>
      </c>
      <c r="T1629" s="11" t="str">
        <f>HYPERLINK("http://www.env.gov.bc.ca/esd/distdata/ecosystems/TEI_Scanned_Maps/K12/K12-2278","http://www.env.gov.bc.ca/esd/distdata/ecosystems/TEI_Scanned_Maps/K12/K12-2278")</f>
        <v>http://www.env.gov.bc.ca/esd/distdata/ecosystems/TEI_Scanned_Maps/K12/K12-2278</v>
      </c>
      <c r="U1629" t="s">
        <v>2487</v>
      </c>
      <c r="V1629" s="11" t="str">
        <f t="shared" si="107"/>
        <v>http://res.agr.ca/cansis/publications/surveys/bc/</v>
      </c>
      <c r="W1629" t="s">
        <v>2495</v>
      </c>
      <c r="X1629" s="11" t="str">
        <f t="shared" si="106"/>
        <v>http://www.em.gov.bc.ca/mining/geolsurv/terrain&amp;soils/frbcguid.htm</v>
      </c>
      <c r="Y1629" t="s">
        <v>269</v>
      </c>
      <c r="Z1629" s="11" t="str">
        <f t="shared" si="108"/>
        <v>http://www.library.for.gov.bc.ca/#focus</v>
      </c>
      <c r="AA1629" t="s">
        <v>3053</v>
      </c>
      <c r="AB1629" s="11" t="str">
        <f t="shared" si="109"/>
        <v>http://www.prsss.ca/</v>
      </c>
      <c r="AC1629" t="s">
        <v>58</v>
      </c>
      <c r="AE1629" t="s">
        <v>58</v>
      </c>
      <c r="AG1629" t="s">
        <v>63</v>
      </c>
      <c r="AH1629" s="11" t="str">
        <f t="shared" si="105"/>
        <v>mailto: soilterrain@victoria1.gov.bc.ca</v>
      </c>
    </row>
    <row r="1630" spans="1:34">
      <c r="A1630" t="s">
        <v>3781</v>
      </c>
      <c r="B1630" t="s">
        <v>56</v>
      </c>
      <c r="C1630" s="10" t="s">
        <v>1519</v>
      </c>
      <c r="D1630" t="s">
        <v>58</v>
      </c>
      <c r="E1630" t="s">
        <v>3125</v>
      </c>
      <c r="F1630" t="s">
        <v>3782</v>
      </c>
      <c r="G1630">
        <v>50000</v>
      </c>
      <c r="H1630">
        <v>1980</v>
      </c>
      <c r="I1630" t="s">
        <v>3127</v>
      </c>
      <c r="J1630" t="s">
        <v>58</v>
      </c>
      <c r="K1630" t="s">
        <v>61</v>
      </c>
      <c r="L1630" t="s">
        <v>61</v>
      </c>
      <c r="M1630" t="s">
        <v>58</v>
      </c>
      <c r="Q1630" t="s">
        <v>58</v>
      </c>
      <c r="R1630" s="11" t="str">
        <f>HYPERLINK("\\imagefiles.bcgov\imagery\scanned_maps\moe_terrain_maps\Scanned_T_maps_all\K12\K12-2281","\\imagefiles.bcgov\imagery\scanned_maps\moe_terrain_maps\Scanned_T_maps_all\K12\K12-2281")</f>
        <v>\\imagefiles.bcgov\imagery\scanned_maps\moe_terrain_maps\Scanned_T_maps_all\K12\K12-2281</v>
      </c>
      <c r="S1630" t="s">
        <v>62</v>
      </c>
      <c r="T1630" s="11" t="str">
        <f>HYPERLINK("http://www.env.gov.bc.ca/esd/distdata/ecosystems/TEI_Scanned_Maps/K12/K12-2281","http://www.env.gov.bc.ca/esd/distdata/ecosystems/TEI_Scanned_Maps/K12/K12-2281")</f>
        <v>http://www.env.gov.bc.ca/esd/distdata/ecosystems/TEI_Scanned_Maps/K12/K12-2281</v>
      </c>
      <c r="U1630" t="s">
        <v>2487</v>
      </c>
      <c r="V1630" s="11" t="str">
        <f t="shared" si="107"/>
        <v>http://res.agr.ca/cansis/publications/surveys/bc/</v>
      </c>
      <c r="W1630" t="s">
        <v>2495</v>
      </c>
      <c r="X1630" s="11" t="str">
        <f t="shared" si="106"/>
        <v>http://www.em.gov.bc.ca/mining/geolsurv/terrain&amp;soils/frbcguid.htm</v>
      </c>
      <c r="Y1630" t="s">
        <v>269</v>
      </c>
      <c r="Z1630" s="11" t="str">
        <f t="shared" si="108"/>
        <v>http://www.library.for.gov.bc.ca/#focus</v>
      </c>
      <c r="AA1630" t="s">
        <v>3053</v>
      </c>
      <c r="AB1630" s="11" t="str">
        <f t="shared" si="109"/>
        <v>http://www.prsss.ca/</v>
      </c>
      <c r="AC1630" t="s">
        <v>58</v>
      </c>
      <c r="AE1630" t="s">
        <v>58</v>
      </c>
      <c r="AG1630" t="s">
        <v>63</v>
      </c>
      <c r="AH1630" s="11" t="str">
        <f t="shared" si="105"/>
        <v>mailto: soilterrain@victoria1.gov.bc.ca</v>
      </c>
    </row>
    <row r="1631" spans="1:34">
      <c r="A1631" t="s">
        <v>3783</v>
      </c>
      <c r="B1631" t="s">
        <v>56</v>
      </c>
      <c r="C1631" s="10" t="s">
        <v>1522</v>
      </c>
      <c r="D1631" t="s">
        <v>58</v>
      </c>
      <c r="E1631" t="s">
        <v>3125</v>
      </c>
      <c r="F1631" t="s">
        <v>3784</v>
      </c>
      <c r="G1631">
        <v>50000</v>
      </c>
      <c r="H1631">
        <v>1980</v>
      </c>
      <c r="I1631" t="s">
        <v>3127</v>
      </c>
      <c r="J1631" t="s">
        <v>58</v>
      </c>
      <c r="K1631" t="s">
        <v>61</v>
      </c>
      <c r="L1631" t="s">
        <v>61</v>
      </c>
      <c r="M1631" t="s">
        <v>58</v>
      </c>
      <c r="Q1631" t="s">
        <v>58</v>
      </c>
      <c r="R1631" s="11" t="str">
        <f>HYPERLINK("\\imagefiles.bcgov\imagery\scanned_maps\moe_terrain_maps\Scanned_T_maps_all\K12\K12-2283","\\imagefiles.bcgov\imagery\scanned_maps\moe_terrain_maps\Scanned_T_maps_all\K12\K12-2283")</f>
        <v>\\imagefiles.bcgov\imagery\scanned_maps\moe_terrain_maps\Scanned_T_maps_all\K12\K12-2283</v>
      </c>
      <c r="S1631" t="s">
        <v>62</v>
      </c>
      <c r="T1631" s="11" t="str">
        <f>HYPERLINK("http://www.env.gov.bc.ca/esd/distdata/ecosystems/TEI_Scanned_Maps/K12/K12-2283","http://www.env.gov.bc.ca/esd/distdata/ecosystems/TEI_Scanned_Maps/K12/K12-2283")</f>
        <v>http://www.env.gov.bc.ca/esd/distdata/ecosystems/TEI_Scanned_Maps/K12/K12-2283</v>
      </c>
      <c r="U1631" t="s">
        <v>2487</v>
      </c>
      <c r="V1631" s="11" t="str">
        <f t="shared" si="107"/>
        <v>http://res.agr.ca/cansis/publications/surveys/bc/</v>
      </c>
      <c r="W1631" t="s">
        <v>2495</v>
      </c>
      <c r="X1631" s="11" t="str">
        <f t="shared" si="106"/>
        <v>http://www.em.gov.bc.ca/mining/geolsurv/terrain&amp;soils/frbcguid.htm</v>
      </c>
      <c r="Y1631" t="s">
        <v>269</v>
      </c>
      <c r="Z1631" s="11" t="str">
        <f t="shared" si="108"/>
        <v>http://www.library.for.gov.bc.ca/#focus</v>
      </c>
      <c r="AA1631" t="s">
        <v>3053</v>
      </c>
      <c r="AB1631" s="11" t="str">
        <f t="shared" si="109"/>
        <v>http://www.prsss.ca/</v>
      </c>
      <c r="AC1631" t="s">
        <v>58</v>
      </c>
      <c r="AE1631" t="s">
        <v>58</v>
      </c>
      <c r="AG1631" t="s">
        <v>63</v>
      </c>
      <c r="AH1631" s="11" t="str">
        <f t="shared" si="105"/>
        <v>mailto: soilterrain@victoria1.gov.bc.ca</v>
      </c>
    </row>
    <row r="1632" spans="1:34">
      <c r="A1632" t="s">
        <v>3785</v>
      </c>
      <c r="B1632" t="s">
        <v>56</v>
      </c>
      <c r="C1632" s="10" t="s">
        <v>1526</v>
      </c>
      <c r="D1632" t="s">
        <v>58</v>
      </c>
      <c r="E1632" t="s">
        <v>3147</v>
      </c>
      <c r="F1632" t="s">
        <v>3786</v>
      </c>
      <c r="G1632">
        <v>50000</v>
      </c>
      <c r="H1632">
        <v>1980</v>
      </c>
      <c r="I1632" t="s">
        <v>3149</v>
      </c>
      <c r="J1632" t="s">
        <v>58</v>
      </c>
      <c r="K1632" t="s">
        <v>61</v>
      </c>
      <c r="L1632" t="s">
        <v>61</v>
      </c>
      <c r="M1632" t="s">
        <v>58</v>
      </c>
      <c r="Q1632" t="s">
        <v>58</v>
      </c>
      <c r="R1632" s="11" t="str">
        <f>HYPERLINK("\\imagefiles.bcgov\imagery\scanned_maps\moe_terrain_maps\Scanned_T_maps_all\K12\K12-2286","\\imagefiles.bcgov\imagery\scanned_maps\moe_terrain_maps\Scanned_T_maps_all\K12\K12-2286")</f>
        <v>\\imagefiles.bcgov\imagery\scanned_maps\moe_terrain_maps\Scanned_T_maps_all\K12\K12-2286</v>
      </c>
      <c r="S1632" t="s">
        <v>62</v>
      </c>
      <c r="T1632" s="11" t="str">
        <f>HYPERLINK("http://www.env.gov.bc.ca/esd/distdata/ecosystems/TEI_Scanned_Maps/K12/K12-2286","http://www.env.gov.bc.ca/esd/distdata/ecosystems/TEI_Scanned_Maps/K12/K12-2286")</f>
        <v>http://www.env.gov.bc.ca/esd/distdata/ecosystems/TEI_Scanned_Maps/K12/K12-2286</v>
      </c>
      <c r="U1632" t="s">
        <v>2495</v>
      </c>
      <c r="V1632" s="11" t="str">
        <f t="shared" ref="V1632:V1639" si="110">HYPERLINK("http://www.em.gov.bc.ca/mining/geolsurv/terrain&amp;soils/frbcguid.htm","http://www.em.gov.bc.ca/mining/geolsurv/terrain&amp;soils/frbcguid.htm")</f>
        <v>http://www.em.gov.bc.ca/mining/geolsurv/terrain&amp;soils/frbcguid.htm</v>
      </c>
      <c r="W1632" t="s">
        <v>2489</v>
      </c>
      <c r="X1632" s="11" t="str">
        <f t="shared" si="106"/>
        <v>http://www.em.gov.bc.ca/mining/geolsurv/terrain&amp;soils/frbcguid.htm</v>
      </c>
      <c r="Y1632" t="s">
        <v>269</v>
      </c>
      <c r="Z1632" s="11" t="str">
        <f t="shared" si="108"/>
        <v>http://www.library.for.gov.bc.ca/#focus</v>
      </c>
      <c r="AA1632" t="s">
        <v>2500</v>
      </c>
      <c r="AB1632" s="11" t="str">
        <f t="shared" ref="AB1632:AB1639" si="111">HYPERLINK("http://www.crownpub.bc.ca/","http://www.crownpub.bc.ca/")</f>
        <v>http://www.crownpub.bc.ca/</v>
      </c>
      <c r="AC1632" t="s">
        <v>58</v>
      </c>
      <c r="AD1632" s="11" t="str">
        <f t="shared" ref="AD1632:AD1639" si="112">HYPERLINK("http://www.env.gov.bc.ca/soils/project/report.html","http://www.env.gov.bc.ca/soils/project/report.html")</f>
        <v>http://www.env.gov.bc.ca/soils/project/report.html</v>
      </c>
      <c r="AE1632" t="s">
        <v>58</v>
      </c>
      <c r="AG1632" t="s">
        <v>63</v>
      </c>
      <c r="AH1632" s="11" t="str">
        <f t="shared" si="105"/>
        <v>mailto: soilterrain@victoria1.gov.bc.ca</v>
      </c>
    </row>
    <row r="1633" spans="1:34">
      <c r="A1633" t="s">
        <v>3787</v>
      </c>
      <c r="B1633" t="s">
        <v>56</v>
      </c>
      <c r="C1633" s="10" t="s">
        <v>1528</v>
      </c>
      <c r="D1633" t="s">
        <v>58</v>
      </c>
      <c r="E1633" t="s">
        <v>3147</v>
      </c>
      <c r="F1633" t="s">
        <v>3788</v>
      </c>
      <c r="G1633">
        <v>50000</v>
      </c>
      <c r="H1633">
        <v>1980</v>
      </c>
      <c r="I1633" t="s">
        <v>3149</v>
      </c>
      <c r="J1633" t="s">
        <v>58</v>
      </c>
      <c r="K1633" t="s">
        <v>61</v>
      </c>
      <c r="L1633" t="s">
        <v>61</v>
      </c>
      <c r="M1633" t="s">
        <v>58</v>
      </c>
      <c r="Q1633" t="s">
        <v>58</v>
      </c>
      <c r="R1633" s="11" t="str">
        <f>HYPERLINK("\\imagefiles.bcgov\imagery\scanned_maps\moe_terrain_maps\Scanned_T_maps_all\K12\K12-2288","\\imagefiles.bcgov\imagery\scanned_maps\moe_terrain_maps\Scanned_T_maps_all\K12\K12-2288")</f>
        <v>\\imagefiles.bcgov\imagery\scanned_maps\moe_terrain_maps\Scanned_T_maps_all\K12\K12-2288</v>
      </c>
      <c r="S1633" t="s">
        <v>62</v>
      </c>
      <c r="T1633" s="11" t="str">
        <f>HYPERLINK("http://www.env.gov.bc.ca/esd/distdata/ecosystems/TEI_Scanned_Maps/K12/K12-2288","http://www.env.gov.bc.ca/esd/distdata/ecosystems/TEI_Scanned_Maps/K12/K12-2288")</f>
        <v>http://www.env.gov.bc.ca/esd/distdata/ecosystems/TEI_Scanned_Maps/K12/K12-2288</v>
      </c>
      <c r="U1633" t="s">
        <v>2495</v>
      </c>
      <c r="V1633" s="11" t="str">
        <f t="shared" si="110"/>
        <v>http://www.em.gov.bc.ca/mining/geolsurv/terrain&amp;soils/frbcguid.htm</v>
      </c>
      <c r="W1633" t="s">
        <v>2489</v>
      </c>
      <c r="X1633" s="11" t="str">
        <f t="shared" si="106"/>
        <v>http://www.em.gov.bc.ca/mining/geolsurv/terrain&amp;soils/frbcguid.htm</v>
      </c>
      <c r="Y1633" t="s">
        <v>269</v>
      </c>
      <c r="Z1633" s="11" t="str">
        <f t="shared" si="108"/>
        <v>http://www.library.for.gov.bc.ca/#focus</v>
      </c>
      <c r="AA1633" t="s">
        <v>2500</v>
      </c>
      <c r="AB1633" s="11" t="str">
        <f t="shared" si="111"/>
        <v>http://www.crownpub.bc.ca/</v>
      </c>
      <c r="AC1633" t="s">
        <v>58</v>
      </c>
      <c r="AD1633" s="11" t="str">
        <f t="shared" si="112"/>
        <v>http://www.env.gov.bc.ca/soils/project/report.html</v>
      </c>
      <c r="AE1633" t="s">
        <v>58</v>
      </c>
      <c r="AG1633" t="s">
        <v>63</v>
      </c>
      <c r="AH1633" s="11" t="str">
        <f t="shared" si="105"/>
        <v>mailto: soilterrain@victoria1.gov.bc.ca</v>
      </c>
    </row>
    <row r="1634" spans="1:34">
      <c r="A1634" t="s">
        <v>3789</v>
      </c>
      <c r="B1634" t="s">
        <v>56</v>
      </c>
      <c r="C1634" s="10" t="s">
        <v>1530</v>
      </c>
      <c r="D1634" t="s">
        <v>58</v>
      </c>
      <c r="E1634" t="s">
        <v>3147</v>
      </c>
      <c r="F1634" t="s">
        <v>3790</v>
      </c>
      <c r="G1634">
        <v>50000</v>
      </c>
      <c r="H1634">
        <v>1978</v>
      </c>
      <c r="I1634" t="s">
        <v>3149</v>
      </c>
      <c r="J1634" t="s">
        <v>58</v>
      </c>
      <c r="K1634" t="s">
        <v>61</v>
      </c>
      <c r="L1634" t="s">
        <v>61</v>
      </c>
      <c r="M1634" t="s">
        <v>58</v>
      </c>
      <c r="Q1634" t="s">
        <v>58</v>
      </c>
      <c r="R1634" s="11" t="str">
        <f>HYPERLINK("\\imagefiles.bcgov\imagery\scanned_maps\moe_terrain_maps\Scanned_T_maps_all\K12\K12-2290","\\imagefiles.bcgov\imagery\scanned_maps\moe_terrain_maps\Scanned_T_maps_all\K12\K12-2290")</f>
        <v>\\imagefiles.bcgov\imagery\scanned_maps\moe_terrain_maps\Scanned_T_maps_all\K12\K12-2290</v>
      </c>
      <c r="S1634" t="s">
        <v>62</v>
      </c>
      <c r="T1634" s="11" t="str">
        <f>HYPERLINK("http://www.env.gov.bc.ca/esd/distdata/ecosystems/TEI_Scanned_Maps/K12/K12-2290","http://www.env.gov.bc.ca/esd/distdata/ecosystems/TEI_Scanned_Maps/K12/K12-2290")</f>
        <v>http://www.env.gov.bc.ca/esd/distdata/ecosystems/TEI_Scanned_Maps/K12/K12-2290</v>
      </c>
      <c r="U1634" t="s">
        <v>2495</v>
      </c>
      <c r="V1634" s="11" t="str">
        <f t="shared" si="110"/>
        <v>http://www.em.gov.bc.ca/mining/geolsurv/terrain&amp;soils/frbcguid.htm</v>
      </c>
      <c r="W1634" t="s">
        <v>2489</v>
      </c>
      <c r="X1634" s="11" t="str">
        <f t="shared" si="106"/>
        <v>http://www.em.gov.bc.ca/mining/geolsurv/terrain&amp;soils/frbcguid.htm</v>
      </c>
      <c r="Y1634" t="s">
        <v>269</v>
      </c>
      <c r="Z1634" s="11" t="str">
        <f t="shared" si="108"/>
        <v>http://www.library.for.gov.bc.ca/#focus</v>
      </c>
      <c r="AA1634" t="s">
        <v>2500</v>
      </c>
      <c r="AB1634" s="11" t="str">
        <f t="shared" si="111"/>
        <v>http://www.crownpub.bc.ca/</v>
      </c>
      <c r="AC1634" t="s">
        <v>58</v>
      </c>
      <c r="AD1634" s="11" t="str">
        <f t="shared" si="112"/>
        <v>http://www.env.gov.bc.ca/soils/project/report.html</v>
      </c>
      <c r="AE1634" t="s">
        <v>58</v>
      </c>
      <c r="AG1634" t="s">
        <v>63</v>
      </c>
      <c r="AH1634" s="11" t="str">
        <f t="shared" si="105"/>
        <v>mailto: soilterrain@victoria1.gov.bc.ca</v>
      </c>
    </row>
    <row r="1635" spans="1:34">
      <c r="A1635" t="s">
        <v>3791</v>
      </c>
      <c r="B1635" t="s">
        <v>56</v>
      </c>
      <c r="C1635" s="10" t="s">
        <v>1532</v>
      </c>
      <c r="D1635" t="s">
        <v>58</v>
      </c>
      <c r="E1635" t="s">
        <v>3147</v>
      </c>
      <c r="F1635" t="s">
        <v>3792</v>
      </c>
      <c r="G1635">
        <v>50000</v>
      </c>
      <c r="H1635">
        <v>1980</v>
      </c>
      <c r="I1635" t="s">
        <v>3149</v>
      </c>
      <c r="J1635" t="s">
        <v>58</v>
      </c>
      <c r="K1635" t="s">
        <v>61</v>
      </c>
      <c r="L1635" t="s">
        <v>61</v>
      </c>
      <c r="M1635" t="s">
        <v>58</v>
      </c>
      <c r="Q1635" t="s">
        <v>58</v>
      </c>
      <c r="R1635" s="11" t="str">
        <f>HYPERLINK("\\imagefiles.bcgov\imagery\scanned_maps\moe_terrain_maps\Scanned_T_maps_all\K12\K12-2292","\\imagefiles.bcgov\imagery\scanned_maps\moe_terrain_maps\Scanned_T_maps_all\K12\K12-2292")</f>
        <v>\\imagefiles.bcgov\imagery\scanned_maps\moe_terrain_maps\Scanned_T_maps_all\K12\K12-2292</v>
      </c>
      <c r="S1635" t="s">
        <v>62</v>
      </c>
      <c r="T1635" s="11" t="str">
        <f>HYPERLINK("http://www.env.gov.bc.ca/esd/distdata/ecosystems/TEI_Scanned_Maps/K12/K12-2292","http://www.env.gov.bc.ca/esd/distdata/ecosystems/TEI_Scanned_Maps/K12/K12-2292")</f>
        <v>http://www.env.gov.bc.ca/esd/distdata/ecosystems/TEI_Scanned_Maps/K12/K12-2292</v>
      </c>
      <c r="U1635" t="s">
        <v>2495</v>
      </c>
      <c r="V1635" s="11" t="str">
        <f t="shared" si="110"/>
        <v>http://www.em.gov.bc.ca/mining/geolsurv/terrain&amp;soils/frbcguid.htm</v>
      </c>
      <c r="W1635" t="s">
        <v>2489</v>
      </c>
      <c r="X1635" s="11" t="str">
        <f t="shared" si="106"/>
        <v>http://www.em.gov.bc.ca/mining/geolsurv/terrain&amp;soils/frbcguid.htm</v>
      </c>
      <c r="Y1635" t="s">
        <v>269</v>
      </c>
      <c r="Z1635" s="11" t="str">
        <f t="shared" si="108"/>
        <v>http://www.library.for.gov.bc.ca/#focus</v>
      </c>
      <c r="AA1635" t="s">
        <v>2500</v>
      </c>
      <c r="AB1635" s="11" t="str">
        <f t="shared" si="111"/>
        <v>http://www.crownpub.bc.ca/</v>
      </c>
      <c r="AC1635" t="s">
        <v>58</v>
      </c>
      <c r="AD1635" s="11" t="str">
        <f t="shared" si="112"/>
        <v>http://www.env.gov.bc.ca/soils/project/report.html</v>
      </c>
      <c r="AE1635" t="s">
        <v>58</v>
      </c>
      <c r="AG1635" t="s">
        <v>63</v>
      </c>
      <c r="AH1635" s="11" t="str">
        <f t="shared" si="105"/>
        <v>mailto: soilterrain@victoria1.gov.bc.ca</v>
      </c>
    </row>
    <row r="1636" spans="1:34">
      <c r="A1636" t="s">
        <v>3793</v>
      </c>
      <c r="B1636" t="s">
        <v>56</v>
      </c>
      <c r="C1636" s="10" t="s">
        <v>1534</v>
      </c>
      <c r="D1636" t="s">
        <v>58</v>
      </c>
      <c r="E1636" t="s">
        <v>3147</v>
      </c>
      <c r="F1636" t="s">
        <v>3794</v>
      </c>
      <c r="G1636">
        <v>50000</v>
      </c>
      <c r="H1636">
        <v>1978</v>
      </c>
      <c r="I1636" t="s">
        <v>3149</v>
      </c>
      <c r="J1636" t="s">
        <v>58</v>
      </c>
      <c r="K1636" t="s">
        <v>61</v>
      </c>
      <c r="L1636" t="s">
        <v>61</v>
      </c>
      <c r="M1636" t="s">
        <v>58</v>
      </c>
      <c r="Q1636" t="s">
        <v>58</v>
      </c>
      <c r="R1636" s="11" t="str">
        <f>HYPERLINK("\\imagefiles.bcgov\imagery\scanned_maps\moe_terrain_maps\Scanned_T_maps_all\K12\K12-2294","\\imagefiles.bcgov\imagery\scanned_maps\moe_terrain_maps\Scanned_T_maps_all\K12\K12-2294")</f>
        <v>\\imagefiles.bcgov\imagery\scanned_maps\moe_terrain_maps\Scanned_T_maps_all\K12\K12-2294</v>
      </c>
      <c r="S1636" t="s">
        <v>62</v>
      </c>
      <c r="T1636" s="11" t="str">
        <f>HYPERLINK("http://www.env.gov.bc.ca/esd/distdata/ecosystems/TEI_Scanned_Maps/K12/K12-2294","http://www.env.gov.bc.ca/esd/distdata/ecosystems/TEI_Scanned_Maps/K12/K12-2294")</f>
        <v>http://www.env.gov.bc.ca/esd/distdata/ecosystems/TEI_Scanned_Maps/K12/K12-2294</v>
      </c>
      <c r="U1636" t="s">
        <v>2495</v>
      </c>
      <c r="V1636" s="11" t="str">
        <f t="shared" si="110"/>
        <v>http://www.em.gov.bc.ca/mining/geolsurv/terrain&amp;soils/frbcguid.htm</v>
      </c>
      <c r="W1636" t="s">
        <v>2489</v>
      </c>
      <c r="X1636" s="11" t="str">
        <f t="shared" si="106"/>
        <v>http://www.em.gov.bc.ca/mining/geolsurv/terrain&amp;soils/frbcguid.htm</v>
      </c>
      <c r="Y1636" t="s">
        <v>269</v>
      </c>
      <c r="Z1636" s="11" t="str">
        <f t="shared" si="108"/>
        <v>http://www.library.for.gov.bc.ca/#focus</v>
      </c>
      <c r="AA1636" t="s">
        <v>2500</v>
      </c>
      <c r="AB1636" s="11" t="str">
        <f t="shared" si="111"/>
        <v>http://www.crownpub.bc.ca/</v>
      </c>
      <c r="AC1636" t="s">
        <v>58</v>
      </c>
      <c r="AD1636" s="11" t="str">
        <f t="shared" si="112"/>
        <v>http://www.env.gov.bc.ca/soils/project/report.html</v>
      </c>
      <c r="AE1636" t="s">
        <v>58</v>
      </c>
      <c r="AG1636" t="s">
        <v>63</v>
      </c>
      <c r="AH1636" s="11" t="str">
        <f t="shared" si="105"/>
        <v>mailto: soilterrain@victoria1.gov.bc.ca</v>
      </c>
    </row>
    <row r="1637" spans="1:34">
      <c r="A1637" t="s">
        <v>3795</v>
      </c>
      <c r="B1637" t="s">
        <v>56</v>
      </c>
      <c r="C1637" s="10" t="s">
        <v>1536</v>
      </c>
      <c r="D1637" t="s">
        <v>58</v>
      </c>
      <c r="E1637" t="s">
        <v>3147</v>
      </c>
      <c r="F1637" t="s">
        <v>3796</v>
      </c>
      <c r="G1637">
        <v>50000</v>
      </c>
      <c r="H1637">
        <v>1978</v>
      </c>
      <c r="I1637" t="s">
        <v>3149</v>
      </c>
      <c r="J1637" t="s">
        <v>58</v>
      </c>
      <c r="K1637" t="s">
        <v>61</v>
      </c>
      <c r="L1637" t="s">
        <v>61</v>
      </c>
      <c r="M1637" t="s">
        <v>58</v>
      </c>
      <c r="Q1637" t="s">
        <v>58</v>
      </c>
      <c r="R1637" s="11" t="str">
        <f>HYPERLINK("\\imagefiles.bcgov\imagery\scanned_maps\moe_terrain_maps\Scanned_T_maps_all\K12\K12-2296","\\imagefiles.bcgov\imagery\scanned_maps\moe_terrain_maps\Scanned_T_maps_all\K12\K12-2296")</f>
        <v>\\imagefiles.bcgov\imagery\scanned_maps\moe_terrain_maps\Scanned_T_maps_all\K12\K12-2296</v>
      </c>
      <c r="S1637" t="s">
        <v>62</v>
      </c>
      <c r="T1637" s="11" t="str">
        <f>HYPERLINK("http://www.env.gov.bc.ca/esd/distdata/ecosystems/TEI_Scanned_Maps/K12/K12-2296","http://www.env.gov.bc.ca/esd/distdata/ecosystems/TEI_Scanned_Maps/K12/K12-2296")</f>
        <v>http://www.env.gov.bc.ca/esd/distdata/ecosystems/TEI_Scanned_Maps/K12/K12-2296</v>
      </c>
      <c r="U1637" t="s">
        <v>2495</v>
      </c>
      <c r="V1637" s="11" t="str">
        <f t="shared" si="110"/>
        <v>http://www.em.gov.bc.ca/mining/geolsurv/terrain&amp;soils/frbcguid.htm</v>
      </c>
      <c r="W1637" t="s">
        <v>2489</v>
      </c>
      <c r="X1637" s="11" t="str">
        <f t="shared" si="106"/>
        <v>http://www.em.gov.bc.ca/mining/geolsurv/terrain&amp;soils/frbcguid.htm</v>
      </c>
      <c r="Y1637" t="s">
        <v>269</v>
      </c>
      <c r="Z1637" s="11" t="str">
        <f t="shared" si="108"/>
        <v>http://www.library.for.gov.bc.ca/#focus</v>
      </c>
      <c r="AA1637" t="s">
        <v>2500</v>
      </c>
      <c r="AB1637" s="11" t="str">
        <f t="shared" si="111"/>
        <v>http://www.crownpub.bc.ca/</v>
      </c>
      <c r="AC1637" t="s">
        <v>58</v>
      </c>
      <c r="AD1637" s="11" t="str">
        <f t="shared" si="112"/>
        <v>http://www.env.gov.bc.ca/soils/project/report.html</v>
      </c>
      <c r="AE1637" t="s">
        <v>58</v>
      </c>
      <c r="AG1637" t="s">
        <v>63</v>
      </c>
      <c r="AH1637" s="11" t="str">
        <f t="shared" si="105"/>
        <v>mailto: soilterrain@victoria1.gov.bc.ca</v>
      </c>
    </row>
    <row r="1638" spans="1:34">
      <c r="A1638" t="s">
        <v>3797</v>
      </c>
      <c r="B1638" t="s">
        <v>56</v>
      </c>
      <c r="C1638" s="10" t="s">
        <v>1538</v>
      </c>
      <c r="D1638" t="s">
        <v>58</v>
      </c>
      <c r="E1638" t="s">
        <v>3147</v>
      </c>
      <c r="F1638" t="s">
        <v>3798</v>
      </c>
      <c r="G1638">
        <v>50000</v>
      </c>
      <c r="H1638">
        <v>1979</v>
      </c>
      <c r="I1638" t="s">
        <v>3149</v>
      </c>
      <c r="J1638" t="s">
        <v>58</v>
      </c>
      <c r="K1638" t="s">
        <v>61</v>
      </c>
      <c r="L1638" t="s">
        <v>61</v>
      </c>
      <c r="M1638" t="s">
        <v>58</v>
      </c>
      <c r="Q1638" t="s">
        <v>58</v>
      </c>
      <c r="R1638" s="11" t="str">
        <f>HYPERLINK("\\imagefiles.bcgov\imagery\scanned_maps\moe_terrain_maps\Scanned_T_maps_all\K12\K12-2298","\\imagefiles.bcgov\imagery\scanned_maps\moe_terrain_maps\Scanned_T_maps_all\K12\K12-2298")</f>
        <v>\\imagefiles.bcgov\imagery\scanned_maps\moe_terrain_maps\Scanned_T_maps_all\K12\K12-2298</v>
      </c>
      <c r="S1638" t="s">
        <v>62</v>
      </c>
      <c r="T1638" s="11" t="str">
        <f>HYPERLINK("http://www.env.gov.bc.ca/esd/distdata/ecosystems/TEI_Scanned_Maps/K12/K12-2298","http://www.env.gov.bc.ca/esd/distdata/ecosystems/TEI_Scanned_Maps/K12/K12-2298")</f>
        <v>http://www.env.gov.bc.ca/esd/distdata/ecosystems/TEI_Scanned_Maps/K12/K12-2298</v>
      </c>
      <c r="U1638" t="s">
        <v>2495</v>
      </c>
      <c r="V1638" s="11" t="str">
        <f t="shared" si="110"/>
        <v>http://www.em.gov.bc.ca/mining/geolsurv/terrain&amp;soils/frbcguid.htm</v>
      </c>
      <c r="W1638" t="s">
        <v>2489</v>
      </c>
      <c r="X1638" s="11" t="str">
        <f t="shared" si="106"/>
        <v>http://www.em.gov.bc.ca/mining/geolsurv/terrain&amp;soils/frbcguid.htm</v>
      </c>
      <c r="Y1638" t="s">
        <v>269</v>
      </c>
      <c r="Z1638" s="11" t="str">
        <f t="shared" si="108"/>
        <v>http://www.library.for.gov.bc.ca/#focus</v>
      </c>
      <c r="AA1638" t="s">
        <v>2500</v>
      </c>
      <c r="AB1638" s="11" t="str">
        <f t="shared" si="111"/>
        <v>http://www.crownpub.bc.ca/</v>
      </c>
      <c r="AC1638" t="s">
        <v>58</v>
      </c>
      <c r="AD1638" s="11" t="str">
        <f t="shared" si="112"/>
        <v>http://www.env.gov.bc.ca/soils/project/report.html</v>
      </c>
      <c r="AE1638" t="s">
        <v>58</v>
      </c>
      <c r="AG1638" t="s">
        <v>63</v>
      </c>
      <c r="AH1638" s="11" t="str">
        <f t="shared" si="105"/>
        <v>mailto: soilterrain@victoria1.gov.bc.ca</v>
      </c>
    </row>
    <row r="1639" spans="1:34">
      <c r="A1639" t="s">
        <v>3799</v>
      </c>
      <c r="B1639" t="s">
        <v>56</v>
      </c>
      <c r="C1639" s="10" t="s">
        <v>1540</v>
      </c>
      <c r="D1639" t="s">
        <v>58</v>
      </c>
      <c r="E1639" t="s">
        <v>3147</v>
      </c>
      <c r="F1639" t="s">
        <v>3800</v>
      </c>
      <c r="G1639">
        <v>50000</v>
      </c>
      <c r="H1639">
        <v>1979</v>
      </c>
      <c r="I1639" t="s">
        <v>3149</v>
      </c>
      <c r="J1639" t="s">
        <v>58</v>
      </c>
      <c r="K1639" t="s">
        <v>61</v>
      </c>
      <c r="L1639" t="s">
        <v>61</v>
      </c>
      <c r="M1639" t="s">
        <v>58</v>
      </c>
      <c r="Q1639" t="s">
        <v>58</v>
      </c>
      <c r="R1639" s="11" t="str">
        <f>HYPERLINK("\\imagefiles.bcgov\imagery\scanned_maps\moe_terrain_maps\Scanned_T_maps_all\K12\K12-2300","\\imagefiles.bcgov\imagery\scanned_maps\moe_terrain_maps\Scanned_T_maps_all\K12\K12-2300")</f>
        <v>\\imagefiles.bcgov\imagery\scanned_maps\moe_terrain_maps\Scanned_T_maps_all\K12\K12-2300</v>
      </c>
      <c r="S1639" t="s">
        <v>62</v>
      </c>
      <c r="T1639" s="11" t="str">
        <f>HYPERLINK("http://www.env.gov.bc.ca/esd/distdata/ecosystems/TEI_Scanned_Maps/K12/K12-2300","http://www.env.gov.bc.ca/esd/distdata/ecosystems/TEI_Scanned_Maps/K12/K12-2300")</f>
        <v>http://www.env.gov.bc.ca/esd/distdata/ecosystems/TEI_Scanned_Maps/K12/K12-2300</v>
      </c>
      <c r="U1639" t="s">
        <v>2495</v>
      </c>
      <c r="V1639" s="11" t="str">
        <f t="shared" si="110"/>
        <v>http://www.em.gov.bc.ca/mining/geolsurv/terrain&amp;soils/frbcguid.htm</v>
      </c>
      <c r="W1639" t="s">
        <v>2489</v>
      </c>
      <c r="X1639" s="11" t="str">
        <f t="shared" si="106"/>
        <v>http://www.em.gov.bc.ca/mining/geolsurv/terrain&amp;soils/frbcguid.htm</v>
      </c>
      <c r="Y1639" t="s">
        <v>269</v>
      </c>
      <c r="Z1639" s="11" t="str">
        <f t="shared" si="108"/>
        <v>http://www.library.for.gov.bc.ca/#focus</v>
      </c>
      <c r="AA1639" t="s">
        <v>2500</v>
      </c>
      <c r="AB1639" s="11" t="str">
        <f t="shared" si="111"/>
        <v>http://www.crownpub.bc.ca/</v>
      </c>
      <c r="AC1639" t="s">
        <v>58</v>
      </c>
      <c r="AD1639" s="11" t="str">
        <f t="shared" si="112"/>
        <v>http://www.env.gov.bc.ca/soils/project/report.html</v>
      </c>
      <c r="AE1639" t="s">
        <v>58</v>
      </c>
      <c r="AG1639" t="s">
        <v>63</v>
      </c>
      <c r="AH1639" s="11" t="str">
        <f t="shared" si="105"/>
        <v>mailto: soilterrain@victoria1.gov.bc.ca</v>
      </c>
    </row>
    <row r="1640" spans="1:34">
      <c r="A1640" t="s">
        <v>3801</v>
      </c>
      <c r="B1640" t="s">
        <v>56</v>
      </c>
      <c r="C1640" s="10" t="s">
        <v>3802</v>
      </c>
      <c r="D1640" t="s">
        <v>58</v>
      </c>
      <c r="E1640" t="s">
        <v>3158</v>
      </c>
      <c r="F1640" t="s">
        <v>3803</v>
      </c>
      <c r="G1640">
        <v>50000</v>
      </c>
      <c r="H1640">
        <v>1985</v>
      </c>
      <c r="I1640" t="s">
        <v>3160</v>
      </c>
      <c r="J1640" t="s">
        <v>58</v>
      </c>
      <c r="K1640" t="s">
        <v>61</v>
      </c>
      <c r="L1640" t="s">
        <v>61</v>
      </c>
      <c r="M1640" t="s">
        <v>58</v>
      </c>
      <c r="Q1640" t="s">
        <v>58</v>
      </c>
      <c r="R1640" s="11" t="str">
        <f>HYPERLINK("\\imagefiles.bcgov\imagery\scanned_maps\moe_terrain_maps\Scanned_T_maps_all\K12\K12-2320","\\imagefiles.bcgov\imagery\scanned_maps\moe_terrain_maps\Scanned_T_maps_all\K12\K12-2320")</f>
        <v>\\imagefiles.bcgov\imagery\scanned_maps\moe_terrain_maps\Scanned_T_maps_all\K12\K12-2320</v>
      </c>
      <c r="S1640" t="s">
        <v>62</v>
      </c>
      <c r="T1640" s="11" t="str">
        <f>HYPERLINK("http://www.env.gov.bc.ca/esd/distdata/ecosystems/TEI_Scanned_Maps/K12/K12-2320","http://www.env.gov.bc.ca/esd/distdata/ecosystems/TEI_Scanned_Maps/K12/K12-2320")</f>
        <v>http://www.env.gov.bc.ca/esd/distdata/ecosystems/TEI_Scanned_Maps/K12/K12-2320</v>
      </c>
      <c r="U1640" t="s">
        <v>2487</v>
      </c>
      <c r="V1640" s="11" t="str">
        <f>HYPERLINK("http://res.agr.ca/cansis/publications/surveys/bc/","http://res.agr.ca/cansis/publications/surveys/bc/")</f>
        <v>http://res.agr.ca/cansis/publications/surveys/bc/</v>
      </c>
      <c r="W1640" t="s">
        <v>2495</v>
      </c>
      <c r="X1640" s="11" t="str">
        <f t="shared" si="106"/>
        <v>http://www.em.gov.bc.ca/mining/geolsurv/terrain&amp;soils/frbcguid.htm</v>
      </c>
      <c r="Y1640" t="s">
        <v>2489</v>
      </c>
      <c r="Z1640" s="11" t="str">
        <f>HYPERLINK("http://www.em.gov.bc.ca/mining/geolsurv/terrain&amp;soils/frbcguid.htm","http://www.em.gov.bc.ca/mining/geolsurv/terrain&amp;soils/frbcguid.htm")</f>
        <v>http://www.em.gov.bc.ca/mining/geolsurv/terrain&amp;soils/frbcguid.htm</v>
      </c>
      <c r="AA1640" t="s">
        <v>269</v>
      </c>
      <c r="AB1640" s="11" t="str">
        <f>HYPERLINK("http://www.library.for.gov.bc.ca/#focus","http://www.library.for.gov.bc.ca/#focus")</f>
        <v>http://www.library.for.gov.bc.ca/#focus</v>
      </c>
      <c r="AC1640" t="s">
        <v>3053</v>
      </c>
      <c r="AD1640" s="11" t="str">
        <f>HYPERLINK("http://www.prsss.ca/","http://www.prsss.ca/")</f>
        <v>http://www.prsss.ca/</v>
      </c>
      <c r="AE1640" t="s">
        <v>58</v>
      </c>
      <c r="AG1640" t="s">
        <v>63</v>
      </c>
      <c r="AH1640" s="11" t="str">
        <f t="shared" si="105"/>
        <v>mailto: soilterrain@victoria1.gov.bc.ca</v>
      </c>
    </row>
    <row r="1641" spans="1:34">
      <c r="A1641" t="s">
        <v>3804</v>
      </c>
      <c r="B1641" t="s">
        <v>56</v>
      </c>
      <c r="C1641" s="10" t="s">
        <v>1571</v>
      </c>
      <c r="D1641" t="s">
        <v>58</v>
      </c>
      <c r="E1641" t="s">
        <v>3147</v>
      </c>
      <c r="F1641" t="s">
        <v>3805</v>
      </c>
      <c r="G1641">
        <v>50000</v>
      </c>
      <c r="H1641">
        <v>1987</v>
      </c>
      <c r="I1641" t="s">
        <v>3149</v>
      </c>
      <c r="J1641" t="s">
        <v>58</v>
      </c>
      <c r="K1641" t="s">
        <v>61</v>
      </c>
      <c r="L1641" t="s">
        <v>61</v>
      </c>
      <c r="M1641" t="s">
        <v>58</v>
      </c>
      <c r="Q1641" t="s">
        <v>58</v>
      </c>
      <c r="R1641" s="11" t="str">
        <f>HYPERLINK("\\imagefiles.bcgov\imagery\scanned_maps\moe_terrain_maps\Scanned_T_maps_all\K13\K13-2392","\\imagefiles.bcgov\imagery\scanned_maps\moe_terrain_maps\Scanned_T_maps_all\K13\K13-2392")</f>
        <v>\\imagefiles.bcgov\imagery\scanned_maps\moe_terrain_maps\Scanned_T_maps_all\K13\K13-2392</v>
      </c>
      <c r="S1641" t="s">
        <v>62</v>
      </c>
      <c r="T1641" s="11" t="str">
        <f>HYPERLINK("http://www.env.gov.bc.ca/esd/distdata/ecosystems/TEI_Scanned_Maps/K13/K13-2392","http://www.env.gov.bc.ca/esd/distdata/ecosystems/TEI_Scanned_Maps/K13/K13-2392")</f>
        <v>http://www.env.gov.bc.ca/esd/distdata/ecosystems/TEI_Scanned_Maps/K13/K13-2392</v>
      </c>
      <c r="U1641" t="s">
        <v>2495</v>
      </c>
      <c r="V1641" s="11" t="str">
        <f>HYPERLINK("http://www.em.gov.bc.ca/mining/geolsurv/terrain&amp;soils/frbcguid.htm","http://www.em.gov.bc.ca/mining/geolsurv/terrain&amp;soils/frbcguid.htm")</f>
        <v>http://www.em.gov.bc.ca/mining/geolsurv/terrain&amp;soils/frbcguid.htm</v>
      </c>
      <c r="W1641" t="s">
        <v>2489</v>
      </c>
      <c r="X1641" s="11" t="str">
        <f t="shared" si="106"/>
        <v>http://www.em.gov.bc.ca/mining/geolsurv/terrain&amp;soils/frbcguid.htm</v>
      </c>
      <c r="Y1641" t="s">
        <v>269</v>
      </c>
      <c r="Z1641" s="11" t="str">
        <f>HYPERLINK("http://www.library.for.gov.bc.ca/#focus","http://www.library.for.gov.bc.ca/#focus")</f>
        <v>http://www.library.for.gov.bc.ca/#focus</v>
      </c>
      <c r="AA1641" t="s">
        <v>2500</v>
      </c>
      <c r="AB1641" s="11" t="str">
        <f>HYPERLINK("http://www.crownpub.bc.ca/","http://www.crownpub.bc.ca/")</f>
        <v>http://www.crownpub.bc.ca/</v>
      </c>
      <c r="AC1641" t="s">
        <v>58</v>
      </c>
      <c r="AD1641" s="11" t="str">
        <f>HYPERLINK("http://www.env.gov.bc.ca/soils/project/report.html","http://www.env.gov.bc.ca/soils/project/report.html")</f>
        <v>http://www.env.gov.bc.ca/soils/project/report.html</v>
      </c>
      <c r="AE1641" t="s">
        <v>58</v>
      </c>
      <c r="AG1641" t="s">
        <v>63</v>
      </c>
      <c r="AH1641" s="11" t="str">
        <f t="shared" si="105"/>
        <v>mailto: soilterrain@victoria1.gov.bc.ca</v>
      </c>
    </row>
    <row r="1642" spans="1:34">
      <c r="A1642" t="s">
        <v>3806</v>
      </c>
      <c r="B1642" t="s">
        <v>56</v>
      </c>
      <c r="C1642" s="10" t="s">
        <v>1600</v>
      </c>
      <c r="D1642" t="s">
        <v>58</v>
      </c>
      <c r="E1642" t="s">
        <v>3193</v>
      </c>
      <c r="F1642" t="s">
        <v>3807</v>
      </c>
      <c r="G1642">
        <v>50000</v>
      </c>
      <c r="H1642">
        <v>1988</v>
      </c>
      <c r="I1642" t="s">
        <v>3195</v>
      </c>
      <c r="J1642" t="s">
        <v>58</v>
      </c>
      <c r="K1642" t="s">
        <v>58</v>
      </c>
      <c r="L1642" t="s">
        <v>61</v>
      </c>
      <c r="M1642" t="s">
        <v>58</v>
      </c>
      <c r="Q1642" t="s">
        <v>58</v>
      </c>
      <c r="R1642" s="11" t="str">
        <f>HYPERLINK("\\imagefiles.bcgov\imagery\scanned_maps\moe_terrain_maps\Scanned_T_maps_all\K13\K13-2437","\\imagefiles.bcgov\imagery\scanned_maps\moe_terrain_maps\Scanned_T_maps_all\K13\K13-2437")</f>
        <v>\\imagefiles.bcgov\imagery\scanned_maps\moe_terrain_maps\Scanned_T_maps_all\K13\K13-2437</v>
      </c>
      <c r="S1642" t="s">
        <v>62</v>
      </c>
      <c r="T1642" s="11" t="str">
        <f>HYPERLINK("http://www.env.gov.bc.ca/esd/distdata/ecosystems/TEI_Scanned_Maps/K13/K13-2437","http://www.env.gov.bc.ca/esd/distdata/ecosystems/TEI_Scanned_Maps/K13/K13-2437")</f>
        <v>http://www.env.gov.bc.ca/esd/distdata/ecosystems/TEI_Scanned_Maps/K13/K13-2437</v>
      </c>
      <c r="U1642" t="s">
        <v>2495</v>
      </c>
      <c r="V1642" s="11" t="str">
        <f>HYPERLINK("http://www.em.gov.bc.ca/mining/geolsurv/terrain&amp;soils/frbcguid.htm","http://www.em.gov.bc.ca/mining/geolsurv/terrain&amp;soils/frbcguid.htm")</f>
        <v>http://www.em.gov.bc.ca/mining/geolsurv/terrain&amp;soils/frbcguid.htm</v>
      </c>
      <c r="W1642" t="s">
        <v>269</v>
      </c>
      <c r="X1642" s="11" t="str">
        <f>HYPERLINK("http://www.library.for.gov.bc.ca/#focus","http://www.library.for.gov.bc.ca/#focus")</f>
        <v>http://www.library.for.gov.bc.ca/#focus</v>
      </c>
      <c r="Y1642" t="s">
        <v>2500</v>
      </c>
      <c r="Z1642" s="11" t="str">
        <f>HYPERLINK("http://www.crownpub.bc.ca/","http://www.crownpub.bc.ca/")</f>
        <v>http://www.crownpub.bc.ca/</v>
      </c>
      <c r="AA1642" t="s">
        <v>58</v>
      </c>
      <c r="AC1642" t="s">
        <v>58</v>
      </c>
      <c r="AE1642" t="s">
        <v>58</v>
      </c>
      <c r="AG1642" t="s">
        <v>63</v>
      </c>
      <c r="AH1642" s="11" t="str">
        <f t="shared" si="105"/>
        <v>mailto: soilterrain@victoria1.gov.bc.ca</v>
      </c>
    </row>
    <row r="1643" spans="1:34">
      <c r="A1643" t="s">
        <v>3808</v>
      </c>
      <c r="B1643" t="s">
        <v>56</v>
      </c>
      <c r="C1643" s="10" t="s">
        <v>1653</v>
      </c>
      <c r="D1643" t="s">
        <v>58</v>
      </c>
      <c r="E1643" t="s">
        <v>2497</v>
      </c>
      <c r="F1643" t="s">
        <v>3809</v>
      </c>
      <c r="G1643">
        <v>50000</v>
      </c>
      <c r="H1643">
        <v>1986</v>
      </c>
      <c r="I1643" t="s">
        <v>2499</v>
      </c>
      <c r="J1643" t="s">
        <v>58</v>
      </c>
      <c r="K1643" t="s">
        <v>61</v>
      </c>
      <c r="L1643" t="s">
        <v>61</v>
      </c>
      <c r="M1643" t="s">
        <v>58</v>
      </c>
      <c r="Q1643" t="s">
        <v>58</v>
      </c>
      <c r="R1643" s="11" t="str">
        <f>HYPERLINK("\\imagefiles.bcgov\imagery\scanned_maps\moe_terrain_maps\Scanned_T_maps_all\K14\K14-2503","\\imagefiles.bcgov\imagery\scanned_maps\moe_terrain_maps\Scanned_T_maps_all\K14\K14-2503")</f>
        <v>\\imagefiles.bcgov\imagery\scanned_maps\moe_terrain_maps\Scanned_T_maps_all\K14\K14-2503</v>
      </c>
      <c r="S1643" t="s">
        <v>62</v>
      </c>
      <c r="T1643" s="11" t="str">
        <f>HYPERLINK("http://www.env.gov.bc.ca/esd/distdata/ecosystems/TEI_Scanned_Maps/K14/K14-2503","http://www.env.gov.bc.ca/esd/distdata/ecosystems/TEI_Scanned_Maps/K14/K14-2503")</f>
        <v>http://www.env.gov.bc.ca/esd/distdata/ecosystems/TEI_Scanned_Maps/K14/K14-2503</v>
      </c>
      <c r="U1643" t="s">
        <v>2495</v>
      </c>
      <c r="V1643" s="11" t="str">
        <f>HYPERLINK("http://www.em.gov.bc.ca/mining/geolsurv/terrain&amp;soils/frbcguid.htm","http://www.em.gov.bc.ca/mining/geolsurv/terrain&amp;soils/frbcguid.htm")</f>
        <v>http://www.em.gov.bc.ca/mining/geolsurv/terrain&amp;soils/frbcguid.htm</v>
      </c>
      <c r="W1643" t="s">
        <v>2489</v>
      </c>
      <c r="X1643" s="11" t="str">
        <f>HYPERLINK("http://www.em.gov.bc.ca/mining/geolsurv/terrain&amp;soils/frbcguid.htm","http://www.em.gov.bc.ca/mining/geolsurv/terrain&amp;soils/frbcguid.htm")</f>
        <v>http://www.em.gov.bc.ca/mining/geolsurv/terrain&amp;soils/frbcguid.htm</v>
      </c>
      <c r="Y1643" t="s">
        <v>269</v>
      </c>
      <c r="Z1643" s="11" t="str">
        <f>HYPERLINK("http://www.library.for.gov.bc.ca/#focus","http://www.library.for.gov.bc.ca/#focus")</f>
        <v>http://www.library.for.gov.bc.ca/#focus</v>
      </c>
      <c r="AA1643" t="s">
        <v>2500</v>
      </c>
      <c r="AB1643" s="11" t="str">
        <f>HYPERLINK("http://www.crownpub.bc.ca/","http://www.crownpub.bc.ca/")</f>
        <v>http://www.crownpub.bc.ca/</v>
      </c>
      <c r="AC1643" t="s">
        <v>58</v>
      </c>
      <c r="AE1643" t="s">
        <v>58</v>
      </c>
      <c r="AG1643" t="s">
        <v>63</v>
      </c>
      <c r="AH1643" s="11" t="str">
        <f t="shared" si="105"/>
        <v>mailto: soilterrain@victoria1.gov.bc.ca</v>
      </c>
    </row>
    <row r="1644" spans="1:34">
      <c r="A1644" t="s">
        <v>3810</v>
      </c>
      <c r="B1644" t="s">
        <v>56</v>
      </c>
      <c r="C1644" s="10" t="s">
        <v>3811</v>
      </c>
      <c r="D1644" t="s">
        <v>58</v>
      </c>
      <c r="E1644" t="s">
        <v>3182</v>
      </c>
      <c r="F1644" t="s">
        <v>3812</v>
      </c>
      <c r="G1644">
        <v>50000</v>
      </c>
      <c r="H1644">
        <v>1987</v>
      </c>
      <c r="I1644" t="s">
        <v>3184</v>
      </c>
      <c r="J1644" t="s">
        <v>58</v>
      </c>
      <c r="K1644" t="s">
        <v>58</v>
      </c>
      <c r="L1644" t="s">
        <v>61</v>
      </c>
      <c r="M1644" t="s">
        <v>58</v>
      </c>
      <c r="Q1644" t="s">
        <v>58</v>
      </c>
      <c r="R1644" s="11" t="str">
        <f>HYPERLINK("\\imagefiles.bcgov\imagery\scanned_maps\moe_terrain_maps\Scanned_T_maps_all\K14\K14-2565","\\imagefiles.bcgov\imagery\scanned_maps\moe_terrain_maps\Scanned_T_maps_all\K14\K14-2565")</f>
        <v>\\imagefiles.bcgov\imagery\scanned_maps\moe_terrain_maps\Scanned_T_maps_all\K14\K14-2565</v>
      </c>
      <c r="S1644" t="s">
        <v>62</v>
      </c>
      <c r="T1644" s="11" t="str">
        <f>HYPERLINK("http://www.env.gov.bc.ca/esd/distdata/ecosystems/TEI_Scanned_Maps/K14/K14-2565","http://www.env.gov.bc.ca/esd/distdata/ecosystems/TEI_Scanned_Maps/K14/K14-2565")</f>
        <v>http://www.env.gov.bc.ca/esd/distdata/ecosystems/TEI_Scanned_Maps/K14/K14-2565</v>
      </c>
      <c r="U1644" t="s">
        <v>2495</v>
      </c>
      <c r="V1644" s="11" t="str">
        <f>HYPERLINK("http://www.em.gov.bc.ca/mining/geolsurv/terrain&amp;soils/frbcguid.htm","http://www.em.gov.bc.ca/mining/geolsurv/terrain&amp;soils/frbcguid.htm")</f>
        <v>http://www.em.gov.bc.ca/mining/geolsurv/terrain&amp;soils/frbcguid.htm</v>
      </c>
      <c r="W1644" t="s">
        <v>2489</v>
      </c>
      <c r="X1644" s="11" t="str">
        <f>HYPERLINK("http://www.em.gov.bc.ca/mining/geolsurv/terrain&amp;soils/frbcguid.htm","http://www.em.gov.bc.ca/mining/geolsurv/terrain&amp;soils/frbcguid.htm")</f>
        <v>http://www.em.gov.bc.ca/mining/geolsurv/terrain&amp;soils/frbcguid.htm</v>
      </c>
      <c r="Y1644" t="s">
        <v>269</v>
      </c>
      <c r="Z1644" s="11" t="str">
        <f>HYPERLINK("http://www.library.for.gov.bc.ca/#focus","http://www.library.for.gov.bc.ca/#focus")</f>
        <v>http://www.library.for.gov.bc.ca/#focus</v>
      </c>
      <c r="AA1644" t="s">
        <v>58</v>
      </c>
      <c r="AC1644" t="s">
        <v>58</v>
      </c>
      <c r="AE1644" t="s">
        <v>58</v>
      </c>
      <c r="AG1644" t="s">
        <v>63</v>
      </c>
      <c r="AH1644" s="11" t="str">
        <f t="shared" si="105"/>
        <v>mailto: soilterrain@victoria1.gov.bc.ca</v>
      </c>
    </row>
    <row r="1645" spans="1:34">
      <c r="A1645" t="s">
        <v>3813</v>
      </c>
      <c r="B1645" t="s">
        <v>56</v>
      </c>
      <c r="C1645" s="10" t="s">
        <v>3814</v>
      </c>
      <c r="D1645" t="s">
        <v>58</v>
      </c>
      <c r="E1645" t="s">
        <v>3193</v>
      </c>
      <c r="F1645" t="s">
        <v>3815</v>
      </c>
      <c r="G1645">
        <v>50000</v>
      </c>
      <c r="H1645">
        <v>1987</v>
      </c>
      <c r="I1645" t="s">
        <v>3195</v>
      </c>
      <c r="J1645" t="s">
        <v>58</v>
      </c>
      <c r="K1645" t="s">
        <v>58</v>
      </c>
      <c r="L1645" t="s">
        <v>61</v>
      </c>
      <c r="M1645" t="s">
        <v>58</v>
      </c>
      <c r="Q1645" t="s">
        <v>58</v>
      </c>
      <c r="R1645" s="11" t="str">
        <f>HYPERLINK("\\imagefiles.bcgov\imagery\scanned_maps\moe_terrain_maps\Scanned_T_maps_all\K14\K14-2581","\\imagefiles.bcgov\imagery\scanned_maps\moe_terrain_maps\Scanned_T_maps_all\K14\K14-2581")</f>
        <v>\\imagefiles.bcgov\imagery\scanned_maps\moe_terrain_maps\Scanned_T_maps_all\K14\K14-2581</v>
      </c>
      <c r="S1645" t="s">
        <v>62</v>
      </c>
      <c r="T1645" s="11" t="str">
        <f>HYPERLINK("http://www.env.gov.bc.ca/esd/distdata/ecosystems/TEI_Scanned_Maps/K14/K14-2581","http://www.env.gov.bc.ca/esd/distdata/ecosystems/TEI_Scanned_Maps/K14/K14-2581")</f>
        <v>http://www.env.gov.bc.ca/esd/distdata/ecosystems/TEI_Scanned_Maps/K14/K14-2581</v>
      </c>
      <c r="U1645" t="s">
        <v>2495</v>
      </c>
      <c r="V1645" s="11" t="str">
        <f>HYPERLINK("http://www.em.gov.bc.ca/mining/geolsurv/terrain&amp;soils/frbcguid.htm","http://www.em.gov.bc.ca/mining/geolsurv/terrain&amp;soils/frbcguid.htm")</f>
        <v>http://www.em.gov.bc.ca/mining/geolsurv/terrain&amp;soils/frbcguid.htm</v>
      </c>
      <c r="W1645" t="s">
        <v>269</v>
      </c>
      <c r="X1645" s="11" t="str">
        <f>HYPERLINK("http://www.library.for.gov.bc.ca/#focus","http://www.library.for.gov.bc.ca/#focus")</f>
        <v>http://www.library.for.gov.bc.ca/#focus</v>
      </c>
      <c r="Y1645" t="s">
        <v>2500</v>
      </c>
      <c r="Z1645" s="11" t="str">
        <f>HYPERLINK("http://www.crownpub.bc.ca/","http://www.crownpub.bc.ca/")</f>
        <v>http://www.crownpub.bc.ca/</v>
      </c>
      <c r="AA1645" t="s">
        <v>58</v>
      </c>
      <c r="AC1645" t="s">
        <v>58</v>
      </c>
      <c r="AE1645" t="s">
        <v>58</v>
      </c>
      <c r="AG1645" t="s">
        <v>63</v>
      </c>
      <c r="AH1645" s="11" t="str">
        <f t="shared" si="105"/>
        <v>mailto: soilterrain@victoria1.gov.bc.ca</v>
      </c>
    </row>
    <row r="1646" spans="1:34">
      <c r="A1646" t="s">
        <v>3816</v>
      </c>
      <c r="B1646" t="s">
        <v>56</v>
      </c>
      <c r="C1646" s="10" t="s">
        <v>429</v>
      </c>
      <c r="D1646" t="s">
        <v>58</v>
      </c>
      <c r="E1646" t="s">
        <v>58</v>
      </c>
      <c r="F1646" t="s">
        <v>3817</v>
      </c>
      <c r="G1646">
        <v>50000</v>
      </c>
      <c r="H1646">
        <v>1987</v>
      </c>
      <c r="I1646" t="s">
        <v>58</v>
      </c>
      <c r="J1646" t="s">
        <v>58</v>
      </c>
      <c r="K1646" t="s">
        <v>58</v>
      </c>
      <c r="L1646" t="s">
        <v>61</v>
      </c>
      <c r="M1646" t="s">
        <v>58</v>
      </c>
      <c r="Q1646" t="s">
        <v>58</v>
      </c>
      <c r="R1646" s="11" t="str">
        <f>HYPERLINK("\\imagefiles.bcgov\imagery\scanned_maps\moe_terrain_maps\Scanned_T_maps_all\K14\K14-2606","\\imagefiles.bcgov\imagery\scanned_maps\moe_terrain_maps\Scanned_T_maps_all\K14\K14-2606")</f>
        <v>\\imagefiles.bcgov\imagery\scanned_maps\moe_terrain_maps\Scanned_T_maps_all\K14\K14-2606</v>
      </c>
      <c r="S1646" t="s">
        <v>62</v>
      </c>
      <c r="T1646" s="11" t="str">
        <f>HYPERLINK("http://www.env.gov.bc.ca/esd/distdata/ecosystems/TEI_Scanned_Maps/K14/K14-2606","http://www.env.gov.bc.ca/esd/distdata/ecosystems/TEI_Scanned_Maps/K14/K14-2606")</f>
        <v>http://www.env.gov.bc.ca/esd/distdata/ecosystems/TEI_Scanned_Maps/K14/K14-2606</v>
      </c>
      <c r="U1646" t="s">
        <v>58</v>
      </c>
      <c r="V1646" t="s">
        <v>58</v>
      </c>
      <c r="W1646" t="s">
        <v>58</v>
      </c>
      <c r="X1646" t="s">
        <v>58</v>
      </c>
      <c r="Y1646" t="s">
        <v>58</v>
      </c>
      <c r="Z1646" t="s">
        <v>58</v>
      </c>
      <c r="AA1646" t="s">
        <v>58</v>
      </c>
      <c r="AC1646" t="s">
        <v>58</v>
      </c>
      <c r="AE1646" t="s">
        <v>58</v>
      </c>
      <c r="AG1646" t="s">
        <v>63</v>
      </c>
      <c r="AH1646" s="11" t="str">
        <f t="shared" si="105"/>
        <v>mailto: soilterrain@victoria1.gov.bc.ca</v>
      </c>
    </row>
    <row r="1647" spans="1:34">
      <c r="A1647" t="s">
        <v>3818</v>
      </c>
      <c r="B1647" t="s">
        <v>56</v>
      </c>
      <c r="C1647" s="10" t="s">
        <v>438</v>
      </c>
      <c r="D1647" t="s">
        <v>58</v>
      </c>
      <c r="E1647" t="s">
        <v>58</v>
      </c>
      <c r="F1647" t="s">
        <v>3819</v>
      </c>
      <c r="G1647">
        <v>50000</v>
      </c>
      <c r="H1647">
        <v>1987</v>
      </c>
      <c r="I1647" t="s">
        <v>58</v>
      </c>
      <c r="J1647" t="s">
        <v>58</v>
      </c>
      <c r="K1647" t="s">
        <v>58</v>
      </c>
      <c r="L1647" t="s">
        <v>61</v>
      </c>
      <c r="M1647" t="s">
        <v>58</v>
      </c>
      <c r="Q1647" t="s">
        <v>58</v>
      </c>
      <c r="R1647" s="11" t="str">
        <f>HYPERLINK("\\imagefiles.bcgov\imagery\scanned_maps\moe_terrain_maps\Scanned_T_maps_all\K14\K14-2608","\\imagefiles.bcgov\imagery\scanned_maps\moe_terrain_maps\Scanned_T_maps_all\K14\K14-2608")</f>
        <v>\\imagefiles.bcgov\imagery\scanned_maps\moe_terrain_maps\Scanned_T_maps_all\K14\K14-2608</v>
      </c>
      <c r="S1647" t="s">
        <v>62</v>
      </c>
      <c r="T1647" s="11" t="str">
        <f>HYPERLINK("http://www.env.gov.bc.ca/esd/distdata/ecosystems/TEI_Scanned_Maps/K14/K14-2608","http://www.env.gov.bc.ca/esd/distdata/ecosystems/TEI_Scanned_Maps/K14/K14-2608")</f>
        <v>http://www.env.gov.bc.ca/esd/distdata/ecosystems/TEI_Scanned_Maps/K14/K14-2608</v>
      </c>
      <c r="U1647" t="s">
        <v>58</v>
      </c>
      <c r="V1647" t="s">
        <v>58</v>
      </c>
      <c r="W1647" t="s">
        <v>58</v>
      </c>
      <c r="X1647" t="s">
        <v>58</v>
      </c>
      <c r="Y1647" t="s">
        <v>58</v>
      </c>
      <c r="Z1647" t="s">
        <v>58</v>
      </c>
      <c r="AA1647" t="s">
        <v>58</v>
      </c>
      <c r="AC1647" t="s">
        <v>58</v>
      </c>
      <c r="AE1647" t="s">
        <v>58</v>
      </c>
      <c r="AG1647" t="s">
        <v>63</v>
      </c>
      <c r="AH1647" s="11" t="str">
        <f t="shared" si="105"/>
        <v>mailto: soilterrain@victoria1.gov.bc.ca</v>
      </c>
    </row>
    <row r="1648" spans="1:34">
      <c r="A1648" t="s">
        <v>3820</v>
      </c>
      <c r="B1648" t="s">
        <v>56</v>
      </c>
      <c r="C1648" s="10" t="s">
        <v>456</v>
      </c>
      <c r="D1648" t="s">
        <v>58</v>
      </c>
      <c r="E1648" t="s">
        <v>58</v>
      </c>
      <c r="F1648" t="s">
        <v>3821</v>
      </c>
      <c r="G1648">
        <v>50000</v>
      </c>
      <c r="H1648">
        <v>1987</v>
      </c>
      <c r="I1648" t="s">
        <v>58</v>
      </c>
      <c r="J1648" t="s">
        <v>58</v>
      </c>
      <c r="K1648" t="s">
        <v>58</v>
      </c>
      <c r="L1648" t="s">
        <v>61</v>
      </c>
      <c r="M1648" t="s">
        <v>58</v>
      </c>
      <c r="Q1648" t="s">
        <v>58</v>
      </c>
      <c r="R1648" s="11" t="str">
        <f>HYPERLINK("\\imagefiles.bcgov\imagery\scanned_maps\moe_terrain_maps\Scanned_T_maps_all\K14\K14-2610","\\imagefiles.bcgov\imagery\scanned_maps\moe_terrain_maps\Scanned_T_maps_all\K14\K14-2610")</f>
        <v>\\imagefiles.bcgov\imagery\scanned_maps\moe_terrain_maps\Scanned_T_maps_all\K14\K14-2610</v>
      </c>
      <c r="S1648" t="s">
        <v>62</v>
      </c>
      <c r="T1648" s="11" t="str">
        <f>HYPERLINK("http://www.env.gov.bc.ca/esd/distdata/ecosystems/TEI_Scanned_Maps/K14/K14-2610","http://www.env.gov.bc.ca/esd/distdata/ecosystems/TEI_Scanned_Maps/K14/K14-2610")</f>
        <v>http://www.env.gov.bc.ca/esd/distdata/ecosystems/TEI_Scanned_Maps/K14/K14-2610</v>
      </c>
      <c r="U1648" t="s">
        <v>58</v>
      </c>
      <c r="V1648" t="s">
        <v>58</v>
      </c>
      <c r="W1648" t="s">
        <v>58</v>
      </c>
      <c r="X1648" t="s">
        <v>58</v>
      </c>
      <c r="Y1648" t="s">
        <v>58</v>
      </c>
      <c r="Z1648" t="s">
        <v>58</v>
      </c>
      <c r="AA1648" t="s">
        <v>58</v>
      </c>
      <c r="AC1648" t="s">
        <v>58</v>
      </c>
      <c r="AE1648" t="s">
        <v>58</v>
      </c>
      <c r="AG1648" t="s">
        <v>63</v>
      </c>
      <c r="AH1648" s="11" t="str">
        <f t="shared" si="105"/>
        <v>mailto: soilterrain@victoria1.gov.bc.ca</v>
      </c>
    </row>
    <row r="1649" spans="1:34">
      <c r="A1649" t="s">
        <v>3822</v>
      </c>
      <c r="B1649" t="s">
        <v>56</v>
      </c>
      <c r="C1649" s="10" t="s">
        <v>451</v>
      </c>
      <c r="D1649" t="s">
        <v>58</v>
      </c>
      <c r="E1649" t="s">
        <v>58</v>
      </c>
      <c r="F1649" t="s">
        <v>3823</v>
      </c>
      <c r="G1649">
        <v>50000</v>
      </c>
      <c r="H1649">
        <v>1987</v>
      </c>
      <c r="I1649" t="s">
        <v>58</v>
      </c>
      <c r="J1649" t="s">
        <v>58</v>
      </c>
      <c r="K1649" t="s">
        <v>58</v>
      </c>
      <c r="L1649" t="s">
        <v>61</v>
      </c>
      <c r="M1649" t="s">
        <v>58</v>
      </c>
      <c r="Q1649" t="s">
        <v>58</v>
      </c>
      <c r="R1649" s="11" t="str">
        <f>HYPERLINK("\\imagefiles.bcgov\imagery\scanned_maps\moe_terrain_maps\Scanned_T_maps_all\K14\K14-2612","\\imagefiles.bcgov\imagery\scanned_maps\moe_terrain_maps\Scanned_T_maps_all\K14\K14-2612")</f>
        <v>\\imagefiles.bcgov\imagery\scanned_maps\moe_terrain_maps\Scanned_T_maps_all\K14\K14-2612</v>
      </c>
      <c r="S1649" t="s">
        <v>62</v>
      </c>
      <c r="T1649" s="11" t="str">
        <f>HYPERLINK("http://www.env.gov.bc.ca/esd/distdata/ecosystems/TEI_Scanned_Maps/K14/K14-2612","http://www.env.gov.bc.ca/esd/distdata/ecosystems/TEI_Scanned_Maps/K14/K14-2612")</f>
        <v>http://www.env.gov.bc.ca/esd/distdata/ecosystems/TEI_Scanned_Maps/K14/K14-2612</v>
      </c>
      <c r="U1649" t="s">
        <v>58</v>
      </c>
      <c r="V1649" t="s">
        <v>58</v>
      </c>
      <c r="W1649" t="s">
        <v>58</v>
      </c>
      <c r="X1649" t="s">
        <v>58</v>
      </c>
      <c r="Y1649" t="s">
        <v>58</v>
      </c>
      <c r="Z1649" t="s">
        <v>58</v>
      </c>
      <c r="AA1649" t="s">
        <v>58</v>
      </c>
      <c r="AC1649" t="s">
        <v>58</v>
      </c>
      <c r="AE1649" t="s">
        <v>58</v>
      </c>
      <c r="AG1649" t="s">
        <v>63</v>
      </c>
      <c r="AH1649" s="11" t="str">
        <f t="shared" si="105"/>
        <v>mailto: soilterrain@victoria1.gov.bc.ca</v>
      </c>
    </row>
    <row r="1650" spans="1:34">
      <c r="A1650" t="s">
        <v>3824</v>
      </c>
      <c r="B1650" t="s">
        <v>56</v>
      </c>
      <c r="C1650" s="10" t="s">
        <v>1794</v>
      </c>
      <c r="D1650" t="s">
        <v>58</v>
      </c>
      <c r="E1650" t="s">
        <v>3230</v>
      </c>
      <c r="F1650" t="s">
        <v>3825</v>
      </c>
      <c r="G1650">
        <v>50000</v>
      </c>
      <c r="H1650">
        <v>1986</v>
      </c>
      <c r="I1650" t="s">
        <v>3232</v>
      </c>
      <c r="J1650" t="s">
        <v>58</v>
      </c>
      <c r="K1650" t="s">
        <v>61</v>
      </c>
      <c r="L1650" t="s">
        <v>61</v>
      </c>
      <c r="M1650" t="s">
        <v>58</v>
      </c>
      <c r="Q1650" t="s">
        <v>58</v>
      </c>
      <c r="R1650" s="11" t="str">
        <f>HYPERLINK("\\imagefiles.bcgov\imagery\scanned_maps\moe_terrain_maps\Scanned_T_maps_all\K15\K15-2750","\\imagefiles.bcgov\imagery\scanned_maps\moe_terrain_maps\Scanned_T_maps_all\K15\K15-2750")</f>
        <v>\\imagefiles.bcgov\imagery\scanned_maps\moe_terrain_maps\Scanned_T_maps_all\K15\K15-2750</v>
      </c>
      <c r="S1650" t="s">
        <v>62</v>
      </c>
      <c r="T1650" s="11" t="str">
        <f>HYPERLINK("http://www.env.gov.bc.ca/esd/distdata/ecosystems/TEI_Scanned_Maps/K15/K15-2750","http://www.env.gov.bc.ca/esd/distdata/ecosystems/TEI_Scanned_Maps/K15/K15-2750")</f>
        <v>http://www.env.gov.bc.ca/esd/distdata/ecosystems/TEI_Scanned_Maps/K15/K15-2750</v>
      </c>
      <c r="U1650" t="s">
        <v>2495</v>
      </c>
      <c r="V1650" s="11" t="str">
        <f>HYPERLINK("http://www.em.gov.bc.ca/mining/geolsurv/terrain&amp;soils/frbcguid.htm","http://www.em.gov.bc.ca/mining/geolsurv/terrain&amp;soils/frbcguid.htm")</f>
        <v>http://www.em.gov.bc.ca/mining/geolsurv/terrain&amp;soils/frbcguid.htm</v>
      </c>
      <c r="W1650" t="s">
        <v>58</v>
      </c>
      <c r="X1650" t="s">
        <v>58</v>
      </c>
      <c r="Y1650" t="s">
        <v>58</v>
      </c>
      <c r="Z1650" t="s">
        <v>58</v>
      </c>
      <c r="AA1650" t="s">
        <v>58</v>
      </c>
      <c r="AC1650" t="s">
        <v>58</v>
      </c>
      <c r="AE1650" t="s">
        <v>58</v>
      </c>
      <c r="AG1650" t="s">
        <v>63</v>
      </c>
      <c r="AH1650" s="11" t="str">
        <f t="shared" si="105"/>
        <v>mailto: soilterrain@victoria1.gov.bc.ca</v>
      </c>
    </row>
    <row r="1651" spans="1:34">
      <c r="A1651" t="s">
        <v>3826</v>
      </c>
      <c r="B1651" t="s">
        <v>56</v>
      </c>
      <c r="C1651" s="10" t="s">
        <v>1797</v>
      </c>
      <c r="D1651" t="s">
        <v>58</v>
      </c>
      <c r="E1651" t="s">
        <v>3230</v>
      </c>
      <c r="F1651" t="s">
        <v>3827</v>
      </c>
      <c r="G1651">
        <v>50000</v>
      </c>
      <c r="H1651">
        <v>1988</v>
      </c>
      <c r="I1651" t="s">
        <v>3232</v>
      </c>
      <c r="J1651" t="s">
        <v>58</v>
      </c>
      <c r="K1651" t="s">
        <v>61</v>
      </c>
      <c r="L1651" t="s">
        <v>61</v>
      </c>
      <c r="M1651" t="s">
        <v>58</v>
      </c>
      <c r="Q1651" t="s">
        <v>58</v>
      </c>
      <c r="R1651" s="11" t="str">
        <f>HYPERLINK("\\imagefiles.bcgov\imagery\scanned_maps\moe_terrain_maps\Scanned_T_maps_all\K15\K15-2752","\\imagefiles.bcgov\imagery\scanned_maps\moe_terrain_maps\Scanned_T_maps_all\K15\K15-2752")</f>
        <v>\\imagefiles.bcgov\imagery\scanned_maps\moe_terrain_maps\Scanned_T_maps_all\K15\K15-2752</v>
      </c>
      <c r="S1651" t="s">
        <v>62</v>
      </c>
      <c r="T1651" s="11" t="str">
        <f>HYPERLINK("http://www.env.gov.bc.ca/esd/distdata/ecosystems/TEI_Scanned_Maps/K15/K15-2752","http://www.env.gov.bc.ca/esd/distdata/ecosystems/TEI_Scanned_Maps/K15/K15-2752")</f>
        <v>http://www.env.gov.bc.ca/esd/distdata/ecosystems/TEI_Scanned_Maps/K15/K15-2752</v>
      </c>
      <c r="U1651" t="s">
        <v>2495</v>
      </c>
      <c r="V1651" s="11" t="str">
        <f>HYPERLINK("http://www.em.gov.bc.ca/mining/geolsurv/terrain&amp;soils/frbcguid.htm","http://www.em.gov.bc.ca/mining/geolsurv/terrain&amp;soils/frbcguid.htm")</f>
        <v>http://www.em.gov.bc.ca/mining/geolsurv/terrain&amp;soils/frbcguid.htm</v>
      </c>
      <c r="W1651" t="s">
        <v>58</v>
      </c>
      <c r="X1651" t="s">
        <v>58</v>
      </c>
      <c r="Y1651" t="s">
        <v>58</v>
      </c>
      <c r="Z1651" t="s">
        <v>58</v>
      </c>
      <c r="AA1651" t="s">
        <v>58</v>
      </c>
      <c r="AC1651" t="s">
        <v>58</v>
      </c>
      <c r="AE1651" t="s">
        <v>58</v>
      </c>
      <c r="AG1651" t="s">
        <v>63</v>
      </c>
      <c r="AH1651" s="11" t="str">
        <f t="shared" si="105"/>
        <v>mailto: soilterrain@victoria1.gov.bc.ca</v>
      </c>
    </row>
    <row r="1652" spans="1:34">
      <c r="A1652" t="s">
        <v>3828</v>
      </c>
      <c r="B1652" t="s">
        <v>56</v>
      </c>
      <c r="C1652" s="10" t="s">
        <v>1800</v>
      </c>
      <c r="D1652" t="s">
        <v>58</v>
      </c>
      <c r="E1652" t="s">
        <v>3236</v>
      </c>
      <c r="F1652" t="s">
        <v>3829</v>
      </c>
      <c r="G1652">
        <v>50000</v>
      </c>
      <c r="H1652">
        <v>1988</v>
      </c>
      <c r="I1652" t="s">
        <v>3238</v>
      </c>
      <c r="J1652" t="s">
        <v>58</v>
      </c>
      <c r="K1652" t="s">
        <v>58</v>
      </c>
      <c r="L1652" t="s">
        <v>61</v>
      </c>
      <c r="M1652" t="s">
        <v>58</v>
      </c>
      <c r="Q1652" t="s">
        <v>58</v>
      </c>
      <c r="R1652" s="11" t="str">
        <f>HYPERLINK("\\imagefiles.bcgov\imagery\scanned_maps\moe_terrain_maps\Scanned_T_maps_all\K15\K15-2772","\\imagefiles.bcgov\imagery\scanned_maps\moe_terrain_maps\Scanned_T_maps_all\K15\K15-2772")</f>
        <v>\\imagefiles.bcgov\imagery\scanned_maps\moe_terrain_maps\Scanned_T_maps_all\K15\K15-2772</v>
      </c>
      <c r="S1652" t="s">
        <v>62</v>
      </c>
      <c r="T1652" s="11" t="str">
        <f>HYPERLINK("http://www.env.gov.bc.ca/esd/distdata/ecosystems/TEI_Scanned_Maps/K15/K15-2772","http://www.env.gov.bc.ca/esd/distdata/ecosystems/TEI_Scanned_Maps/K15/K15-2772")</f>
        <v>http://www.env.gov.bc.ca/esd/distdata/ecosystems/TEI_Scanned_Maps/K15/K15-2772</v>
      </c>
      <c r="U1652" t="s">
        <v>58</v>
      </c>
      <c r="V1652" t="s">
        <v>58</v>
      </c>
      <c r="W1652" t="s">
        <v>58</v>
      </c>
      <c r="X1652" t="s">
        <v>58</v>
      </c>
      <c r="Y1652" t="s">
        <v>58</v>
      </c>
      <c r="Z1652" t="s">
        <v>58</v>
      </c>
      <c r="AA1652" t="s">
        <v>58</v>
      </c>
      <c r="AC1652" t="s">
        <v>58</v>
      </c>
      <c r="AE1652" t="s">
        <v>58</v>
      </c>
      <c r="AG1652" t="s">
        <v>63</v>
      </c>
      <c r="AH1652" s="11" t="str">
        <f t="shared" si="105"/>
        <v>mailto: soilterrain@victoria1.gov.bc.ca</v>
      </c>
    </row>
    <row r="1653" spans="1:34">
      <c r="A1653" t="s">
        <v>3830</v>
      </c>
      <c r="B1653" t="s">
        <v>56</v>
      </c>
      <c r="C1653" s="10" t="s">
        <v>3831</v>
      </c>
      <c r="D1653" t="s">
        <v>58</v>
      </c>
      <c r="E1653" t="s">
        <v>3158</v>
      </c>
      <c r="F1653" t="s">
        <v>3803</v>
      </c>
      <c r="G1653">
        <v>50000</v>
      </c>
      <c r="H1653">
        <v>1985</v>
      </c>
      <c r="I1653" t="s">
        <v>3160</v>
      </c>
      <c r="J1653" t="s">
        <v>58</v>
      </c>
      <c r="K1653" t="s">
        <v>61</v>
      </c>
      <c r="L1653" t="s">
        <v>61</v>
      </c>
      <c r="M1653" t="s">
        <v>58</v>
      </c>
      <c r="Q1653" t="s">
        <v>58</v>
      </c>
      <c r="R1653" s="11" t="str">
        <f>HYPERLINK("\\imagefiles.bcgov\imagery\scanned_maps\moe_terrain_maps\Scanned_T_maps_all\K12\K12-2321","\\imagefiles.bcgov\imagery\scanned_maps\moe_terrain_maps\Scanned_T_maps_all\K12\K12-2321")</f>
        <v>\\imagefiles.bcgov\imagery\scanned_maps\moe_terrain_maps\Scanned_T_maps_all\K12\K12-2321</v>
      </c>
      <c r="S1653" t="s">
        <v>62</v>
      </c>
      <c r="T1653" s="11" t="str">
        <f>HYPERLINK("http://www.env.gov.bc.ca/esd/distdata/ecosystems/TEI_Scanned_Maps/K12/K12-2321","http://www.env.gov.bc.ca/esd/distdata/ecosystems/TEI_Scanned_Maps/K12/K12-2321")</f>
        <v>http://www.env.gov.bc.ca/esd/distdata/ecosystems/TEI_Scanned_Maps/K12/K12-2321</v>
      </c>
      <c r="U1653" t="s">
        <v>2487</v>
      </c>
      <c r="V1653" s="11" t="str">
        <f>HYPERLINK("http://res.agr.ca/cansis/publications/surveys/bc/","http://res.agr.ca/cansis/publications/surveys/bc/")</f>
        <v>http://res.agr.ca/cansis/publications/surveys/bc/</v>
      </c>
      <c r="W1653" t="s">
        <v>2495</v>
      </c>
      <c r="X1653" s="11" t="str">
        <f>HYPERLINK("http://www.em.gov.bc.ca/mining/geolsurv/terrain&amp;soils/frbcguid.htm","http://www.em.gov.bc.ca/mining/geolsurv/terrain&amp;soils/frbcguid.htm")</f>
        <v>http://www.em.gov.bc.ca/mining/geolsurv/terrain&amp;soils/frbcguid.htm</v>
      </c>
      <c r="Y1653" t="s">
        <v>2489</v>
      </c>
      <c r="Z1653" s="11" t="str">
        <f>HYPERLINK("http://www.em.gov.bc.ca/mining/geolsurv/terrain&amp;soils/frbcguid.htm","http://www.em.gov.bc.ca/mining/geolsurv/terrain&amp;soils/frbcguid.htm")</f>
        <v>http://www.em.gov.bc.ca/mining/geolsurv/terrain&amp;soils/frbcguid.htm</v>
      </c>
      <c r="AA1653" t="s">
        <v>269</v>
      </c>
      <c r="AB1653" s="11" t="str">
        <f>HYPERLINK("http://www.library.for.gov.bc.ca/#focus","http://www.library.for.gov.bc.ca/#focus")</f>
        <v>http://www.library.for.gov.bc.ca/#focus</v>
      </c>
      <c r="AC1653" t="s">
        <v>3053</v>
      </c>
      <c r="AD1653" s="11" t="str">
        <f>HYPERLINK("http://www.prsss.ca/","http://www.prsss.ca/")</f>
        <v>http://www.prsss.ca/</v>
      </c>
      <c r="AE1653" t="s">
        <v>58</v>
      </c>
      <c r="AG1653" t="s">
        <v>63</v>
      </c>
      <c r="AH1653" s="11" t="str">
        <f t="shared" si="105"/>
        <v>mailto: soilterrain@victoria1.gov.bc.ca</v>
      </c>
    </row>
    <row r="1654" spans="1:34">
      <c r="A1654" t="s">
        <v>3832</v>
      </c>
      <c r="B1654" t="s">
        <v>56</v>
      </c>
      <c r="C1654" s="10" t="s">
        <v>3833</v>
      </c>
      <c r="D1654" t="s">
        <v>58</v>
      </c>
      <c r="E1654" t="s">
        <v>3158</v>
      </c>
      <c r="F1654" t="s">
        <v>3803</v>
      </c>
      <c r="G1654">
        <v>50000</v>
      </c>
      <c r="H1654">
        <v>1985</v>
      </c>
      <c r="I1654" t="s">
        <v>3160</v>
      </c>
      <c r="J1654" t="s">
        <v>58</v>
      </c>
      <c r="K1654" t="s">
        <v>61</v>
      </c>
      <c r="L1654" t="s">
        <v>61</v>
      </c>
      <c r="M1654" t="s">
        <v>58</v>
      </c>
      <c r="Q1654" t="s">
        <v>58</v>
      </c>
      <c r="R1654" s="11" t="str">
        <f>HYPERLINK("\\imagefiles.bcgov\imagery\scanned_maps\moe_terrain_maps\Scanned_T_maps_all\K12\K12-2322","\\imagefiles.bcgov\imagery\scanned_maps\moe_terrain_maps\Scanned_T_maps_all\K12\K12-2322")</f>
        <v>\\imagefiles.bcgov\imagery\scanned_maps\moe_terrain_maps\Scanned_T_maps_all\K12\K12-2322</v>
      </c>
      <c r="S1654" t="s">
        <v>62</v>
      </c>
      <c r="T1654" s="11" t="str">
        <f>HYPERLINK("http://www.env.gov.bc.ca/esd/distdata/ecosystems/TEI_Scanned_Maps/K12/K12-2322","http://www.env.gov.bc.ca/esd/distdata/ecosystems/TEI_Scanned_Maps/K12/K12-2322")</f>
        <v>http://www.env.gov.bc.ca/esd/distdata/ecosystems/TEI_Scanned_Maps/K12/K12-2322</v>
      </c>
      <c r="U1654" t="s">
        <v>2487</v>
      </c>
      <c r="V1654" s="11" t="str">
        <f>HYPERLINK("http://res.agr.ca/cansis/publications/surveys/bc/","http://res.agr.ca/cansis/publications/surveys/bc/")</f>
        <v>http://res.agr.ca/cansis/publications/surveys/bc/</v>
      </c>
      <c r="W1654" t="s">
        <v>2495</v>
      </c>
      <c r="X1654" s="11" t="str">
        <f>HYPERLINK("http://www.em.gov.bc.ca/mining/geolsurv/terrain&amp;soils/frbcguid.htm","http://www.em.gov.bc.ca/mining/geolsurv/terrain&amp;soils/frbcguid.htm")</f>
        <v>http://www.em.gov.bc.ca/mining/geolsurv/terrain&amp;soils/frbcguid.htm</v>
      </c>
      <c r="Y1654" t="s">
        <v>2489</v>
      </c>
      <c r="Z1654" s="11" t="str">
        <f>HYPERLINK("http://www.em.gov.bc.ca/mining/geolsurv/terrain&amp;soils/frbcguid.htm","http://www.em.gov.bc.ca/mining/geolsurv/terrain&amp;soils/frbcguid.htm")</f>
        <v>http://www.em.gov.bc.ca/mining/geolsurv/terrain&amp;soils/frbcguid.htm</v>
      </c>
      <c r="AA1654" t="s">
        <v>269</v>
      </c>
      <c r="AB1654" s="11" t="str">
        <f>HYPERLINK("http://www.library.for.gov.bc.ca/#focus","http://www.library.for.gov.bc.ca/#focus")</f>
        <v>http://www.library.for.gov.bc.ca/#focus</v>
      </c>
      <c r="AC1654" t="s">
        <v>3053</v>
      </c>
      <c r="AD1654" s="11" t="str">
        <f>HYPERLINK("http://www.prsss.ca/","http://www.prsss.ca/")</f>
        <v>http://www.prsss.ca/</v>
      </c>
      <c r="AE1654" t="s">
        <v>58</v>
      </c>
      <c r="AG1654" t="s">
        <v>63</v>
      </c>
      <c r="AH1654" s="11" t="str">
        <f t="shared" si="105"/>
        <v>mailto: soilterrain@victoria1.gov.bc.ca</v>
      </c>
    </row>
    <row r="1655" spans="1:34">
      <c r="A1655" t="s">
        <v>3834</v>
      </c>
      <c r="B1655" t="s">
        <v>56</v>
      </c>
      <c r="C1655" s="10" t="s">
        <v>3835</v>
      </c>
      <c r="D1655" t="s">
        <v>58</v>
      </c>
      <c r="E1655" t="s">
        <v>3158</v>
      </c>
      <c r="F1655" t="s">
        <v>3803</v>
      </c>
      <c r="G1655">
        <v>50000</v>
      </c>
      <c r="H1655">
        <v>1988</v>
      </c>
      <c r="I1655" t="s">
        <v>3160</v>
      </c>
      <c r="J1655" t="s">
        <v>58</v>
      </c>
      <c r="K1655" t="s">
        <v>61</v>
      </c>
      <c r="L1655" t="s">
        <v>61</v>
      </c>
      <c r="M1655" t="s">
        <v>58</v>
      </c>
      <c r="Q1655" t="s">
        <v>58</v>
      </c>
      <c r="R1655" s="11" t="str">
        <f>HYPERLINK("\\imagefiles.bcgov\imagery\scanned_maps\moe_terrain_maps\Scanned_T_maps_all\K12\K12-2323","\\imagefiles.bcgov\imagery\scanned_maps\moe_terrain_maps\Scanned_T_maps_all\K12\K12-2323")</f>
        <v>\\imagefiles.bcgov\imagery\scanned_maps\moe_terrain_maps\Scanned_T_maps_all\K12\K12-2323</v>
      </c>
      <c r="S1655" t="s">
        <v>62</v>
      </c>
      <c r="T1655" s="11" t="str">
        <f>HYPERLINK("http://www.env.gov.bc.ca/esd/distdata/ecosystems/TEI_Scanned_Maps/K12/K12-2323","http://www.env.gov.bc.ca/esd/distdata/ecosystems/TEI_Scanned_Maps/K12/K12-2323")</f>
        <v>http://www.env.gov.bc.ca/esd/distdata/ecosystems/TEI_Scanned_Maps/K12/K12-2323</v>
      </c>
      <c r="U1655" t="s">
        <v>2487</v>
      </c>
      <c r="V1655" s="11" t="str">
        <f>HYPERLINK("http://res.agr.ca/cansis/publications/surveys/bc/","http://res.agr.ca/cansis/publications/surveys/bc/")</f>
        <v>http://res.agr.ca/cansis/publications/surveys/bc/</v>
      </c>
      <c r="W1655" t="s">
        <v>2495</v>
      </c>
      <c r="X1655" s="11" t="str">
        <f>HYPERLINK("http://www.em.gov.bc.ca/mining/geolsurv/terrain&amp;soils/frbcguid.htm","http://www.em.gov.bc.ca/mining/geolsurv/terrain&amp;soils/frbcguid.htm")</f>
        <v>http://www.em.gov.bc.ca/mining/geolsurv/terrain&amp;soils/frbcguid.htm</v>
      </c>
      <c r="Y1655" t="s">
        <v>2489</v>
      </c>
      <c r="Z1655" s="11" t="str">
        <f>HYPERLINK("http://www.em.gov.bc.ca/mining/geolsurv/terrain&amp;soils/frbcguid.htm","http://www.em.gov.bc.ca/mining/geolsurv/terrain&amp;soils/frbcguid.htm")</f>
        <v>http://www.em.gov.bc.ca/mining/geolsurv/terrain&amp;soils/frbcguid.htm</v>
      </c>
      <c r="AA1655" t="s">
        <v>269</v>
      </c>
      <c r="AB1655" s="11" t="str">
        <f>HYPERLINK("http://www.library.for.gov.bc.ca/#focus","http://www.library.for.gov.bc.ca/#focus")</f>
        <v>http://www.library.for.gov.bc.ca/#focus</v>
      </c>
      <c r="AC1655" t="s">
        <v>3053</v>
      </c>
      <c r="AD1655" s="11" t="str">
        <f>HYPERLINK("http://www.prsss.ca/","http://www.prsss.ca/")</f>
        <v>http://www.prsss.ca/</v>
      </c>
      <c r="AE1655" t="s">
        <v>58</v>
      </c>
      <c r="AG1655" t="s">
        <v>63</v>
      </c>
      <c r="AH1655" s="11" t="str">
        <f t="shared" si="105"/>
        <v>mailto: soilterrain@victoria1.gov.bc.ca</v>
      </c>
    </row>
    <row r="1656" spans="1:34">
      <c r="A1656" t="s">
        <v>3836</v>
      </c>
      <c r="B1656" t="s">
        <v>56</v>
      </c>
      <c r="C1656" s="10" t="s">
        <v>2181</v>
      </c>
      <c r="D1656" t="s">
        <v>58</v>
      </c>
      <c r="E1656" t="s">
        <v>3837</v>
      </c>
      <c r="F1656" t="s">
        <v>3838</v>
      </c>
      <c r="G1656">
        <v>50000</v>
      </c>
      <c r="H1656">
        <v>1988</v>
      </c>
      <c r="I1656" t="s">
        <v>3839</v>
      </c>
      <c r="J1656" t="s">
        <v>58</v>
      </c>
      <c r="K1656" t="s">
        <v>58</v>
      </c>
      <c r="L1656" t="s">
        <v>61</v>
      </c>
      <c r="M1656" t="s">
        <v>58</v>
      </c>
      <c r="Q1656" t="s">
        <v>58</v>
      </c>
      <c r="R1656" s="11" t="str">
        <f>HYPERLINK("\\imagefiles.bcgov\imagery\scanned_maps\moe_terrain_maps\Scanned_T_maps_all\K12\K12-2326","\\imagefiles.bcgov\imagery\scanned_maps\moe_terrain_maps\Scanned_T_maps_all\K12\K12-2326")</f>
        <v>\\imagefiles.bcgov\imagery\scanned_maps\moe_terrain_maps\Scanned_T_maps_all\K12\K12-2326</v>
      </c>
      <c r="S1656" t="s">
        <v>62</v>
      </c>
      <c r="T1656" s="11" t="str">
        <f>HYPERLINK("http://www.env.gov.bc.ca/esd/distdata/ecosystems/TEI_Scanned_Maps/K12/K12-2326","http://www.env.gov.bc.ca/esd/distdata/ecosystems/TEI_Scanned_Maps/K12/K12-2326")</f>
        <v>http://www.env.gov.bc.ca/esd/distdata/ecosystems/TEI_Scanned_Maps/K12/K12-2326</v>
      </c>
      <c r="U1656" t="s">
        <v>2495</v>
      </c>
      <c r="V1656" s="11" t="str">
        <f>HYPERLINK("http://www.em.gov.bc.ca/mining/geolsurv/terrain&amp;soils/frbcguid.htm","http://www.em.gov.bc.ca/mining/geolsurv/terrain&amp;soils/frbcguid.htm")</f>
        <v>http://www.em.gov.bc.ca/mining/geolsurv/terrain&amp;soils/frbcguid.htm</v>
      </c>
      <c r="W1656" t="s">
        <v>269</v>
      </c>
      <c r="X1656" s="11" t="str">
        <f>HYPERLINK("http://www.library.for.gov.bc.ca/#focus","http://www.library.for.gov.bc.ca/#focus")</f>
        <v>http://www.library.for.gov.bc.ca/#focus</v>
      </c>
      <c r="Y1656" t="s">
        <v>3053</v>
      </c>
      <c r="Z1656" s="11" t="str">
        <f>HYPERLINK("http://www.prsss.ca/","http://www.prsss.ca/")</f>
        <v>http://www.prsss.ca/</v>
      </c>
      <c r="AA1656" t="s">
        <v>58</v>
      </c>
      <c r="AC1656" t="s">
        <v>58</v>
      </c>
      <c r="AE1656" t="s">
        <v>58</v>
      </c>
      <c r="AG1656" t="s">
        <v>63</v>
      </c>
      <c r="AH1656" s="11" t="str">
        <f t="shared" si="105"/>
        <v>mailto: soilterrain@victoria1.gov.bc.ca</v>
      </c>
    </row>
    <row r="1657" spans="1:34">
      <c r="A1657" t="s">
        <v>3840</v>
      </c>
      <c r="B1657" t="s">
        <v>56</v>
      </c>
      <c r="C1657" s="10" t="s">
        <v>1548</v>
      </c>
      <c r="D1657" t="s">
        <v>58</v>
      </c>
      <c r="E1657" t="s">
        <v>3837</v>
      </c>
      <c r="F1657" t="s">
        <v>3841</v>
      </c>
      <c r="G1657">
        <v>50000</v>
      </c>
      <c r="H1657">
        <v>1988</v>
      </c>
      <c r="I1657" t="s">
        <v>3839</v>
      </c>
      <c r="J1657" t="s">
        <v>58</v>
      </c>
      <c r="K1657" t="s">
        <v>58</v>
      </c>
      <c r="L1657" t="s">
        <v>61</v>
      </c>
      <c r="M1657" t="s">
        <v>58</v>
      </c>
      <c r="Q1657" t="s">
        <v>58</v>
      </c>
      <c r="R1657" s="11" t="str">
        <f>HYPERLINK("\\imagefiles.bcgov\imagery\scanned_maps\moe_terrain_maps\Scanned_T_maps_all\K12\K12-2328","\\imagefiles.bcgov\imagery\scanned_maps\moe_terrain_maps\Scanned_T_maps_all\K12\K12-2328")</f>
        <v>\\imagefiles.bcgov\imagery\scanned_maps\moe_terrain_maps\Scanned_T_maps_all\K12\K12-2328</v>
      </c>
      <c r="S1657" t="s">
        <v>62</v>
      </c>
      <c r="T1657" s="11" t="str">
        <f>HYPERLINK("http://www.env.gov.bc.ca/esd/distdata/ecosystems/TEI_Scanned_Maps/K12/K12-2328","http://www.env.gov.bc.ca/esd/distdata/ecosystems/TEI_Scanned_Maps/K12/K12-2328")</f>
        <v>http://www.env.gov.bc.ca/esd/distdata/ecosystems/TEI_Scanned_Maps/K12/K12-2328</v>
      </c>
      <c r="U1657" t="s">
        <v>2495</v>
      </c>
      <c r="V1657" s="11" t="str">
        <f>HYPERLINK("http://www.em.gov.bc.ca/mining/geolsurv/terrain&amp;soils/frbcguid.htm","http://www.em.gov.bc.ca/mining/geolsurv/terrain&amp;soils/frbcguid.htm")</f>
        <v>http://www.em.gov.bc.ca/mining/geolsurv/terrain&amp;soils/frbcguid.htm</v>
      </c>
      <c r="W1657" t="s">
        <v>269</v>
      </c>
      <c r="X1657" s="11" t="str">
        <f>HYPERLINK("http://www.library.for.gov.bc.ca/#focus","http://www.library.for.gov.bc.ca/#focus")</f>
        <v>http://www.library.for.gov.bc.ca/#focus</v>
      </c>
      <c r="Y1657" t="s">
        <v>3053</v>
      </c>
      <c r="Z1657" s="11" t="str">
        <f>HYPERLINK("http://www.prsss.ca/","http://www.prsss.ca/")</f>
        <v>http://www.prsss.ca/</v>
      </c>
      <c r="AA1657" t="s">
        <v>58</v>
      </c>
      <c r="AC1657" t="s">
        <v>58</v>
      </c>
      <c r="AE1657" t="s">
        <v>58</v>
      </c>
      <c r="AG1657" t="s">
        <v>63</v>
      </c>
      <c r="AH1657" s="11" t="str">
        <f t="shared" si="105"/>
        <v>mailto: soilterrain@victoria1.gov.bc.ca</v>
      </c>
    </row>
    <row r="1658" spans="1:34">
      <c r="A1658" t="s">
        <v>3842</v>
      </c>
      <c r="B1658" t="s">
        <v>56</v>
      </c>
      <c r="C1658" s="10" t="s">
        <v>1550</v>
      </c>
      <c r="D1658" t="s">
        <v>58</v>
      </c>
      <c r="E1658" t="s">
        <v>3158</v>
      </c>
      <c r="F1658" t="s">
        <v>3843</v>
      </c>
      <c r="G1658">
        <v>50000</v>
      </c>
      <c r="H1658">
        <v>1987</v>
      </c>
      <c r="I1658" t="s">
        <v>3160</v>
      </c>
      <c r="J1658" t="s">
        <v>58</v>
      </c>
      <c r="K1658" t="s">
        <v>61</v>
      </c>
      <c r="L1658" t="s">
        <v>61</v>
      </c>
      <c r="M1658" t="s">
        <v>58</v>
      </c>
      <c r="Q1658" t="s">
        <v>58</v>
      </c>
      <c r="R1658" s="11" t="str">
        <f>HYPERLINK("\\imagefiles.bcgov\imagery\scanned_maps\moe_terrain_maps\Scanned_T_maps_all\K12\K12-2330","\\imagefiles.bcgov\imagery\scanned_maps\moe_terrain_maps\Scanned_T_maps_all\K12\K12-2330")</f>
        <v>\\imagefiles.bcgov\imagery\scanned_maps\moe_terrain_maps\Scanned_T_maps_all\K12\K12-2330</v>
      </c>
      <c r="S1658" t="s">
        <v>62</v>
      </c>
      <c r="T1658" s="11" t="str">
        <f>HYPERLINK("http://www.env.gov.bc.ca/esd/distdata/ecosystems/TEI_Scanned_Maps/K12/K12-2330","http://www.env.gov.bc.ca/esd/distdata/ecosystems/TEI_Scanned_Maps/K12/K12-2330")</f>
        <v>http://www.env.gov.bc.ca/esd/distdata/ecosystems/TEI_Scanned_Maps/K12/K12-2330</v>
      </c>
      <c r="U1658" t="s">
        <v>2487</v>
      </c>
      <c r="V1658" s="11" t="str">
        <f>HYPERLINK("http://res.agr.ca/cansis/publications/surveys/bc/","http://res.agr.ca/cansis/publications/surveys/bc/")</f>
        <v>http://res.agr.ca/cansis/publications/surveys/bc/</v>
      </c>
      <c r="W1658" t="s">
        <v>2495</v>
      </c>
      <c r="X1658" s="11" t="str">
        <f>HYPERLINK("http://www.em.gov.bc.ca/mining/geolsurv/terrain&amp;soils/frbcguid.htm","http://www.em.gov.bc.ca/mining/geolsurv/terrain&amp;soils/frbcguid.htm")</f>
        <v>http://www.em.gov.bc.ca/mining/geolsurv/terrain&amp;soils/frbcguid.htm</v>
      </c>
      <c r="Y1658" t="s">
        <v>2489</v>
      </c>
      <c r="Z1658" s="11" t="str">
        <f>HYPERLINK("http://www.em.gov.bc.ca/mining/geolsurv/terrain&amp;soils/frbcguid.htm","http://www.em.gov.bc.ca/mining/geolsurv/terrain&amp;soils/frbcguid.htm")</f>
        <v>http://www.em.gov.bc.ca/mining/geolsurv/terrain&amp;soils/frbcguid.htm</v>
      </c>
      <c r="AA1658" t="s">
        <v>269</v>
      </c>
      <c r="AB1658" s="11" t="str">
        <f>HYPERLINK("http://www.library.for.gov.bc.ca/#focus","http://www.library.for.gov.bc.ca/#focus")</f>
        <v>http://www.library.for.gov.bc.ca/#focus</v>
      </c>
      <c r="AC1658" t="s">
        <v>3053</v>
      </c>
      <c r="AD1658" s="11" t="str">
        <f>HYPERLINK("http://www.prsss.ca/","http://www.prsss.ca/")</f>
        <v>http://www.prsss.ca/</v>
      </c>
      <c r="AE1658" t="s">
        <v>58</v>
      </c>
      <c r="AG1658" t="s">
        <v>63</v>
      </c>
      <c r="AH1658" s="11" t="str">
        <f t="shared" si="105"/>
        <v>mailto: soilterrain@victoria1.gov.bc.ca</v>
      </c>
    </row>
    <row r="1659" spans="1:34">
      <c r="A1659" t="s">
        <v>3844</v>
      </c>
      <c r="B1659" t="s">
        <v>56</v>
      </c>
      <c r="C1659" s="10" t="s">
        <v>3845</v>
      </c>
      <c r="D1659" t="s">
        <v>58</v>
      </c>
      <c r="E1659" t="s">
        <v>3158</v>
      </c>
      <c r="F1659" t="s">
        <v>3846</v>
      </c>
      <c r="G1659">
        <v>50000</v>
      </c>
      <c r="H1659">
        <v>1985</v>
      </c>
      <c r="I1659" t="s">
        <v>3160</v>
      </c>
      <c r="J1659" t="s">
        <v>58</v>
      </c>
      <c r="K1659" t="s">
        <v>61</v>
      </c>
      <c r="L1659" t="s">
        <v>61</v>
      </c>
      <c r="M1659" t="s">
        <v>58</v>
      </c>
      <c r="Q1659" t="s">
        <v>58</v>
      </c>
      <c r="R1659" s="11" t="str">
        <f>HYPERLINK("\\imagefiles.bcgov\imagery\scanned_maps\moe_terrain_maps\Scanned_T_maps_all\K12\K12-2331","\\imagefiles.bcgov\imagery\scanned_maps\moe_terrain_maps\Scanned_T_maps_all\K12\K12-2331")</f>
        <v>\\imagefiles.bcgov\imagery\scanned_maps\moe_terrain_maps\Scanned_T_maps_all\K12\K12-2331</v>
      </c>
      <c r="S1659" t="s">
        <v>62</v>
      </c>
      <c r="T1659" s="11" t="str">
        <f>HYPERLINK("http://www.env.gov.bc.ca/esd/distdata/ecosystems/TEI_Scanned_Maps/K12/K12-2331","http://www.env.gov.bc.ca/esd/distdata/ecosystems/TEI_Scanned_Maps/K12/K12-2331")</f>
        <v>http://www.env.gov.bc.ca/esd/distdata/ecosystems/TEI_Scanned_Maps/K12/K12-2331</v>
      </c>
      <c r="U1659" t="s">
        <v>2487</v>
      </c>
      <c r="V1659" s="11" t="str">
        <f>HYPERLINK("http://res.agr.ca/cansis/publications/surveys/bc/","http://res.agr.ca/cansis/publications/surveys/bc/")</f>
        <v>http://res.agr.ca/cansis/publications/surveys/bc/</v>
      </c>
      <c r="W1659" t="s">
        <v>2495</v>
      </c>
      <c r="X1659" s="11" t="str">
        <f>HYPERLINK("http://www.em.gov.bc.ca/mining/geolsurv/terrain&amp;soils/frbcguid.htm","http://www.em.gov.bc.ca/mining/geolsurv/terrain&amp;soils/frbcguid.htm")</f>
        <v>http://www.em.gov.bc.ca/mining/geolsurv/terrain&amp;soils/frbcguid.htm</v>
      </c>
      <c r="Y1659" t="s">
        <v>2489</v>
      </c>
      <c r="Z1659" s="11" t="str">
        <f>HYPERLINK("http://www.em.gov.bc.ca/mining/geolsurv/terrain&amp;soils/frbcguid.htm","http://www.em.gov.bc.ca/mining/geolsurv/terrain&amp;soils/frbcguid.htm")</f>
        <v>http://www.em.gov.bc.ca/mining/geolsurv/terrain&amp;soils/frbcguid.htm</v>
      </c>
      <c r="AA1659" t="s">
        <v>269</v>
      </c>
      <c r="AB1659" s="11" t="str">
        <f>HYPERLINK("http://www.library.for.gov.bc.ca/#focus","http://www.library.for.gov.bc.ca/#focus")</f>
        <v>http://www.library.for.gov.bc.ca/#focus</v>
      </c>
      <c r="AC1659" t="s">
        <v>3053</v>
      </c>
      <c r="AD1659" s="11" t="str">
        <f>HYPERLINK("http://www.prsss.ca/","http://www.prsss.ca/")</f>
        <v>http://www.prsss.ca/</v>
      </c>
      <c r="AE1659" t="s">
        <v>58</v>
      </c>
      <c r="AG1659" t="s">
        <v>63</v>
      </c>
      <c r="AH1659" s="11" t="str">
        <f t="shared" si="105"/>
        <v>mailto: soilterrain@victoria1.gov.bc.ca</v>
      </c>
    </row>
    <row r="1660" spans="1:34">
      <c r="A1660" t="s">
        <v>3847</v>
      </c>
      <c r="B1660" t="s">
        <v>56</v>
      </c>
      <c r="C1660" s="10" t="s">
        <v>945</v>
      </c>
      <c r="D1660" t="s">
        <v>58</v>
      </c>
      <c r="E1660" t="s">
        <v>3837</v>
      </c>
      <c r="F1660" t="s">
        <v>3848</v>
      </c>
      <c r="G1660">
        <v>50000</v>
      </c>
      <c r="H1660">
        <v>1987</v>
      </c>
      <c r="I1660" t="s">
        <v>3839</v>
      </c>
      <c r="J1660" t="s">
        <v>58</v>
      </c>
      <c r="K1660" t="s">
        <v>58</v>
      </c>
      <c r="L1660" t="s">
        <v>61</v>
      </c>
      <c r="M1660" t="s">
        <v>58</v>
      </c>
      <c r="Q1660" t="s">
        <v>58</v>
      </c>
      <c r="R1660" s="11" t="str">
        <f>HYPERLINK("\\imagefiles.bcgov\imagery\scanned_maps\moe_terrain_maps\Scanned_T_maps_all\K12\K12-2335","\\imagefiles.bcgov\imagery\scanned_maps\moe_terrain_maps\Scanned_T_maps_all\K12\K12-2335")</f>
        <v>\\imagefiles.bcgov\imagery\scanned_maps\moe_terrain_maps\Scanned_T_maps_all\K12\K12-2335</v>
      </c>
      <c r="S1660" t="s">
        <v>62</v>
      </c>
      <c r="T1660" s="11" t="str">
        <f>HYPERLINK("http://www.env.gov.bc.ca/esd/distdata/ecosystems/TEI_Scanned_Maps/K12/K12-2335","http://www.env.gov.bc.ca/esd/distdata/ecosystems/TEI_Scanned_Maps/K12/K12-2335")</f>
        <v>http://www.env.gov.bc.ca/esd/distdata/ecosystems/TEI_Scanned_Maps/K12/K12-2335</v>
      </c>
      <c r="U1660" t="s">
        <v>2495</v>
      </c>
      <c r="V1660" s="11" t="str">
        <f t="shared" ref="V1660:V1670" si="113">HYPERLINK("http://www.em.gov.bc.ca/mining/geolsurv/terrain&amp;soils/frbcguid.htm","http://www.em.gov.bc.ca/mining/geolsurv/terrain&amp;soils/frbcguid.htm")</f>
        <v>http://www.em.gov.bc.ca/mining/geolsurv/terrain&amp;soils/frbcguid.htm</v>
      </c>
      <c r="W1660" t="s">
        <v>269</v>
      </c>
      <c r="X1660" s="11" t="str">
        <f>HYPERLINK("http://www.library.for.gov.bc.ca/#focus","http://www.library.for.gov.bc.ca/#focus")</f>
        <v>http://www.library.for.gov.bc.ca/#focus</v>
      </c>
      <c r="Y1660" t="s">
        <v>3053</v>
      </c>
      <c r="Z1660" s="11" t="str">
        <f>HYPERLINK("http://www.prsss.ca/","http://www.prsss.ca/")</f>
        <v>http://www.prsss.ca/</v>
      </c>
      <c r="AA1660" t="s">
        <v>58</v>
      </c>
      <c r="AC1660" t="s">
        <v>58</v>
      </c>
      <c r="AE1660" t="s">
        <v>58</v>
      </c>
      <c r="AG1660" t="s">
        <v>63</v>
      </c>
      <c r="AH1660" s="11" t="str">
        <f t="shared" si="105"/>
        <v>mailto: soilterrain@victoria1.gov.bc.ca</v>
      </c>
    </row>
    <row r="1661" spans="1:34">
      <c r="A1661" t="s">
        <v>3849</v>
      </c>
      <c r="B1661" t="s">
        <v>56</v>
      </c>
      <c r="C1661" s="10" t="s">
        <v>1555</v>
      </c>
      <c r="D1661" t="s">
        <v>58</v>
      </c>
      <c r="E1661" t="s">
        <v>3837</v>
      </c>
      <c r="F1661" t="s">
        <v>3850</v>
      </c>
      <c r="G1661">
        <v>50000</v>
      </c>
      <c r="H1661">
        <v>1987</v>
      </c>
      <c r="I1661" t="s">
        <v>3839</v>
      </c>
      <c r="J1661" t="s">
        <v>58</v>
      </c>
      <c r="K1661" t="s">
        <v>58</v>
      </c>
      <c r="L1661" t="s">
        <v>61</v>
      </c>
      <c r="M1661" t="s">
        <v>58</v>
      </c>
      <c r="Q1661" t="s">
        <v>58</v>
      </c>
      <c r="R1661" s="11" t="str">
        <f>HYPERLINK("\\imagefiles.bcgov\imagery\scanned_maps\moe_terrain_maps\Scanned_T_maps_all\K12\K12-2336","\\imagefiles.bcgov\imagery\scanned_maps\moe_terrain_maps\Scanned_T_maps_all\K12\K12-2336")</f>
        <v>\\imagefiles.bcgov\imagery\scanned_maps\moe_terrain_maps\Scanned_T_maps_all\K12\K12-2336</v>
      </c>
      <c r="S1661" t="s">
        <v>62</v>
      </c>
      <c r="T1661" s="11" t="str">
        <f>HYPERLINK("http://www.env.gov.bc.ca/esd/distdata/ecosystems/TEI_Scanned_Maps/K12/K12-2336","http://www.env.gov.bc.ca/esd/distdata/ecosystems/TEI_Scanned_Maps/K12/K12-2336")</f>
        <v>http://www.env.gov.bc.ca/esd/distdata/ecosystems/TEI_Scanned_Maps/K12/K12-2336</v>
      </c>
      <c r="U1661" t="s">
        <v>2495</v>
      </c>
      <c r="V1661" s="11" t="str">
        <f t="shared" si="113"/>
        <v>http://www.em.gov.bc.ca/mining/geolsurv/terrain&amp;soils/frbcguid.htm</v>
      </c>
      <c r="W1661" t="s">
        <v>269</v>
      </c>
      <c r="X1661" s="11" t="str">
        <f>HYPERLINK("http://www.library.for.gov.bc.ca/#focus","http://www.library.for.gov.bc.ca/#focus")</f>
        <v>http://www.library.for.gov.bc.ca/#focus</v>
      </c>
      <c r="Y1661" t="s">
        <v>3053</v>
      </c>
      <c r="Z1661" s="11" t="str">
        <f>HYPERLINK("http://www.prsss.ca/","http://www.prsss.ca/")</f>
        <v>http://www.prsss.ca/</v>
      </c>
      <c r="AA1661" t="s">
        <v>58</v>
      </c>
      <c r="AC1661" t="s">
        <v>58</v>
      </c>
      <c r="AE1661" t="s">
        <v>58</v>
      </c>
      <c r="AG1661" t="s">
        <v>63</v>
      </c>
      <c r="AH1661" s="11" t="str">
        <f t="shared" si="105"/>
        <v>mailto: soilterrain@victoria1.gov.bc.ca</v>
      </c>
    </row>
    <row r="1662" spans="1:34">
      <c r="A1662" t="s">
        <v>3851</v>
      </c>
      <c r="B1662" t="s">
        <v>56</v>
      </c>
      <c r="C1662" s="10" t="s">
        <v>2190</v>
      </c>
      <c r="D1662" t="s">
        <v>58</v>
      </c>
      <c r="E1662" t="s">
        <v>3837</v>
      </c>
      <c r="F1662" t="s">
        <v>3852</v>
      </c>
      <c r="G1662">
        <v>50000</v>
      </c>
      <c r="H1662">
        <v>1987</v>
      </c>
      <c r="I1662" t="s">
        <v>3839</v>
      </c>
      <c r="J1662" t="s">
        <v>58</v>
      </c>
      <c r="K1662" t="s">
        <v>58</v>
      </c>
      <c r="L1662" t="s">
        <v>61</v>
      </c>
      <c r="M1662" t="s">
        <v>58</v>
      </c>
      <c r="Q1662" t="s">
        <v>58</v>
      </c>
      <c r="R1662" s="11" t="str">
        <f>HYPERLINK("\\imagefiles.bcgov\imagery\scanned_maps\moe_terrain_maps\Scanned_T_maps_all\K12\K12-2338","\\imagefiles.bcgov\imagery\scanned_maps\moe_terrain_maps\Scanned_T_maps_all\K12\K12-2338")</f>
        <v>\\imagefiles.bcgov\imagery\scanned_maps\moe_terrain_maps\Scanned_T_maps_all\K12\K12-2338</v>
      </c>
      <c r="S1662" t="s">
        <v>62</v>
      </c>
      <c r="T1662" s="11" t="str">
        <f>HYPERLINK("http://www.env.gov.bc.ca/esd/distdata/ecosystems/TEI_Scanned_Maps/K12/K12-2338","http://www.env.gov.bc.ca/esd/distdata/ecosystems/TEI_Scanned_Maps/K12/K12-2338")</f>
        <v>http://www.env.gov.bc.ca/esd/distdata/ecosystems/TEI_Scanned_Maps/K12/K12-2338</v>
      </c>
      <c r="U1662" t="s">
        <v>2495</v>
      </c>
      <c r="V1662" s="11" t="str">
        <f t="shared" si="113"/>
        <v>http://www.em.gov.bc.ca/mining/geolsurv/terrain&amp;soils/frbcguid.htm</v>
      </c>
      <c r="W1662" t="s">
        <v>269</v>
      </c>
      <c r="X1662" s="11" t="str">
        <f>HYPERLINK("http://www.library.for.gov.bc.ca/#focus","http://www.library.for.gov.bc.ca/#focus")</f>
        <v>http://www.library.for.gov.bc.ca/#focus</v>
      </c>
      <c r="Y1662" t="s">
        <v>3053</v>
      </c>
      <c r="Z1662" s="11" t="str">
        <f>HYPERLINK("http://www.prsss.ca/","http://www.prsss.ca/")</f>
        <v>http://www.prsss.ca/</v>
      </c>
      <c r="AA1662" t="s">
        <v>58</v>
      </c>
      <c r="AC1662" t="s">
        <v>58</v>
      </c>
      <c r="AE1662" t="s">
        <v>58</v>
      </c>
      <c r="AG1662" t="s">
        <v>63</v>
      </c>
      <c r="AH1662" s="11" t="str">
        <f t="shared" si="105"/>
        <v>mailto: soilterrain@victoria1.gov.bc.ca</v>
      </c>
    </row>
    <row r="1663" spans="1:34">
      <c r="A1663" t="s">
        <v>3853</v>
      </c>
      <c r="B1663" t="s">
        <v>56</v>
      </c>
      <c r="C1663" s="10" t="s">
        <v>603</v>
      </c>
      <c r="D1663" t="s">
        <v>58</v>
      </c>
      <c r="E1663" t="s">
        <v>3837</v>
      </c>
      <c r="F1663" t="s">
        <v>3854</v>
      </c>
      <c r="G1663">
        <v>50000</v>
      </c>
      <c r="H1663">
        <v>1987</v>
      </c>
      <c r="I1663" t="s">
        <v>3839</v>
      </c>
      <c r="J1663" t="s">
        <v>58</v>
      </c>
      <c r="K1663" t="s">
        <v>58</v>
      </c>
      <c r="L1663" t="s">
        <v>61</v>
      </c>
      <c r="M1663" t="s">
        <v>58</v>
      </c>
      <c r="Q1663" t="s">
        <v>58</v>
      </c>
      <c r="R1663" s="11" t="str">
        <f>HYPERLINK("\\imagefiles.bcgov\imagery\scanned_maps\moe_terrain_maps\Scanned_T_maps_all\K13\K13-2361","\\imagefiles.bcgov\imagery\scanned_maps\moe_terrain_maps\Scanned_T_maps_all\K13\K13-2361")</f>
        <v>\\imagefiles.bcgov\imagery\scanned_maps\moe_terrain_maps\Scanned_T_maps_all\K13\K13-2361</v>
      </c>
      <c r="S1663" t="s">
        <v>62</v>
      </c>
      <c r="T1663" s="11" t="str">
        <f>HYPERLINK("http://www.env.gov.bc.ca/esd/distdata/ecosystems/TEI_Scanned_Maps/K13/K13-2361","http://www.env.gov.bc.ca/esd/distdata/ecosystems/TEI_Scanned_Maps/K13/K13-2361")</f>
        <v>http://www.env.gov.bc.ca/esd/distdata/ecosystems/TEI_Scanned_Maps/K13/K13-2361</v>
      </c>
      <c r="U1663" t="s">
        <v>2495</v>
      </c>
      <c r="V1663" s="11" t="str">
        <f t="shared" si="113"/>
        <v>http://www.em.gov.bc.ca/mining/geolsurv/terrain&amp;soils/frbcguid.htm</v>
      </c>
      <c r="W1663" t="s">
        <v>269</v>
      </c>
      <c r="X1663" s="11" t="str">
        <f>HYPERLINK("http://www.library.for.gov.bc.ca/#focus","http://www.library.for.gov.bc.ca/#focus")</f>
        <v>http://www.library.for.gov.bc.ca/#focus</v>
      </c>
      <c r="Y1663" t="s">
        <v>3053</v>
      </c>
      <c r="Z1663" s="11" t="str">
        <f>HYPERLINK("http://www.prsss.ca/","http://www.prsss.ca/")</f>
        <v>http://www.prsss.ca/</v>
      </c>
      <c r="AA1663" t="s">
        <v>58</v>
      </c>
      <c r="AC1663" t="s">
        <v>58</v>
      </c>
      <c r="AE1663" t="s">
        <v>58</v>
      </c>
      <c r="AG1663" t="s">
        <v>63</v>
      </c>
      <c r="AH1663" s="11" t="str">
        <f t="shared" si="105"/>
        <v>mailto: soilterrain@victoria1.gov.bc.ca</v>
      </c>
    </row>
    <row r="1664" spans="1:34">
      <c r="A1664" t="s">
        <v>3855</v>
      </c>
      <c r="B1664" t="s">
        <v>56</v>
      </c>
      <c r="C1664" s="10" t="s">
        <v>606</v>
      </c>
      <c r="D1664" t="s">
        <v>58</v>
      </c>
      <c r="E1664" t="s">
        <v>3215</v>
      </c>
      <c r="F1664" t="s">
        <v>3856</v>
      </c>
      <c r="G1664">
        <v>50000</v>
      </c>
      <c r="H1664">
        <v>1987</v>
      </c>
      <c r="I1664" t="s">
        <v>3839</v>
      </c>
      <c r="J1664" t="s">
        <v>58</v>
      </c>
      <c r="K1664" t="s">
        <v>61</v>
      </c>
      <c r="L1664" t="s">
        <v>61</v>
      </c>
      <c r="M1664" t="s">
        <v>58</v>
      </c>
      <c r="Q1664" t="s">
        <v>58</v>
      </c>
      <c r="R1664" s="11" t="str">
        <f>HYPERLINK("\\imagefiles.bcgov\imagery\scanned_maps\moe_terrain_maps\Scanned_T_maps_all\K13\K13-2362","\\imagefiles.bcgov\imagery\scanned_maps\moe_terrain_maps\Scanned_T_maps_all\K13\K13-2362")</f>
        <v>\\imagefiles.bcgov\imagery\scanned_maps\moe_terrain_maps\Scanned_T_maps_all\K13\K13-2362</v>
      </c>
      <c r="S1664" t="s">
        <v>62</v>
      </c>
      <c r="T1664" s="11" t="str">
        <f>HYPERLINK("http://www.env.gov.bc.ca/esd/distdata/ecosystems/TEI_Scanned_Maps/K13/K13-2362","http://www.env.gov.bc.ca/esd/distdata/ecosystems/TEI_Scanned_Maps/K13/K13-2362")</f>
        <v>http://www.env.gov.bc.ca/esd/distdata/ecosystems/TEI_Scanned_Maps/K13/K13-2362</v>
      </c>
      <c r="U1664" t="s">
        <v>2495</v>
      </c>
      <c r="V1664" s="11" t="str">
        <f t="shared" si="113"/>
        <v>http://www.em.gov.bc.ca/mining/geolsurv/terrain&amp;soils/frbcguid.htm</v>
      </c>
      <c r="W1664" t="s">
        <v>269</v>
      </c>
      <c r="X1664" s="11" t="str">
        <f>HYPERLINK("http://www.library.for.gov.bc.ca/#focus","http://www.library.for.gov.bc.ca/#focus")</f>
        <v>http://www.library.for.gov.bc.ca/#focus</v>
      </c>
      <c r="Y1664" t="s">
        <v>3053</v>
      </c>
      <c r="Z1664" s="11" t="str">
        <f>HYPERLINK("http://www.prsss.ca/","http://www.prsss.ca/")</f>
        <v>http://www.prsss.ca/</v>
      </c>
      <c r="AA1664" t="s">
        <v>58</v>
      </c>
      <c r="AC1664" t="s">
        <v>58</v>
      </c>
      <c r="AE1664" t="s">
        <v>58</v>
      </c>
      <c r="AG1664" t="s">
        <v>63</v>
      </c>
      <c r="AH1664" s="11" t="str">
        <f t="shared" si="105"/>
        <v>mailto: soilterrain@victoria1.gov.bc.ca</v>
      </c>
    </row>
    <row r="1665" spans="1:34">
      <c r="A1665" t="s">
        <v>3857</v>
      </c>
      <c r="B1665" t="s">
        <v>56</v>
      </c>
      <c r="C1665" s="10" t="s">
        <v>1557</v>
      </c>
      <c r="D1665" t="s">
        <v>58</v>
      </c>
      <c r="E1665" t="s">
        <v>2931</v>
      </c>
      <c r="F1665" t="s">
        <v>3858</v>
      </c>
      <c r="G1665">
        <v>50000</v>
      </c>
      <c r="H1665">
        <v>1987</v>
      </c>
      <c r="I1665" t="s">
        <v>3167</v>
      </c>
      <c r="J1665" t="s">
        <v>58</v>
      </c>
      <c r="K1665" t="s">
        <v>61</v>
      </c>
      <c r="L1665" t="s">
        <v>61</v>
      </c>
      <c r="M1665" t="s">
        <v>58</v>
      </c>
      <c r="Q1665" t="s">
        <v>58</v>
      </c>
      <c r="R1665" s="11" t="str">
        <f>HYPERLINK("\\imagefiles.bcgov\imagery\scanned_maps\moe_terrain_maps\Scanned_T_maps_all\K13\K13-2364","\\imagefiles.bcgov\imagery\scanned_maps\moe_terrain_maps\Scanned_T_maps_all\K13\K13-2364")</f>
        <v>\\imagefiles.bcgov\imagery\scanned_maps\moe_terrain_maps\Scanned_T_maps_all\K13\K13-2364</v>
      </c>
      <c r="S1665" t="s">
        <v>62</v>
      </c>
      <c r="T1665" s="11" t="str">
        <f>HYPERLINK("http://www.env.gov.bc.ca/esd/distdata/ecosystems/TEI_Scanned_Maps/K13/K13-2364","http://www.env.gov.bc.ca/esd/distdata/ecosystems/TEI_Scanned_Maps/K13/K13-2364")</f>
        <v>http://www.env.gov.bc.ca/esd/distdata/ecosystems/TEI_Scanned_Maps/K13/K13-2364</v>
      </c>
      <c r="U1665" t="s">
        <v>2495</v>
      </c>
      <c r="V1665" s="11" t="str">
        <f t="shared" si="113"/>
        <v>http://www.em.gov.bc.ca/mining/geolsurv/terrain&amp;soils/frbcguid.htm</v>
      </c>
      <c r="W1665" t="s">
        <v>2489</v>
      </c>
      <c r="X1665" s="11" t="str">
        <f>HYPERLINK("http://www.em.gov.bc.ca/mining/geolsurv/terrain&amp;soils/frbcguid.htm","http://www.em.gov.bc.ca/mining/geolsurv/terrain&amp;soils/frbcguid.htm")</f>
        <v>http://www.em.gov.bc.ca/mining/geolsurv/terrain&amp;soils/frbcguid.htm</v>
      </c>
      <c r="Y1665" t="s">
        <v>58</v>
      </c>
      <c r="Z1665" t="s">
        <v>58</v>
      </c>
      <c r="AA1665" t="s">
        <v>58</v>
      </c>
      <c r="AC1665" t="s">
        <v>58</v>
      </c>
      <c r="AE1665" t="s">
        <v>58</v>
      </c>
      <c r="AG1665" t="s">
        <v>63</v>
      </c>
      <c r="AH1665" s="11" t="str">
        <f t="shared" si="105"/>
        <v>mailto: soilterrain@victoria1.gov.bc.ca</v>
      </c>
    </row>
    <row r="1666" spans="1:34">
      <c r="A1666" t="s">
        <v>3859</v>
      </c>
      <c r="B1666" t="s">
        <v>56</v>
      </c>
      <c r="C1666" s="10" t="s">
        <v>1559</v>
      </c>
      <c r="D1666" t="s">
        <v>58</v>
      </c>
      <c r="E1666" t="s">
        <v>2931</v>
      </c>
      <c r="F1666" t="s">
        <v>3860</v>
      </c>
      <c r="G1666">
        <v>50000</v>
      </c>
      <c r="H1666">
        <v>1988</v>
      </c>
      <c r="I1666" t="s">
        <v>3167</v>
      </c>
      <c r="J1666" t="s">
        <v>58</v>
      </c>
      <c r="K1666" t="s">
        <v>61</v>
      </c>
      <c r="L1666" t="s">
        <v>61</v>
      </c>
      <c r="M1666" t="s">
        <v>58</v>
      </c>
      <c r="Q1666" t="s">
        <v>58</v>
      </c>
      <c r="R1666" s="11" t="str">
        <f>HYPERLINK("\\imagefiles.bcgov\imagery\scanned_maps\moe_terrain_maps\Scanned_T_maps_all\K13\K13-2366","\\imagefiles.bcgov\imagery\scanned_maps\moe_terrain_maps\Scanned_T_maps_all\K13\K13-2366")</f>
        <v>\\imagefiles.bcgov\imagery\scanned_maps\moe_terrain_maps\Scanned_T_maps_all\K13\K13-2366</v>
      </c>
      <c r="S1666" t="s">
        <v>62</v>
      </c>
      <c r="T1666" s="11" t="str">
        <f>HYPERLINK("http://www.env.gov.bc.ca/esd/distdata/ecosystems/TEI_Scanned_Maps/K13/K13-2366","http://www.env.gov.bc.ca/esd/distdata/ecosystems/TEI_Scanned_Maps/K13/K13-2366")</f>
        <v>http://www.env.gov.bc.ca/esd/distdata/ecosystems/TEI_Scanned_Maps/K13/K13-2366</v>
      </c>
      <c r="U1666" t="s">
        <v>2495</v>
      </c>
      <c r="V1666" s="11" t="str">
        <f t="shared" si="113"/>
        <v>http://www.em.gov.bc.ca/mining/geolsurv/terrain&amp;soils/frbcguid.htm</v>
      </c>
      <c r="W1666" t="s">
        <v>2489</v>
      </c>
      <c r="X1666" s="11" t="str">
        <f>HYPERLINK("http://www.em.gov.bc.ca/mining/geolsurv/terrain&amp;soils/frbcguid.htm","http://www.em.gov.bc.ca/mining/geolsurv/terrain&amp;soils/frbcguid.htm")</f>
        <v>http://www.em.gov.bc.ca/mining/geolsurv/terrain&amp;soils/frbcguid.htm</v>
      </c>
      <c r="Y1666" t="s">
        <v>58</v>
      </c>
      <c r="Z1666" t="s">
        <v>58</v>
      </c>
      <c r="AA1666" t="s">
        <v>58</v>
      </c>
      <c r="AC1666" t="s">
        <v>58</v>
      </c>
      <c r="AE1666" t="s">
        <v>58</v>
      </c>
      <c r="AG1666" t="s">
        <v>63</v>
      </c>
      <c r="AH1666" s="11" t="str">
        <f t="shared" ref="AH1666:AH1729" si="114">HYPERLINK("mailto: soilterrain@victoria1.gov.bc.ca","mailto: soilterrain@victoria1.gov.bc.ca")</f>
        <v>mailto: soilterrain@victoria1.gov.bc.ca</v>
      </c>
    </row>
    <row r="1667" spans="1:34">
      <c r="A1667" t="s">
        <v>3861</v>
      </c>
      <c r="B1667" t="s">
        <v>56</v>
      </c>
      <c r="C1667" s="10" t="s">
        <v>1561</v>
      </c>
      <c r="D1667" t="s">
        <v>58</v>
      </c>
      <c r="E1667" t="s">
        <v>2931</v>
      </c>
      <c r="F1667" t="s">
        <v>3862</v>
      </c>
      <c r="G1667">
        <v>50000</v>
      </c>
      <c r="H1667">
        <v>1985</v>
      </c>
      <c r="I1667" t="s">
        <v>3167</v>
      </c>
      <c r="J1667" t="s">
        <v>58</v>
      </c>
      <c r="K1667" t="s">
        <v>61</v>
      </c>
      <c r="L1667" t="s">
        <v>61</v>
      </c>
      <c r="M1667" t="s">
        <v>58</v>
      </c>
      <c r="Q1667" t="s">
        <v>58</v>
      </c>
      <c r="R1667" s="11" t="str">
        <f>HYPERLINK("\\imagefiles.bcgov\imagery\scanned_maps\moe_terrain_maps\Scanned_T_maps_all\K13\K13-2368","\\imagefiles.bcgov\imagery\scanned_maps\moe_terrain_maps\Scanned_T_maps_all\K13\K13-2368")</f>
        <v>\\imagefiles.bcgov\imagery\scanned_maps\moe_terrain_maps\Scanned_T_maps_all\K13\K13-2368</v>
      </c>
      <c r="S1667" t="s">
        <v>62</v>
      </c>
      <c r="T1667" s="11" t="str">
        <f>HYPERLINK("http://www.env.gov.bc.ca/esd/distdata/ecosystems/TEI_Scanned_Maps/K13/K13-2368","http://www.env.gov.bc.ca/esd/distdata/ecosystems/TEI_Scanned_Maps/K13/K13-2368")</f>
        <v>http://www.env.gov.bc.ca/esd/distdata/ecosystems/TEI_Scanned_Maps/K13/K13-2368</v>
      </c>
      <c r="U1667" t="s">
        <v>2495</v>
      </c>
      <c r="V1667" s="11" t="str">
        <f t="shared" si="113"/>
        <v>http://www.em.gov.bc.ca/mining/geolsurv/terrain&amp;soils/frbcguid.htm</v>
      </c>
      <c r="W1667" t="s">
        <v>2489</v>
      </c>
      <c r="X1667" s="11" t="str">
        <f>HYPERLINK("http://www.em.gov.bc.ca/mining/geolsurv/terrain&amp;soils/frbcguid.htm","http://www.em.gov.bc.ca/mining/geolsurv/terrain&amp;soils/frbcguid.htm")</f>
        <v>http://www.em.gov.bc.ca/mining/geolsurv/terrain&amp;soils/frbcguid.htm</v>
      </c>
      <c r="Y1667" t="s">
        <v>58</v>
      </c>
      <c r="Z1667" t="s">
        <v>58</v>
      </c>
      <c r="AA1667" t="s">
        <v>58</v>
      </c>
      <c r="AC1667" t="s">
        <v>58</v>
      </c>
      <c r="AE1667" t="s">
        <v>58</v>
      </c>
      <c r="AG1667" t="s">
        <v>63</v>
      </c>
      <c r="AH1667" s="11" t="str">
        <f t="shared" si="114"/>
        <v>mailto: soilterrain@victoria1.gov.bc.ca</v>
      </c>
    </row>
    <row r="1668" spans="1:34">
      <c r="A1668" t="s">
        <v>3863</v>
      </c>
      <c r="B1668" t="s">
        <v>56</v>
      </c>
      <c r="C1668" s="10" t="s">
        <v>1563</v>
      </c>
      <c r="D1668" t="s">
        <v>58</v>
      </c>
      <c r="E1668" t="s">
        <v>2931</v>
      </c>
      <c r="F1668" t="s">
        <v>3864</v>
      </c>
      <c r="G1668">
        <v>50000</v>
      </c>
      <c r="H1668">
        <v>1985</v>
      </c>
      <c r="I1668" t="s">
        <v>3167</v>
      </c>
      <c r="J1668" t="s">
        <v>58</v>
      </c>
      <c r="K1668" t="s">
        <v>61</v>
      </c>
      <c r="L1668" t="s">
        <v>61</v>
      </c>
      <c r="M1668" t="s">
        <v>58</v>
      </c>
      <c r="Q1668" t="s">
        <v>58</v>
      </c>
      <c r="R1668" s="11" t="str">
        <f>HYPERLINK("\\imagefiles.bcgov\imagery\scanned_maps\moe_terrain_maps\Scanned_T_maps_all\K13\K13-2370","\\imagefiles.bcgov\imagery\scanned_maps\moe_terrain_maps\Scanned_T_maps_all\K13\K13-2370")</f>
        <v>\\imagefiles.bcgov\imagery\scanned_maps\moe_terrain_maps\Scanned_T_maps_all\K13\K13-2370</v>
      </c>
      <c r="S1668" t="s">
        <v>62</v>
      </c>
      <c r="T1668" s="11" t="str">
        <f>HYPERLINK("http://www.env.gov.bc.ca/esd/distdata/ecosystems/TEI_Scanned_Maps/K13/K13-2370","http://www.env.gov.bc.ca/esd/distdata/ecosystems/TEI_Scanned_Maps/K13/K13-2370")</f>
        <v>http://www.env.gov.bc.ca/esd/distdata/ecosystems/TEI_Scanned_Maps/K13/K13-2370</v>
      </c>
      <c r="U1668" t="s">
        <v>2495</v>
      </c>
      <c r="V1668" s="11" t="str">
        <f t="shared" si="113"/>
        <v>http://www.em.gov.bc.ca/mining/geolsurv/terrain&amp;soils/frbcguid.htm</v>
      </c>
      <c r="W1668" t="s">
        <v>2489</v>
      </c>
      <c r="X1668" s="11" t="str">
        <f>HYPERLINK("http://www.em.gov.bc.ca/mining/geolsurv/terrain&amp;soils/frbcguid.htm","http://www.em.gov.bc.ca/mining/geolsurv/terrain&amp;soils/frbcguid.htm")</f>
        <v>http://www.em.gov.bc.ca/mining/geolsurv/terrain&amp;soils/frbcguid.htm</v>
      </c>
      <c r="Y1668" t="s">
        <v>58</v>
      </c>
      <c r="Z1668" t="s">
        <v>58</v>
      </c>
      <c r="AA1668" t="s">
        <v>58</v>
      </c>
      <c r="AC1668" t="s">
        <v>58</v>
      </c>
      <c r="AE1668" t="s">
        <v>58</v>
      </c>
      <c r="AG1668" t="s">
        <v>63</v>
      </c>
      <c r="AH1668" s="11" t="str">
        <f t="shared" si="114"/>
        <v>mailto: soilterrain@victoria1.gov.bc.ca</v>
      </c>
    </row>
    <row r="1669" spans="1:34">
      <c r="A1669" t="s">
        <v>3865</v>
      </c>
      <c r="B1669" t="s">
        <v>56</v>
      </c>
      <c r="C1669" s="10" t="s">
        <v>2197</v>
      </c>
      <c r="D1669" t="s">
        <v>58</v>
      </c>
      <c r="E1669" t="s">
        <v>3837</v>
      </c>
      <c r="F1669" t="s">
        <v>3866</v>
      </c>
      <c r="G1669">
        <v>50000</v>
      </c>
      <c r="H1669">
        <v>1987</v>
      </c>
      <c r="I1669" t="s">
        <v>3839</v>
      </c>
      <c r="J1669" t="s">
        <v>58</v>
      </c>
      <c r="K1669" t="s">
        <v>58</v>
      </c>
      <c r="L1669" t="s">
        <v>61</v>
      </c>
      <c r="M1669" t="s">
        <v>58</v>
      </c>
      <c r="Q1669" t="s">
        <v>58</v>
      </c>
      <c r="R1669" s="11" t="str">
        <f>HYPERLINK("\\imagefiles.bcgov\imagery\scanned_maps\moe_terrain_maps\Scanned_T_maps_all\K13\K13-2371","\\imagefiles.bcgov\imagery\scanned_maps\moe_terrain_maps\Scanned_T_maps_all\K13\K13-2371")</f>
        <v>\\imagefiles.bcgov\imagery\scanned_maps\moe_terrain_maps\Scanned_T_maps_all\K13\K13-2371</v>
      </c>
      <c r="S1669" t="s">
        <v>62</v>
      </c>
      <c r="T1669" s="11" t="str">
        <f>HYPERLINK("http://www.env.gov.bc.ca/esd/distdata/ecosystems/TEI_Scanned_Maps/K13/K13-2371","http://www.env.gov.bc.ca/esd/distdata/ecosystems/TEI_Scanned_Maps/K13/K13-2371")</f>
        <v>http://www.env.gov.bc.ca/esd/distdata/ecosystems/TEI_Scanned_Maps/K13/K13-2371</v>
      </c>
      <c r="U1669" t="s">
        <v>2495</v>
      </c>
      <c r="V1669" s="11" t="str">
        <f t="shared" si="113"/>
        <v>http://www.em.gov.bc.ca/mining/geolsurv/terrain&amp;soils/frbcguid.htm</v>
      </c>
      <c r="W1669" t="s">
        <v>269</v>
      </c>
      <c r="X1669" s="11" t="str">
        <f>HYPERLINK("http://www.library.for.gov.bc.ca/#focus","http://www.library.for.gov.bc.ca/#focus")</f>
        <v>http://www.library.for.gov.bc.ca/#focus</v>
      </c>
      <c r="Y1669" t="s">
        <v>3053</v>
      </c>
      <c r="Z1669" s="11" t="str">
        <f>HYPERLINK("http://www.prsss.ca/","http://www.prsss.ca/")</f>
        <v>http://www.prsss.ca/</v>
      </c>
      <c r="AA1669" t="s">
        <v>58</v>
      </c>
      <c r="AC1669" t="s">
        <v>58</v>
      </c>
      <c r="AE1669" t="s">
        <v>58</v>
      </c>
      <c r="AG1669" t="s">
        <v>63</v>
      </c>
      <c r="AH1669" s="11" t="str">
        <f t="shared" si="114"/>
        <v>mailto: soilterrain@victoria1.gov.bc.ca</v>
      </c>
    </row>
    <row r="1670" spans="1:34">
      <c r="A1670" t="s">
        <v>3867</v>
      </c>
      <c r="B1670" t="s">
        <v>56</v>
      </c>
      <c r="C1670" s="10" t="s">
        <v>609</v>
      </c>
      <c r="D1670" t="s">
        <v>58</v>
      </c>
      <c r="E1670" t="s">
        <v>3837</v>
      </c>
      <c r="F1670" t="s">
        <v>3868</v>
      </c>
      <c r="G1670">
        <v>50000</v>
      </c>
      <c r="H1670">
        <v>1988</v>
      </c>
      <c r="I1670" t="s">
        <v>3839</v>
      </c>
      <c r="J1670" t="s">
        <v>58</v>
      </c>
      <c r="K1670" t="s">
        <v>58</v>
      </c>
      <c r="L1670" t="s">
        <v>61</v>
      </c>
      <c r="M1670" t="s">
        <v>58</v>
      </c>
      <c r="Q1670" t="s">
        <v>58</v>
      </c>
      <c r="R1670" s="11" t="str">
        <f>HYPERLINK("\\imagefiles.bcgov\imagery\scanned_maps\moe_terrain_maps\Scanned_T_maps_all\K13\K13-2372","\\imagefiles.bcgov\imagery\scanned_maps\moe_terrain_maps\Scanned_T_maps_all\K13\K13-2372")</f>
        <v>\\imagefiles.bcgov\imagery\scanned_maps\moe_terrain_maps\Scanned_T_maps_all\K13\K13-2372</v>
      </c>
      <c r="S1670" t="s">
        <v>62</v>
      </c>
      <c r="T1670" s="11" t="str">
        <f>HYPERLINK("http://www.env.gov.bc.ca/esd/distdata/ecosystems/TEI_Scanned_Maps/K13/K13-2372","http://www.env.gov.bc.ca/esd/distdata/ecosystems/TEI_Scanned_Maps/K13/K13-2372")</f>
        <v>http://www.env.gov.bc.ca/esd/distdata/ecosystems/TEI_Scanned_Maps/K13/K13-2372</v>
      </c>
      <c r="U1670" t="s">
        <v>2495</v>
      </c>
      <c r="V1670" s="11" t="str">
        <f t="shared" si="113"/>
        <v>http://www.em.gov.bc.ca/mining/geolsurv/terrain&amp;soils/frbcguid.htm</v>
      </c>
      <c r="W1670" t="s">
        <v>269</v>
      </c>
      <c r="X1670" s="11" t="str">
        <f>HYPERLINK("http://www.library.for.gov.bc.ca/#focus","http://www.library.for.gov.bc.ca/#focus")</f>
        <v>http://www.library.for.gov.bc.ca/#focus</v>
      </c>
      <c r="Y1670" t="s">
        <v>3053</v>
      </c>
      <c r="Z1670" s="11" t="str">
        <f>HYPERLINK("http://www.prsss.ca/","http://www.prsss.ca/")</f>
        <v>http://www.prsss.ca/</v>
      </c>
      <c r="AA1670" t="s">
        <v>58</v>
      </c>
      <c r="AC1670" t="s">
        <v>58</v>
      </c>
      <c r="AE1670" t="s">
        <v>58</v>
      </c>
      <c r="AG1670" t="s">
        <v>63</v>
      </c>
      <c r="AH1670" s="11" t="str">
        <f t="shared" si="114"/>
        <v>mailto: soilterrain@victoria1.gov.bc.ca</v>
      </c>
    </row>
    <row r="1671" spans="1:34">
      <c r="A1671" t="s">
        <v>3869</v>
      </c>
      <c r="B1671" t="s">
        <v>56</v>
      </c>
      <c r="C1671" s="10" t="s">
        <v>948</v>
      </c>
      <c r="D1671" t="s">
        <v>58</v>
      </c>
      <c r="E1671" t="s">
        <v>3837</v>
      </c>
      <c r="F1671" t="s">
        <v>3870</v>
      </c>
      <c r="G1671">
        <v>50000</v>
      </c>
      <c r="H1671" t="s">
        <v>187</v>
      </c>
      <c r="I1671" t="s">
        <v>3217</v>
      </c>
      <c r="J1671" t="s">
        <v>58</v>
      </c>
      <c r="K1671" t="s">
        <v>58</v>
      </c>
      <c r="L1671" t="s">
        <v>61</v>
      </c>
      <c r="M1671" t="s">
        <v>58</v>
      </c>
      <c r="Q1671" t="s">
        <v>58</v>
      </c>
      <c r="R1671" s="11" t="str">
        <f>HYPERLINK("\\imagefiles.bcgov\imagery\scanned_maps\moe_terrain_maps\Scanned_T_maps_all\K13\K13-2373","\\imagefiles.bcgov\imagery\scanned_maps\moe_terrain_maps\Scanned_T_maps_all\K13\K13-2373")</f>
        <v>\\imagefiles.bcgov\imagery\scanned_maps\moe_terrain_maps\Scanned_T_maps_all\K13\K13-2373</v>
      </c>
      <c r="S1671" t="s">
        <v>62</v>
      </c>
      <c r="T1671" s="11" t="str">
        <f>HYPERLINK("http://www.env.gov.bc.ca/esd/distdata/ecosystems/TEI_Scanned_Maps/K13/K13-2373","http://www.env.gov.bc.ca/esd/distdata/ecosystems/TEI_Scanned_Maps/K13/K13-2373")</f>
        <v>http://www.env.gov.bc.ca/esd/distdata/ecosystems/TEI_Scanned_Maps/K13/K13-2373</v>
      </c>
      <c r="U1671" t="s">
        <v>58</v>
      </c>
      <c r="V1671" t="s">
        <v>58</v>
      </c>
      <c r="W1671" t="s">
        <v>58</v>
      </c>
      <c r="X1671" t="s">
        <v>58</v>
      </c>
      <c r="Y1671" t="s">
        <v>58</v>
      </c>
      <c r="Z1671" t="s">
        <v>58</v>
      </c>
      <c r="AA1671" t="s">
        <v>58</v>
      </c>
      <c r="AC1671" t="s">
        <v>58</v>
      </c>
      <c r="AE1671" t="s">
        <v>58</v>
      </c>
      <c r="AG1671" t="s">
        <v>63</v>
      </c>
      <c r="AH1671" s="11" t="str">
        <f t="shared" si="114"/>
        <v>mailto: soilterrain@victoria1.gov.bc.ca</v>
      </c>
    </row>
    <row r="1672" spans="1:34">
      <c r="A1672" t="s">
        <v>3871</v>
      </c>
      <c r="B1672" t="s">
        <v>56</v>
      </c>
      <c r="C1672" s="10" t="s">
        <v>3872</v>
      </c>
      <c r="D1672" t="s">
        <v>58</v>
      </c>
      <c r="E1672" t="s">
        <v>3837</v>
      </c>
      <c r="F1672" t="s">
        <v>3873</v>
      </c>
      <c r="G1672">
        <v>50000</v>
      </c>
      <c r="H1672">
        <v>1988</v>
      </c>
      <c r="I1672" t="s">
        <v>3217</v>
      </c>
      <c r="J1672" t="s">
        <v>58</v>
      </c>
      <c r="K1672" t="s">
        <v>58</v>
      </c>
      <c r="L1672" t="s">
        <v>61</v>
      </c>
      <c r="M1672" t="s">
        <v>58</v>
      </c>
      <c r="Q1672" t="s">
        <v>58</v>
      </c>
      <c r="R1672" s="11" t="str">
        <f>HYPERLINK("\\imagefiles.bcgov\imagery\scanned_maps\moe_terrain_maps\Scanned_T_maps_all\K13\K13-2374","\\imagefiles.bcgov\imagery\scanned_maps\moe_terrain_maps\Scanned_T_maps_all\K13\K13-2374")</f>
        <v>\\imagefiles.bcgov\imagery\scanned_maps\moe_terrain_maps\Scanned_T_maps_all\K13\K13-2374</v>
      </c>
      <c r="S1672" t="s">
        <v>62</v>
      </c>
      <c r="T1672" s="11" t="str">
        <f>HYPERLINK("http://www.env.gov.bc.ca/esd/distdata/ecosystems/TEI_Scanned_Maps/K13/K13-2374","http://www.env.gov.bc.ca/esd/distdata/ecosystems/TEI_Scanned_Maps/K13/K13-2374")</f>
        <v>http://www.env.gov.bc.ca/esd/distdata/ecosystems/TEI_Scanned_Maps/K13/K13-2374</v>
      </c>
      <c r="U1672" t="s">
        <v>58</v>
      </c>
      <c r="V1672" t="s">
        <v>58</v>
      </c>
      <c r="W1672" t="s">
        <v>58</v>
      </c>
      <c r="X1672" t="s">
        <v>58</v>
      </c>
      <c r="Y1672" t="s">
        <v>58</v>
      </c>
      <c r="Z1672" t="s">
        <v>58</v>
      </c>
      <c r="AA1672" t="s">
        <v>58</v>
      </c>
      <c r="AC1672" t="s">
        <v>58</v>
      </c>
      <c r="AE1672" t="s">
        <v>58</v>
      </c>
      <c r="AG1672" t="s">
        <v>63</v>
      </c>
      <c r="AH1672" s="11" t="str">
        <f t="shared" si="114"/>
        <v>mailto: soilterrain@victoria1.gov.bc.ca</v>
      </c>
    </row>
    <row r="1673" spans="1:34">
      <c r="A1673" t="s">
        <v>3874</v>
      </c>
      <c r="B1673" t="s">
        <v>56</v>
      </c>
      <c r="C1673" s="10" t="s">
        <v>3875</v>
      </c>
      <c r="D1673" t="s">
        <v>58</v>
      </c>
      <c r="E1673" t="s">
        <v>3837</v>
      </c>
      <c r="F1673" t="s">
        <v>3876</v>
      </c>
      <c r="G1673">
        <v>50000</v>
      </c>
      <c r="H1673">
        <v>1988</v>
      </c>
      <c r="I1673" t="s">
        <v>3217</v>
      </c>
      <c r="J1673" t="s">
        <v>58</v>
      </c>
      <c r="K1673" t="s">
        <v>58</v>
      </c>
      <c r="L1673" t="s">
        <v>61</v>
      </c>
      <c r="M1673" t="s">
        <v>58</v>
      </c>
      <c r="Q1673" t="s">
        <v>58</v>
      </c>
      <c r="R1673" s="11" t="str">
        <f>HYPERLINK("\\imagefiles.bcgov\imagery\scanned_maps\moe_terrain_maps\Scanned_T_maps_all\K13\K13-2375","\\imagefiles.bcgov\imagery\scanned_maps\moe_terrain_maps\Scanned_T_maps_all\K13\K13-2375")</f>
        <v>\\imagefiles.bcgov\imagery\scanned_maps\moe_terrain_maps\Scanned_T_maps_all\K13\K13-2375</v>
      </c>
      <c r="S1673" t="s">
        <v>62</v>
      </c>
      <c r="T1673" s="11" t="str">
        <f>HYPERLINK("http://www.env.gov.bc.ca/esd/distdata/ecosystems/TEI_Scanned_Maps/K13/K13-2375","http://www.env.gov.bc.ca/esd/distdata/ecosystems/TEI_Scanned_Maps/K13/K13-2375")</f>
        <v>http://www.env.gov.bc.ca/esd/distdata/ecosystems/TEI_Scanned_Maps/K13/K13-2375</v>
      </c>
      <c r="U1673" t="s">
        <v>58</v>
      </c>
      <c r="V1673" t="s">
        <v>58</v>
      </c>
      <c r="W1673" t="s">
        <v>58</v>
      </c>
      <c r="X1673" t="s">
        <v>58</v>
      </c>
      <c r="Y1673" t="s">
        <v>58</v>
      </c>
      <c r="Z1673" t="s">
        <v>58</v>
      </c>
      <c r="AA1673" t="s">
        <v>58</v>
      </c>
      <c r="AC1673" t="s">
        <v>58</v>
      </c>
      <c r="AE1673" t="s">
        <v>58</v>
      </c>
      <c r="AG1673" t="s">
        <v>63</v>
      </c>
      <c r="AH1673" s="11" t="str">
        <f t="shared" si="114"/>
        <v>mailto: soilterrain@victoria1.gov.bc.ca</v>
      </c>
    </row>
    <row r="1674" spans="1:34">
      <c r="A1674" t="s">
        <v>3877</v>
      </c>
      <c r="B1674" t="s">
        <v>56</v>
      </c>
      <c r="C1674" s="10" t="s">
        <v>3878</v>
      </c>
      <c r="D1674" t="s">
        <v>58</v>
      </c>
      <c r="E1674" t="s">
        <v>3837</v>
      </c>
      <c r="F1674" t="s">
        <v>3879</v>
      </c>
      <c r="G1674">
        <v>50000</v>
      </c>
      <c r="H1674">
        <v>1987</v>
      </c>
      <c r="I1674" t="s">
        <v>3217</v>
      </c>
      <c r="J1674" t="s">
        <v>58</v>
      </c>
      <c r="K1674" t="s">
        <v>58</v>
      </c>
      <c r="L1674" t="s">
        <v>61</v>
      </c>
      <c r="M1674" t="s">
        <v>58</v>
      </c>
      <c r="Q1674" t="s">
        <v>58</v>
      </c>
      <c r="R1674" s="11" t="str">
        <f>HYPERLINK("\\imagefiles.bcgov\imagery\scanned_maps\moe_terrain_maps\Scanned_T_maps_all\K13\K13-2376","\\imagefiles.bcgov\imagery\scanned_maps\moe_terrain_maps\Scanned_T_maps_all\K13\K13-2376")</f>
        <v>\\imagefiles.bcgov\imagery\scanned_maps\moe_terrain_maps\Scanned_T_maps_all\K13\K13-2376</v>
      </c>
      <c r="S1674" t="s">
        <v>62</v>
      </c>
      <c r="T1674" s="11" t="str">
        <f>HYPERLINK("http://www.env.gov.bc.ca/esd/distdata/ecosystems/TEI_Scanned_Maps/K13/K13-2376","http://www.env.gov.bc.ca/esd/distdata/ecosystems/TEI_Scanned_Maps/K13/K13-2376")</f>
        <v>http://www.env.gov.bc.ca/esd/distdata/ecosystems/TEI_Scanned_Maps/K13/K13-2376</v>
      </c>
      <c r="U1674" t="s">
        <v>58</v>
      </c>
      <c r="V1674" t="s">
        <v>58</v>
      </c>
      <c r="W1674" t="s">
        <v>58</v>
      </c>
      <c r="X1674" t="s">
        <v>58</v>
      </c>
      <c r="Y1674" t="s">
        <v>58</v>
      </c>
      <c r="Z1674" t="s">
        <v>58</v>
      </c>
      <c r="AA1674" t="s">
        <v>58</v>
      </c>
      <c r="AC1674" t="s">
        <v>58</v>
      </c>
      <c r="AE1674" t="s">
        <v>58</v>
      </c>
      <c r="AG1674" t="s">
        <v>63</v>
      </c>
      <c r="AH1674" s="11" t="str">
        <f t="shared" si="114"/>
        <v>mailto: soilterrain@victoria1.gov.bc.ca</v>
      </c>
    </row>
    <row r="1675" spans="1:34">
      <c r="A1675" t="s">
        <v>3880</v>
      </c>
      <c r="B1675" t="s">
        <v>56</v>
      </c>
      <c r="C1675" s="10" t="s">
        <v>612</v>
      </c>
      <c r="D1675" t="s">
        <v>58</v>
      </c>
      <c r="E1675" t="s">
        <v>3837</v>
      </c>
      <c r="F1675" t="s">
        <v>3881</v>
      </c>
      <c r="G1675">
        <v>50000</v>
      </c>
      <c r="H1675" t="s">
        <v>187</v>
      </c>
      <c r="I1675" t="s">
        <v>3217</v>
      </c>
      <c r="J1675" t="s">
        <v>58</v>
      </c>
      <c r="K1675" t="s">
        <v>58</v>
      </c>
      <c r="L1675" t="s">
        <v>61</v>
      </c>
      <c r="M1675" t="s">
        <v>58</v>
      </c>
      <c r="Q1675" t="s">
        <v>58</v>
      </c>
      <c r="R1675" s="11" t="str">
        <f>HYPERLINK("\\imagefiles.bcgov\imagery\scanned_maps\moe_terrain_maps\Scanned_T_maps_all\K13\K13-2377","\\imagefiles.bcgov\imagery\scanned_maps\moe_terrain_maps\Scanned_T_maps_all\K13\K13-2377")</f>
        <v>\\imagefiles.bcgov\imagery\scanned_maps\moe_terrain_maps\Scanned_T_maps_all\K13\K13-2377</v>
      </c>
      <c r="S1675" t="s">
        <v>62</v>
      </c>
      <c r="T1675" s="11" t="str">
        <f>HYPERLINK("http://www.env.gov.bc.ca/esd/distdata/ecosystems/TEI_Scanned_Maps/K13/K13-2377","http://www.env.gov.bc.ca/esd/distdata/ecosystems/TEI_Scanned_Maps/K13/K13-2377")</f>
        <v>http://www.env.gov.bc.ca/esd/distdata/ecosystems/TEI_Scanned_Maps/K13/K13-2377</v>
      </c>
      <c r="U1675" t="s">
        <v>58</v>
      </c>
      <c r="V1675" t="s">
        <v>58</v>
      </c>
      <c r="W1675" t="s">
        <v>58</v>
      </c>
      <c r="X1675" t="s">
        <v>58</v>
      </c>
      <c r="Y1675" t="s">
        <v>58</v>
      </c>
      <c r="Z1675" t="s">
        <v>58</v>
      </c>
      <c r="AA1675" t="s">
        <v>58</v>
      </c>
      <c r="AC1675" t="s">
        <v>58</v>
      </c>
      <c r="AE1675" t="s">
        <v>58</v>
      </c>
      <c r="AG1675" t="s">
        <v>63</v>
      </c>
      <c r="AH1675" s="11" t="str">
        <f t="shared" si="114"/>
        <v>mailto: soilterrain@victoria1.gov.bc.ca</v>
      </c>
    </row>
    <row r="1676" spans="1:34">
      <c r="A1676" t="s">
        <v>3882</v>
      </c>
      <c r="B1676" t="s">
        <v>56</v>
      </c>
      <c r="C1676" s="10" t="s">
        <v>318</v>
      </c>
      <c r="D1676" t="s">
        <v>58</v>
      </c>
      <c r="E1676" t="s">
        <v>3837</v>
      </c>
      <c r="F1676" t="s">
        <v>3883</v>
      </c>
      <c r="G1676">
        <v>50000</v>
      </c>
      <c r="H1676">
        <v>1985</v>
      </c>
      <c r="I1676" t="s">
        <v>3217</v>
      </c>
      <c r="J1676" t="s">
        <v>58</v>
      </c>
      <c r="K1676" t="s">
        <v>58</v>
      </c>
      <c r="L1676" t="s">
        <v>61</v>
      </c>
      <c r="M1676" t="s">
        <v>58</v>
      </c>
      <c r="Q1676" t="s">
        <v>58</v>
      </c>
      <c r="R1676" s="11" t="str">
        <f>HYPERLINK("\\imagefiles.bcgov\imagery\scanned_maps\moe_terrain_maps\Scanned_T_maps_all\K13\K13-2378","\\imagefiles.bcgov\imagery\scanned_maps\moe_terrain_maps\Scanned_T_maps_all\K13\K13-2378")</f>
        <v>\\imagefiles.bcgov\imagery\scanned_maps\moe_terrain_maps\Scanned_T_maps_all\K13\K13-2378</v>
      </c>
      <c r="S1676" t="s">
        <v>62</v>
      </c>
      <c r="T1676" s="11" t="str">
        <f>HYPERLINK("http://www.env.gov.bc.ca/esd/distdata/ecosystems/TEI_Scanned_Maps/K13/K13-2378","http://www.env.gov.bc.ca/esd/distdata/ecosystems/TEI_Scanned_Maps/K13/K13-2378")</f>
        <v>http://www.env.gov.bc.ca/esd/distdata/ecosystems/TEI_Scanned_Maps/K13/K13-2378</v>
      </c>
      <c r="U1676" t="s">
        <v>58</v>
      </c>
      <c r="V1676" t="s">
        <v>58</v>
      </c>
      <c r="W1676" t="s">
        <v>58</v>
      </c>
      <c r="X1676" t="s">
        <v>58</v>
      </c>
      <c r="Y1676" t="s">
        <v>58</v>
      </c>
      <c r="Z1676" t="s">
        <v>58</v>
      </c>
      <c r="AA1676" t="s">
        <v>58</v>
      </c>
      <c r="AC1676" t="s">
        <v>58</v>
      </c>
      <c r="AE1676" t="s">
        <v>58</v>
      </c>
      <c r="AG1676" t="s">
        <v>63</v>
      </c>
      <c r="AH1676" s="11" t="str">
        <f t="shared" si="114"/>
        <v>mailto: soilterrain@victoria1.gov.bc.ca</v>
      </c>
    </row>
    <row r="1677" spans="1:34">
      <c r="A1677" t="s">
        <v>3884</v>
      </c>
      <c r="B1677" t="s">
        <v>56</v>
      </c>
      <c r="C1677" s="10" t="s">
        <v>322</v>
      </c>
      <c r="D1677" t="s">
        <v>58</v>
      </c>
      <c r="E1677" t="s">
        <v>3837</v>
      </c>
      <c r="F1677" t="s">
        <v>3885</v>
      </c>
      <c r="G1677">
        <v>50000</v>
      </c>
      <c r="H1677">
        <v>1987</v>
      </c>
      <c r="I1677" t="s">
        <v>3217</v>
      </c>
      <c r="J1677" t="s">
        <v>58</v>
      </c>
      <c r="K1677" t="s">
        <v>58</v>
      </c>
      <c r="L1677" t="s">
        <v>61</v>
      </c>
      <c r="M1677" t="s">
        <v>58</v>
      </c>
      <c r="Q1677" t="s">
        <v>58</v>
      </c>
      <c r="R1677" s="11" t="str">
        <f>HYPERLINK("\\imagefiles.bcgov\imagery\scanned_maps\moe_terrain_maps\Scanned_T_maps_all\K13\K13-2379","\\imagefiles.bcgov\imagery\scanned_maps\moe_terrain_maps\Scanned_T_maps_all\K13\K13-2379")</f>
        <v>\\imagefiles.bcgov\imagery\scanned_maps\moe_terrain_maps\Scanned_T_maps_all\K13\K13-2379</v>
      </c>
      <c r="S1677" t="s">
        <v>62</v>
      </c>
      <c r="T1677" s="11" t="str">
        <f>HYPERLINK("http://www.env.gov.bc.ca/esd/distdata/ecosystems/TEI_Scanned_Maps/K13/K13-2379","http://www.env.gov.bc.ca/esd/distdata/ecosystems/TEI_Scanned_Maps/K13/K13-2379")</f>
        <v>http://www.env.gov.bc.ca/esd/distdata/ecosystems/TEI_Scanned_Maps/K13/K13-2379</v>
      </c>
      <c r="U1677" t="s">
        <v>58</v>
      </c>
      <c r="V1677" t="s">
        <v>58</v>
      </c>
      <c r="W1677" t="s">
        <v>58</v>
      </c>
      <c r="X1677" t="s">
        <v>58</v>
      </c>
      <c r="Y1677" t="s">
        <v>58</v>
      </c>
      <c r="Z1677" t="s">
        <v>58</v>
      </c>
      <c r="AA1677" t="s">
        <v>58</v>
      </c>
      <c r="AC1677" t="s">
        <v>58</v>
      </c>
      <c r="AE1677" t="s">
        <v>58</v>
      </c>
      <c r="AG1677" t="s">
        <v>63</v>
      </c>
      <c r="AH1677" s="11" t="str">
        <f t="shared" si="114"/>
        <v>mailto: soilterrain@victoria1.gov.bc.ca</v>
      </c>
    </row>
    <row r="1678" spans="1:34">
      <c r="A1678" t="s">
        <v>3886</v>
      </c>
      <c r="B1678" t="s">
        <v>56</v>
      </c>
      <c r="C1678" s="10" t="s">
        <v>619</v>
      </c>
      <c r="D1678" t="s">
        <v>58</v>
      </c>
      <c r="E1678" t="s">
        <v>3837</v>
      </c>
      <c r="F1678" t="s">
        <v>3883</v>
      </c>
      <c r="G1678">
        <v>50000</v>
      </c>
      <c r="H1678">
        <v>1987</v>
      </c>
      <c r="I1678" t="s">
        <v>3217</v>
      </c>
      <c r="J1678" t="s">
        <v>58</v>
      </c>
      <c r="K1678" t="s">
        <v>58</v>
      </c>
      <c r="L1678" t="s">
        <v>61</v>
      </c>
      <c r="M1678" t="s">
        <v>58</v>
      </c>
      <c r="Q1678" t="s">
        <v>58</v>
      </c>
      <c r="R1678" s="11" t="str">
        <f>HYPERLINK("\\imagefiles.bcgov\imagery\scanned_maps\moe_terrain_maps\Scanned_T_maps_all\K13\K13-2380","\\imagefiles.bcgov\imagery\scanned_maps\moe_terrain_maps\Scanned_T_maps_all\K13\K13-2380")</f>
        <v>\\imagefiles.bcgov\imagery\scanned_maps\moe_terrain_maps\Scanned_T_maps_all\K13\K13-2380</v>
      </c>
      <c r="S1678" t="s">
        <v>62</v>
      </c>
      <c r="T1678" s="11" t="str">
        <f>HYPERLINK("http://www.env.gov.bc.ca/esd/distdata/ecosystems/TEI_Scanned_Maps/K13/K13-2380","http://www.env.gov.bc.ca/esd/distdata/ecosystems/TEI_Scanned_Maps/K13/K13-2380")</f>
        <v>http://www.env.gov.bc.ca/esd/distdata/ecosystems/TEI_Scanned_Maps/K13/K13-2380</v>
      </c>
      <c r="U1678" t="s">
        <v>58</v>
      </c>
      <c r="V1678" t="s">
        <v>58</v>
      </c>
      <c r="W1678" t="s">
        <v>58</v>
      </c>
      <c r="X1678" t="s">
        <v>58</v>
      </c>
      <c r="Y1678" t="s">
        <v>58</v>
      </c>
      <c r="Z1678" t="s">
        <v>58</v>
      </c>
      <c r="AA1678" t="s">
        <v>58</v>
      </c>
      <c r="AC1678" t="s">
        <v>58</v>
      </c>
      <c r="AE1678" t="s">
        <v>58</v>
      </c>
      <c r="AG1678" t="s">
        <v>63</v>
      </c>
      <c r="AH1678" s="11" t="str">
        <f t="shared" si="114"/>
        <v>mailto: soilterrain@victoria1.gov.bc.ca</v>
      </c>
    </row>
    <row r="1679" spans="1:34">
      <c r="A1679" t="s">
        <v>3887</v>
      </c>
      <c r="B1679" t="s">
        <v>56</v>
      </c>
      <c r="C1679" s="10" t="s">
        <v>1565</v>
      </c>
      <c r="D1679" t="s">
        <v>58</v>
      </c>
      <c r="E1679" t="s">
        <v>3147</v>
      </c>
      <c r="F1679" t="s">
        <v>3888</v>
      </c>
      <c r="G1679">
        <v>50000</v>
      </c>
      <c r="H1679">
        <v>1987</v>
      </c>
      <c r="I1679" t="s">
        <v>3149</v>
      </c>
      <c r="J1679" t="s">
        <v>58</v>
      </c>
      <c r="K1679" t="s">
        <v>61</v>
      </c>
      <c r="L1679" t="s">
        <v>61</v>
      </c>
      <c r="M1679" t="s">
        <v>58</v>
      </c>
      <c r="Q1679" t="s">
        <v>58</v>
      </c>
      <c r="R1679" s="11" t="str">
        <f>HYPERLINK("\\imagefiles.bcgov\imagery\scanned_maps\moe_terrain_maps\Scanned_T_maps_all\K13\K13-2386","\\imagefiles.bcgov\imagery\scanned_maps\moe_terrain_maps\Scanned_T_maps_all\K13\K13-2386")</f>
        <v>\\imagefiles.bcgov\imagery\scanned_maps\moe_terrain_maps\Scanned_T_maps_all\K13\K13-2386</v>
      </c>
      <c r="S1679" t="s">
        <v>62</v>
      </c>
      <c r="T1679" s="11" t="str">
        <f>HYPERLINK("http://www.env.gov.bc.ca/esd/distdata/ecosystems/TEI_Scanned_Maps/K13/K13-2386","http://www.env.gov.bc.ca/esd/distdata/ecosystems/TEI_Scanned_Maps/K13/K13-2386")</f>
        <v>http://www.env.gov.bc.ca/esd/distdata/ecosystems/TEI_Scanned_Maps/K13/K13-2386</v>
      </c>
      <c r="U1679" t="s">
        <v>2495</v>
      </c>
      <c r="V1679" s="11" t="str">
        <f t="shared" ref="V1679:V1685" si="115">HYPERLINK("http://www.em.gov.bc.ca/mining/geolsurv/terrain&amp;soils/frbcguid.htm","http://www.em.gov.bc.ca/mining/geolsurv/terrain&amp;soils/frbcguid.htm")</f>
        <v>http://www.em.gov.bc.ca/mining/geolsurv/terrain&amp;soils/frbcguid.htm</v>
      </c>
      <c r="W1679" t="s">
        <v>2489</v>
      </c>
      <c r="X1679" s="11" t="str">
        <f t="shared" ref="X1679:X1685" si="116">HYPERLINK("http://www.em.gov.bc.ca/mining/geolsurv/terrain&amp;soils/frbcguid.htm","http://www.em.gov.bc.ca/mining/geolsurv/terrain&amp;soils/frbcguid.htm")</f>
        <v>http://www.em.gov.bc.ca/mining/geolsurv/terrain&amp;soils/frbcguid.htm</v>
      </c>
      <c r="Y1679" t="s">
        <v>269</v>
      </c>
      <c r="Z1679" s="11" t="str">
        <f t="shared" ref="Z1679:Z1685" si="117">HYPERLINK("http://www.library.for.gov.bc.ca/#focus","http://www.library.for.gov.bc.ca/#focus")</f>
        <v>http://www.library.for.gov.bc.ca/#focus</v>
      </c>
      <c r="AA1679" t="s">
        <v>2500</v>
      </c>
      <c r="AB1679" s="11" t="str">
        <f t="shared" ref="AB1679:AB1685" si="118">HYPERLINK("http://www.crownpub.bc.ca/","http://www.crownpub.bc.ca/")</f>
        <v>http://www.crownpub.bc.ca/</v>
      </c>
      <c r="AC1679" t="s">
        <v>58</v>
      </c>
      <c r="AD1679" s="11" t="str">
        <f t="shared" ref="AD1679:AD1685" si="119">HYPERLINK("http://www.env.gov.bc.ca/soils/project/report.html","http://www.env.gov.bc.ca/soils/project/report.html")</f>
        <v>http://www.env.gov.bc.ca/soils/project/report.html</v>
      </c>
      <c r="AE1679" t="s">
        <v>58</v>
      </c>
      <c r="AG1679" t="s">
        <v>63</v>
      </c>
      <c r="AH1679" s="11" t="str">
        <f t="shared" si="114"/>
        <v>mailto: soilterrain@victoria1.gov.bc.ca</v>
      </c>
    </row>
    <row r="1680" spans="1:34">
      <c r="A1680" t="s">
        <v>3889</v>
      </c>
      <c r="B1680" t="s">
        <v>56</v>
      </c>
      <c r="C1680" s="10" t="s">
        <v>1567</v>
      </c>
      <c r="D1680" t="s">
        <v>58</v>
      </c>
      <c r="E1680" t="s">
        <v>3147</v>
      </c>
      <c r="F1680" t="s">
        <v>3890</v>
      </c>
      <c r="G1680">
        <v>50000</v>
      </c>
      <c r="H1680">
        <v>1987</v>
      </c>
      <c r="I1680" t="s">
        <v>3149</v>
      </c>
      <c r="J1680" t="s">
        <v>58</v>
      </c>
      <c r="K1680" t="s">
        <v>61</v>
      </c>
      <c r="L1680" t="s">
        <v>61</v>
      </c>
      <c r="M1680" t="s">
        <v>58</v>
      </c>
      <c r="Q1680" t="s">
        <v>58</v>
      </c>
      <c r="R1680" s="11" t="str">
        <f>HYPERLINK("\\imagefiles.bcgov\imagery\scanned_maps\moe_terrain_maps\Scanned_T_maps_all\K13\K13-2388","\\imagefiles.bcgov\imagery\scanned_maps\moe_terrain_maps\Scanned_T_maps_all\K13\K13-2388")</f>
        <v>\\imagefiles.bcgov\imagery\scanned_maps\moe_terrain_maps\Scanned_T_maps_all\K13\K13-2388</v>
      </c>
      <c r="S1680" t="s">
        <v>62</v>
      </c>
      <c r="T1680" s="11" t="str">
        <f>HYPERLINK("http://www.env.gov.bc.ca/esd/distdata/ecosystems/TEI_Scanned_Maps/K13/K13-2388","http://www.env.gov.bc.ca/esd/distdata/ecosystems/TEI_Scanned_Maps/K13/K13-2388")</f>
        <v>http://www.env.gov.bc.ca/esd/distdata/ecosystems/TEI_Scanned_Maps/K13/K13-2388</v>
      </c>
      <c r="U1680" t="s">
        <v>2495</v>
      </c>
      <c r="V1680" s="11" t="str">
        <f t="shared" si="115"/>
        <v>http://www.em.gov.bc.ca/mining/geolsurv/terrain&amp;soils/frbcguid.htm</v>
      </c>
      <c r="W1680" t="s">
        <v>2489</v>
      </c>
      <c r="X1680" s="11" t="str">
        <f t="shared" si="116"/>
        <v>http://www.em.gov.bc.ca/mining/geolsurv/terrain&amp;soils/frbcguid.htm</v>
      </c>
      <c r="Y1680" t="s">
        <v>269</v>
      </c>
      <c r="Z1680" s="11" t="str">
        <f t="shared" si="117"/>
        <v>http://www.library.for.gov.bc.ca/#focus</v>
      </c>
      <c r="AA1680" t="s">
        <v>2500</v>
      </c>
      <c r="AB1680" s="11" t="str">
        <f t="shared" si="118"/>
        <v>http://www.crownpub.bc.ca/</v>
      </c>
      <c r="AC1680" t="s">
        <v>58</v>
      </c>
      <c r="AD1680" s="11" t="str">
        <f t="shared" si="119"/>
        <v>http://www.env.gov.bc.ca/soils/project/report.html</v>
      </c>
      <c r="AE1680" t="s">
        <v>58</v>
      </c>
      <c r="AG1680" t="s">
        <v>63</v>
      </c>
      <c r="AH1680" s="11" t="str">
        <f t="shared" si="114"/>
        <v>mailto: soilterrain@victoria1.gov.bc.ca</v>
      </c>
    </row>
    <row r="1681" spans="1:34">
      <c r="A1681" t="s">
        <v>3891</v>
      </c>
      <c r="B1681" t="s">
        <v>56</v>
      </c>
      <c r="C1681" s="10" t="s">
        <v>1569</v>
      </c>
      <c r="D1681" t="s">
        <v>58</v>
      </c>
      <c r="E1681" t="s">
        <v>3147</v>
      </c>
      <c r="F1681" t="s">
        <v>3892</v>
      </c>
      <c r="G1681">
        <v>50000</v>
      </c>
      <c r="H1681">
        <v>1988</v>
      </c>
      <c r="I1681" t="s">
        <v>3149</v>
      </c>
      <c r="J1681" t="s">
        <v>58</v>
      </c>
      <c r="K1681" t="s">
        <v>61</v>
      </c>
      <c r="L1681" t="s">
        <v>61</v>
      </c>
      <c r="M1681" t="s">
        <v>58</v>
      </c>
      <c r="Q1681" t="s">
        <v>58</v>
      </c>
      <c r="R1681" s="11" t="str">
        <f>HYPERLINK("\\imagefiles.bcgov\imagery\scanned_maps\moe_terrain_maps\Scanned_T_maps_all\K13\K13-2390","\\imagefiles.bcgov\imagery\scanned_maps\moe_terrain_maps\Scanned_T_maps_all\K13\K13-2390")</f>
        <v>\\imagefiles.bcgov\imagery\scanned_maps\moe_terrain_maps\Scanned_T_maps_all\K13\K13-2390</v>
      </c>
      <c r="S1681" t="s">
        <v>62</v>
      </c>
      <c r="T1681" s="11" t="str">
        <f>HYPERLINK("http://www.env.gov.bc.ca/esd/distdata/ecosystems/TEI_Scanned_Maps/K13/K13-2390","http://www.env.gov.bc.ca/esd/distdata/ecosystems/TEI_Scanned_Maps/K13/K13-2390")</f>
        <v>http://www.env.gov.bc.ca/esd/distdata/ecosystems/TEI_Scanned_Maps/K13/K13-2390</v>
      </c>
      <c r="U1681" t="s">
        <v>2495</v>
      </c>
      <c r="V1681" s="11" t="str">
        <f t="shared" si="115"/>
        <v>http://www.em.gov.bc.ca/mining/geolsurv/terrain&amp;soils/frbcguid.htm</v>
      </c>
      <c r="W1681" t="s">
        <v>2489</v>
      </c>
      <c r="X1681" s="11" t="str">
        <f t="shared" si="116"/>
        <v>http://www.em.gov.bc.ca/mining/geolsurv/terrain&amp;soils/frbcguid.htm</v>
      </c>
      <c r="Y1681" t="s">
        <v>269</v>
      </c>
      <c r="Z1681" s="11" t="str">
        <f t="shared" si="117"/>
        <v>http://www.library.for.gov.bc.ca/#focus</v>
      </c>
      <c r="AA1681" t="s">
        <v>2500</v>
      </c>
      <c r="AB1681" s="11" t="str">
        <f t="shared" si="118"/>
        <v>http://www.crownpub.bc.ca/</v>
      </c>
      <c r="AC1681" t="s">
        <v>58</v>
      </c>
      <c r="AD1681" s="11" t="str">
        <f t="shared" si="119"/>
        <v>http://www.env.gov.bc.ca/soils/project/report.html</v>
      </c>
      <c r="AE1681" t="s">
        <v>58</v>
      </c>
      <c r="AG1681" t="s">
        <v>63</v>
      </c>
      <c r="AH1681" s="11" t="str">
        <f t="shared" si="114"/>
        <v>mailto: soilterrain@victoria1.gov.bc.ca</v>
      </c>
    </row>
    <row r="1682" spans="1:34">
      <c r="A1682" t="s">
        <v>3893</v>
      </c>
      <c r="B1682" t="s">
        <v>56</v>
      </c>
      <c r="C1682" s="10" t="s">
        <v>1573</v>
      </c>
      <c r="D1682" t="s">
        <v>58</v>
      </c>
      <c r="E1682" t="s">
        <v>3147</v>
      </c>
      <c r="F1682" t="s">
        <v>3894</v>
      </c>
      <c r="G1682">
        <v>50000</v>
      </c>
      <c r="H1682">
        <v>1987</v>
      </c>
      <c r="I1682" t="s">
        <v>3149</v>
      </c>
      <c r="J1682" t="s">
        <v>58</v>
      </c>
      <c r="K1682" t="s">
        <v>61</v>
      </c>
      <c r="L1682" t="s">
        <v>61</v>
      </c>
      <c r="M1682" t="s">
        <v>58</v>
      </c>
      <c r="Q1682" t="s">
        <v>58</v>
      </c>
      <c r="R1682" s="11" t="str">
        <f>HYPERLINK("\\imagefiles.bcgov\imagery\scanned_maps\moe_terrain_maps\Scanned_T_maps_all\K13\K13-2394","\\imagefiles.bcgov\imagery\scanned_maps\moe_terrain_maps\Scanned_T_maps_all\K13\K13-2394")</f>
        <v>\\imagefiles.bcgov\imagery\scanned_maps\moe_terrain_maps\Scanned_T_maps_all\K13\K13-2394</v>
      </c>
      <c r="S1682" t="s">
        <v>62</v>
      </c>
      <c r="T1682" s="11" t="str">
        <f>HYPERLINK("http://www.env.gov.bc.ca/esd/distdata/ecosystems/TEI_Scanned_Maps/K13/K13-2394","http://www.env.gov.bc.ca/esd/distdata/ecosystems/TEI_Scanned_Maps/K13/K13-2394")</f>
        <v>http://www.env.gov.bc.ca/esd/distdata/ecosystems/TEI_Scanned_Maps/K13/K13-2394</v>
      </c>
      <c r="U1682" t="s">
        <v>2495</v>
      </c>
      <c r="V1682" s="11" t="str">
        <f t="shared" si="115"/>
        <v>http://www.em.gov.bc.ca/mining/geolsurv/terrain&amp;soils/frbcguid.htm</v>
      </c>
      <c r="W1682" t="s">
        <v>2489</v>
      </c>
      <c r="X1682" s="11" t="str">
        <f t="shared" si="116"/>
        <v>http://www.em.gov.bc.ca/mining/geolsurv/terrain&amp;soils/frbcguid.htm</v>
      </c>
      <c r="Y1682" t="s">
        <v>269</v>
      </c>
      <c r="Z1682" s="11" t="str">
        <f t="shared" si="117"/>
        <v>http://www.library.for.gov.bc.ca/#focus</v>
      </c>
      <c r="AA1682" t="s">
        <v>2500</v>
      </c>
      <c r="AB1682" s="11" t="str">
        <f t="shared" si="118"/>
        <v>http://www.crownpub.bc.ca/</v>
      </c>
      <c r="AC1682" t="s">
        <v>58</v>
      </c>
      <c r="AD1682" s="11" t="str">
        <f t="shared" si="119"/>
        <v>http://www.env.gov.bc.ca/soils/project/report.html</v>
      </c>
      <c r="AE1682" t="s">
        <v>58</v>
      </c>
      <c r="AG1682" t="s">
        <v>63</v>
      </c>
      <c r="AH1682" s="11" t="str">
        <f t="shared" si="114"/>
        <v>mailto: soilterrain@victoria1.gov.bc.ca</v>
      </c>
    </row>
    <row r="1683" spans="1:34">
      <c r="A1683" t="s">
        <v>3895</v>
      </c>
      <c r="B1683" t="s">
        <v>56</v>
      </c>
      <c r="C1683" s="10" t="s">
        <v>1575</v>
      </c>
      <c r="D1683" t="s">
        <v>58</v>
      </c>
      <c r="E1683" t="s">
        <v>3147</v>
      </c>
      <c r="F1683" t="s">
        <v>3896</v>
      </c>
      <c r="G1683">
        <v>50000</v>
      </c>
      <c r="H1683">
        <v>1987</v>
      </c>
      <c r="I1683" t="s">
        <v>3149</v>
      </c>
      <c r="J1683" t="s">
        <v>58</v>
      </c>
      <c r="K1683" t="s">
        <v>61</v>
      </c>
      <c r="L1683" t="s">
        <v>61</v>
      </c>
      <c r="M1683" t="s">
        <v>58</v>
      </c>
      <c r="Q1683" t="s">
        <v>58</v>
      </c>
      <c r="R1683" s="11" t="str">
        <f>HYPERLINK("\\imagefiles.bcgov\imagery\scanned_maps\moe_terrain_maps\Scanned_T_maps_all\K13\K13-2396","\\imagefiles.bcgov\imagery\scanned_maps\moe_terrain_maps\Scanned_T_maps_all\K13\K13-2396")</f>
        <v>\\imagefiles.bcgov\imagery\scanned_maps\moe_terrain_maps\Scanned_T_maps_all\K13\K13-2396</v>
      </c>
      <c r="S1683" t="s">
        <v>62</v>
      </c>
      <c r="T1683" s="11" t="str">
        <f>HYPERLINK("http://www.env.gov.bc.ca/esd/distdata/ecosystems/TEI_Scanned_Maps/K13/K13-2396","http://www.env.gov.bc.ca/esd/distdata/ecosystems/TEI_Scanned_Maps/K13/K13-2396")</f>
        <v>http://www.env.gov.bc.ca/esd/distdata/ecosystems/TEI_Scanned_Maps/K13/K13-2396</v>
      </c>
      <c r="U1683" t="s">
        <v>2495</v>
      </c>
      <c r="V1683" s="11" t="str">
        <f t="shared" si="115"/>
        <v>http://www.em.gov.bc.ca/mining/geolsurv/terrain&amp;soils/frbcguid.htm</v>
      </c>
      <c r="W1683" t="s">
        <v>2489</v>
      </c>
      <c r="X1683" s="11" t="str">
        <f t="shared" si="116"/>
        <v>http://www.em.gov.bc.ca/mining/geolsurv/terrain&amp;soils/frbcguid.htm</v>
      </c>
      <c r="Y1683" t="s">
        <v>269</v>
      </c>
      <c r="Z1683" s="11" t="str">
        <f t="shared" si="117"/>
        <v>http://www.library.for.gov.bc.ca/#focus</v>
      </c>
      <c r="AA1683" t="s">
        <v>2500</v>
      </c>
      <c r="AB1683" s="11" t="str">
        <f t="shared" si="118"/>
        <v>http://www.crownpub.bc.ca/</v>
      </c>
      <c r="AC1683" t="s">
        <v>58</v>
      </c>
      <c r="AD1683" s="11" t="str">
        <f t="shared" si="119"/>
        <v>http://www.env.gov.bc.ca/soils/project/report.html</v>
      </c>
      <c r="AE1683" t="s">
        <v>58</v>
      </c>
      <c r="AG1683" t="s">
        <v>63</v>
      </c>
      <c r="AH1683" s="11" t="str">
        <f t="shared" si="114"/>
        <v>mailto: soilterrain@victoria1.gov.bc.ca</v>
      </c>
    </row>
    <row r="1684" spans="1:34">
      <c r="A1684" t="s">
        <v>3897</v>
      </c>
      <c r="B1684" t="s">
        <v>56</v>
      </c>
      <c r="C1684" s="10" t="s">
        <v>1577</v>
      </c>
      <c r="D1684" t="s">
        <v>58</v>
      </c>
      <c r="E1684" t="s">
        <v>3147</v>
      </c>
      <c r="F1684" t="s">
        <v>3898</v>
      </c>
      <c r="G1684">
        <v>50000</v>
      </c>
      <c r="H1684">
        <v>1988</v>
      </c>
      <c r="I1684" t="s">
        <v>3149</v>
      </c>
      <c r="J1684" t="s">
        <v>58</v>
      </c>
      <c r="K1684" t="s">
        <v>61</v>
      </c>
      <c r="L1684" t="s">
        <v>61</v>
      </c>
      <c r="M1684" t="s">
        <v>58</v>
      </c>
      <c r="Q1684" t="s">
        <v>58</v>
      </c>
      <c r="R1684" s="11" t="str">
        <f>HYPERLINK("\\imagefiles.bcgov\imagery\scanned_maps\moe_terrain_maps\Scanned_T_maps_all\K13\K13-2398","\\imagefiles.bcgov\imagery\scanned_maps\moe_terrain_maps\Scanned_T_maps_all\K13\K13-2398")</f>
        <v>\\imagefiles.bcgov\imagery\scanned_maps\moe_terrain_maps\Scanned_T_maps_all\K13\K13-2398</v>
      </c>
      <c r="S1684" t="s">
        <v>62</v>
      </c>
      <c r="T1684" s="11" t="str">
        <f>HYPERLINK("http://www.env.gov.bc.ca/esd/distdata/ecosystems/TEI_Scanned_Maps/K13/K13-2398","http://www.env.gov.bc.ca/esd/distdata/ecosystems/TEI_Scanned_Maps/K13/K13-2398")</f>
        <v>http://www.env.gov.bc.ca/esd/distdata/ecosystems/TEI_Scanned_Maps/K13/K13-2398</v>
      </c>
      <c r="U1684" t="s">
        <v>2495</v>
      </c>
      <c r="V1684" s="11" t="str">
        <f t="shared" si="115"/>
        <v>http://www.em.gov.bc.ca/mining/geolsurv/terrain&amp;soils/frbcguid.htm</v>
      </c>
      <c r="W1684" t="s">
        <v>2489</v>
      </c>
      <c r="X1684" s="11" t="str">
        <f t="shared" si="116"/>
        <v>http://www.em.gov.bc.ca/mining/geolsurv/terrain&amp;soils/frbcguid.htm</v>
      </c>
      <c r="Y1684" t="s">
        <v>269</v>
      </c>
      <c r="Z1684" s="11" t="str">
        <f t="shared" si="117"/>
        <v>http://www.library.for.gov.bc.ca/#focus</v>
      </c>
      <c r="AA1684" t="s">
        <v>2500</v>
      </c>
      <c r="AB1684" s="11" t="str">
        <f t="shared" si="118"/>
        <v>http://www.crownpub.bc.ca/</v>
      </c>
      <c r="AC1684" t="s">
        <v>58</v>
      </c>
      <c r="AD1684" s="11" t="str">
        <f t="shared" si="119"/>
        <v>http://www.env.gov.bc.ca/soils/project/report.html</v>
      </c>
      <c r="AE1684" t="s">
        <v>58</v>
      </c>
      <c r="AG1684" t="s">
        <v>63</v>
      </c>
      <c r="AH1684" s="11" t="str">
        <f t="shared" si="114"/>
        <v>mailto: soilterrain@victoria1.gov.bc.ca</v>
      </c>
    </row>
    <row r="1685" spans="1:34">
      <c r="A1685" t="s">
        <v>3899</v>
      </c>
      <c r="B1685" t="s">
        <v>56</v>
      </c>
      <c r="C1685" s="10" t="s">
        <v>1579</v>
      </c>
      <c r="D1685" t="s">
        <v>58</v>
      </c>
      <c r="E1685" t="s">
        <v>3147</v>
      </c>
      <c r="F1685" t="s">
        <v>3900</v>
      </c>
      <c r="G1685">
        <v>50000</v>
      </c>
      <c r="H1685">
        <v>1987</v>
      </c>
      <c r="I1685" t="s">
        <v>3149</v>
      </c>
      <c r="J1685" t="s">
        <v>58</v>
      </c>
      <c r="K1685" t="s">
        <v>61</v>
      </c>
      <c r="L1685" t="s">
        <v>61</v>
      </c>
      <c r="M1685" t="s">
        <v>58</v>
      </c>
      <c r="Q1685" t="s">
        <v>58</v>
      </c>
      <c r="R1685" s="11" t="str">
        <f>HYPERLINK("\\imagefiles.bcgov\imagery\scanned_maps\moe_terrain_maps\Scanned_T_maps_all\K13\K13-2400","\\imagefiles.bcgov\imagery\scanned_maps\moe_terrain_maps\Scanned_T_maps_all\K13\K13-2400")</f>
        <v>\\imagefiles.bcgov\imagery\scanned_maps\moe_terrain_maps\Scanned_T_maps_all\K13\K13-2400</v>
      </c>
      <c r="S1685" t="s">
        <v>62</v>
      </c>
      <c r="T1685" s="11" t="str">
        <f>HYPERLINK("http://www.env.gov.bc.ca/esd/distdata/ecosystems/TEI_Scanned_Maps/K13/K13-2400","http://www.env.gov.bc.ca/esd/distdata/ecosystems/TEI_Scanned_Maps/K13/K13-2400")</f>
        <v>http://www.env.gov.bc.ca/esd/distdata/ecosystems/TEI_Scanned_Maps/K13/K13-2400</v>
      </c>
      <c r="U1685" t="s">
        <v>2495</v>
      </c>
      <c r="V1685" s="11" t="str">
        <f t="shared" si="115"/>
        <v>http://www.em.gov.bc.ca/mining/geolsurv/terrain&amp;soils/frbcguid.htm</v>
      </c>
      <c r="W1685" t="s">
        <v>2489</v>
      </c>
      <c r="X1685" s="11" t="str">
        <f t="shared" si="116"/>
        <v>http://www.em.gov.bc.ca/mining/geolsurv/terrain&amp;soils/frbcguid.htm</v>
      </c>
      <c r="Y1685" t="s">
        <v>269</v>
      </c>
      <c r="Z1685" s="11" t="str">
        <f t="shared" si="117"/>
        <v>http://www.library.for.gov.bc.ca/#focus</v>
      </c>
      <c r="AA1685" t="s">
        <v>2500</v>
      </c>
      <c r="AB1685" s="11" t="str">
        <f t="shared" si="118"/>
        <v>http://www.crownpub.bc.ca/</v>
      </c>
      <c r="AC1685" t="s">
        <v>58</v>
      </c>
      <c r="AD1685" s="11" t="str">
        <f t="shared" si="119"/>
        <v>http://www.env.gov.bc.ca/soils/project/report.html</v>
      </c>
      <c r="AE1685" t="s">
        <v>58</v>
      </c>
      <c r="AG1685" t="s">
        <v>63</v>
      </c>
      <c r="AH1685" s="11" t="str">
        <f t="shared" si="114"/>
        <v>mailto: soilterrain@victoria1.gov.bc.ca</v>
      </c>
    </row>
    <row r="1686" spans="1:34">
      <c r="A1686" t="s">
        <v>3901</v>
      </c>
      <c r="B1686" t="s">
        <v>56</v>
      </c>
      <c r="C1686" s="10" t="s">
        <v>3902</v>
      </c>
      <c r="D1686" t="s">
        <v>58</v>
      </c>
      <c r="E1686" t="s">
        <v>3837</v>
      </c>
      <c r="F1686" t="s">
        <v>3903</v>
      </c>
      <c r="G1686">
        <v>50000</v>
      </c>
      <c r="H1686">
        <v>1987</v>
      </c>
      <c r="I1686" t="s">
        <v>3217</v>
      </c>
      <c r="J1686" t="s">
        <v>58</v>
      </c>
      <c r="K1686" t="s">
        <v>58</v>
      </c>
      <c r="L1686" t="s">
        <v>61</v>
      </c>
      <c r="M1686" t="s">
        <v>58</v>
      </c>
      <c r="Q1686" t="s">
        <v>58</v>
      </c>
      <c r="R1686" s="11" t="str">
        <f>HYPERLINK("\\imagefiles.bcgov\imagery\scanned_maps\moe_terrain_maps\Scanned_T_maps_all\K13\K13-2401","\\imagefiles.bcgov\imagery\scanned_maps\moe_terrain_maps\Scanned_T_maps_all\K13\K13-2401")</f>
        <v>\\imagefiles.bcgov\imagery\scanned_maps\moe_terrain_maps\Scanned_T_maps_all\K13\K13-2401</v>
      </c>
      <c r="S1686" t="s">
        <v>62</v>
      </c>
      <c r="T1686" s="11" t="str">
        <f>HYPERLINK("http://www.env.gov.bc.ca/esd/distdata/ecosystems/TEI_Scanned_Maps/K13/K13-2401","http://www.env.gov.bc.ca/esd/distdata/ecosystems/TEI_Scanned_Maps/K13/K13-2401")</f>
        <v>http://www.env.gov.bc.ca/esd/distdata/ecosystems/TEI_Scanned_Maps/K13/K13-2401</v>
      </c>
      <c r="U1686" t="s">
        <v>58</v>
      </c>
      <c r="V1686" t="s">
        <v>58</v>
      </c>
      <c r="W1686" t="s">
        <v>58</v>
      </c>
      <c r="X1686" t="s">
        <v>58</v>
      </c>
      <c r="Y1686" t="s">
        <v>58</v>
      </c>
      <c r="Z1686" t="s">
        <v>58</v>
      </c>
      <c r="AA1686" t="s">
        <v>58</v>
      </c>
      <c r="AC1686" t="s">
        <v>58</v>
      </c>
      <c r="AE1686" t="s">
        <v>58</v>
      </c>
      <c r="AG1686" t="s">
        <v>63</v>
      </c>
      <c r="AH1686" s="11" t="str">
        <f t="shared" si="114"/>
        <v>mailto: soilterrain@victoria1.gov.bc.ca</v>
      </c>
    </row>
    <row r="1687" spans="1:34">
      <c r="A1687" t="s">
        <v>3904</v>
      </c>
      <c r="B1687" t="s">
        <v>56</v>
      </c>
      <c r="C1687" s="10" t="s">
        <v>1411</v>
      </c>
      <c r="D1687" t="s">
        <v>58</v>
      </c>
      <c r="E1687" t="s">
        <v>3147</v>
      </c>
      <c r="F1687" t="s">
        <v>3905</v>
      </c>
      <c r="G1687">
        <v>50000</v>
      </c>
      <c r="H1687">
        <v>1987</v>
      </c>
      <c r="I1687" t="s">
        <v>3140</v>
      </c>
      <c r="J1687" t="s">
        <v>58</v>
      </c>
      <c r="K1687" t="s">
        <v>61</v>
      </c>
      <c r="L1687" t="s">
        <v>61</v>
      </c>
      <c r="M1687" t="s">
        <v>58</v>
      </c>
      <c r="Q1687" t="s">
        <v>58</v>
      </c>
      <c r="R1687" s="11" t="str">
        <f>HYPERLINK("\\imagefiles.bcgov\imagery\scanned_maps\moe_terrain_maps\Scanned_T_maps_all\K13\K13-2415","\\imagefiles.bcgov\imagery\scanned_maps\moe_terrain_maps\Scanned_T_maps_all\K13\K13-2415")</f>
        <v>\\imagefiles.bcgov\imagery\scanned_maps\moe_terrain_maps\Scanned_T_maps_all\K13\K13-2415</v>
      </c>
      <c r="S1687" t="s">
        <v>62</v>
      </c>
      <c r="T1687" s="11" t="str">
        <f>HYPERLINK("http://www.env.gov.bc.ca/esd/distdata/ecosystems/TEI_Scanned_Maps/K13/K13-2415","http://www.env.gov.bc.ca/esd/distdata/ecosystems/TEI_Scanned_Maps/K13/K13-2415")</f>
        <v>http://www.env.gov.bc.ca/esd/distdata/ecosystems/TEI_Scanned_Maps/K13/K13-2415</v>
      </c>
      <c r="U1687" t="s">
        <v>2487</v>
      </c>
      <c r="V1687" s="11" t="str">
        <f t="shared" ref="V1687:V1694" si="120">HYPERLINK("http://res.agr.ca/cansis/publications/surveys/bc/","http://res.agr.ca/cansis/publications/surveys/bc/")</f>
        <v>http://res.agr.ca/cansis/publications/surveys/bc/</v>
      </c>
      <c r="W1687" t="s">
        <v>2489</v>
      </c>
      <c r="X1687" s="11" t="str">
        <f t="shared" ref="X1687:X1694" si="121">HYPERLINK("http://www.em.gov.bc.ca/mining/geolsurv/terrain&amp;soils/frbcguid.htm","http://www.em.gov.bc.ca/mining/geolsurv/terrain&amp;soils/frbcguid.htm")</f>
        <v>http://www.em.gov.bc.ca/mining/geolsurv/terrain&amp;soils/frbcguid.htm</v>
      </c>
      <c r="Y1687" t="s">
        <v>269</v>
      </c>
      <c r="Z1687" s="11" t="str">
        <f t="shared" ref="Z1687:Z1694" si="122">HYPERLINK("http://www.library.for.gov.bc.ca/#focus","http://www.library.for.gov.bc.ca/#focus")</f>
        <v>http://www.library.for.gov.bc.ca/#focus</v>
      </c>
      <c r="AA1687" t="s">
        <v>58</v>
      </c>
      <c r="AC1687" t="s">
        <v>58</v>
      </c>
      <c r="AE1687" t="s">
        <v>58</v>
      </c>
      <c r="AG1687" t="s">
        <v>63</v>
      </c>
      <c r="AH1687" s="11" t="str">
        <f t="shared" si="114"/>
        <v>mailto: soilterrain@victoria1.gov.bc.ca</v>
      </c>
    </row>
    <row r="1688" spans="1:34">
      <c r="A1688" t="s">
        <v>3906</v>
      </c>
      <c r="B1688" t="s">
        <v>56</v>
      </c>
      <c r="C1688" s="10" t="s">
        <v>1413</v>
      </c>
      <c r="D1688" t="s">
        <v>58</v>
      </c>
      <c r="E1688" t="s">
        <v>3138</v>
      </c>
      <c r="F1688" t="s">
        <v>3907</v>
      </c>
      <c r="G1688">
        <v>50000</v>
      </c>
      <c r="H1688">
        <v>1987</v>
      </c>
      <c r="I1688" t="s">
        <v>3140</v>
      </c>
      <c r="J1688" t="s">
        <v>58</v>
      </c>
      <c r="K1688" t="s">
        <v>61</v>
      </c>
      <c r="L1688" t="s">
        <v>61</v>
      </c>
      <c r="M1688" t="s">
        <v>58</v>
      </c>
      <c r="Q1688" t="s">
        <v>58</v>
      </c>
      <c r="R1688" s="11" t="str">
        <f>HYPERLINK("\\imagefiles.bcgov\imagery\scanned_maps\moe_terrain_maps\Scanned_T_maps_all\K13\K13-2417","\\imagefiles.bcgov\imagery\scanned_maps\moe_terrain_maps\Scanned_T_maps_all\K13\K13-2417")</f>
        <v>\\imagefiles.bcgov\imagery\scanned_maps\moe_terrain_maps\Scanned_T_maps_all\K13\K13-2417</v>
      </c>
      <c r="S1688" t="s">
        <v>62</v>
      </c>
      <c r="T1688" s="11" t="str">
        <f>HYPERLINK("http://www.env.gov.bc.ca/esd/distdata/ecosystems/TEI_Scanned_Maps/K13/K13-2417","http://www.env.gov.bc.ca/esd/distdata/ecosystems/TEI_Scanned_Maps/K13/K13-2417")</f>
        <v>http://www.env.gov.bc.ca/esd/distdata/ecosystems/TEI_Scanned_Maps/K13/K13-2417</v>
      </c>
      <c r="U1688" t="s">
        <v>2487</v>
      </c>
      <c r="V1688" s="11" t="str">
        <f t="shared" si="120"/>
        <v>http://res.agr.ca/cansis/publications/surveys/bc/</v>
      </c>
      <c r="W1688" t="s">
        <v>2489</v>
      </c>
      <c r="X1688" s="11" t="str">
        <f t="shared" si="121"/>
        <v>http://www.em.gov.bc.ca/mining/geolsurv/terrain&amp;soils/frbcguid.htm</v>
      </c>
      <c r="Y1688" t="s">
        <v>269</v>
      </c>
      <c r="Z1688" s="11" t="str">
        <f t="shared" si="122"/>
        <v>http://www.library.for.gov.bc.ca/#focus</v>
      </c>
      <c r="AA1688" t="s">
        <v>58</v>
      </c>
      <c r="AC1688" t="s">
        <v>58</v>
      </c>
      <c r="AE1688" t="s">
        <v>58</v>
      </c>
      <c r="AG1688" t="s">
        <v>63</v>
      </c>
      <c r="AH1688" s="11" t="str">
        <f t="shared" si="114"/>
        <v>mailto: soilterrain@victoria1.gov.bc.ca</v>
      </c>
    </row>
    <row r="1689" spans="1:34">
      <c r="A1689" t="s">
        <v>3908</v>
      </c>
      <c r="B1689" t="s">
        <v>56</v>
      </c>
      <c r="C1689" s="10" t="s">
        <v>1415</v>
      </c>
      <c r="D1689" t="s">
        <v>58</v>
      </c>
      <c r="E1689" t="s">
        <v>3138</v>
      </c>
      <c r="F1689" t="s">
        <v>3909</v>
      </c>
      <c r="G1689">
        <v>50000</v>
      </c>
      <c r="H1689">
        <v>1988</v>
      </c>
      <c r="I1689" t="s">
        <v>3140</v>
      </c>
      <c r="J1689" t="s">
        <v>58</v>
      </c>
      <c r="K1689" t="s">
        <v>61</v>
      </c>
      <c r="L1689" t="s">
        <v>61</v>
      </c>
      <c r="M1689" t="s">
        <v>58</v>
      </c>
      <c r="Q1689" t="s">
        <v>58</v>
      </c>
      <c r="R1689" s="11" t="str">
        <f>HYPERLINK("\\imagefiles.bcgov\imagery\scanned_maps\moe_terrain_maps\Scanned_T_maps_all\K13\K13-2419","\\imagefiles.bcgov\imagery\scanned_maps\moe_terrain_maps\Scanned_T_maps_all\K13\K13-2419")</f>
        <v>\\imagefiles.bcgov\imagery\scanned_maps\moe_terrain_maps\Scanned_T_maps_all\K13\K13-2419</v>
      </c>
      <c r="S1689" t="s">
        <v>62</v>
      </c>
      <c r="T1689" s="11" t="str">
        <f>HYPERLINK("http://www.env.gov.bc.ca/esd/distdata/ecosystems/TEI_Scanned_Maps/K13/K13-2419","http://www.env.gov.bc.ca/esd/distdata/ecosystems/TEI_Scanned_Maps/K13/K13-2419")</f>
        <v>http://www.env.gov.bc.ca/esd/distdata/ecosystems/TEI_Scanned_Maps/K13/K13-2419</v>
      </c>
      <c r="U1689" t="s">
        <v>2487</v>
      </c>
      <c r="V1689" s="11" t="str">
        <f t="shared" si="120"/>
        <v>http://res.agr.ca/cansis/publications/surveys/bc/</v>
      </c>
      <c r="W1689" t="s">
        <v>2489</v>
      </c>
      <c r="X1689" s="11" t="str">
        <f t="shared" si="121"/>
        <v>http://www.em.gov.bc.ca/mining/geolsurv/terrain&amp;soils/frbcguid.htm</v>
      </c>
      <c r="Y1689" t="s">
        <v>269</v>
      </c>
      <c r="Z1689" s="11" t="str">
        <f t="shared" si="122"/>
        <v>http://www.library.for.gov.bc.ca/#focus</v>
      </c>
      <c r="AA1689" t="s">
        <v>58</v>
      </c>
      <c r="AC1689" t="s">
        <v>58</v>
      </c>
      <c r="AE1689" t="s">
        <v>58</v>
      </c>
      <c r="AG1689" t="s">
        <v>63</v>
      </c>
      <c r="AH1689" s="11" t="str">
        <f t="shared" si="114"/>
        <v>mailto: soilterrain@victoria1.gov.bc.ca</v>
      </c>
    </row>
    <row r="1690" spans="1:34">
      <c r="A1690" t="s">
        <v>3910</v>
      </c>
      <c r="B1690" t="s">
        <v>56</v>
      </c>
      <c r="C1690" s="10" t="s">
        <v>1417</v>
      </c>
      <c r="D1690" t="s">
        <v>58</v>
      </c>
      <c r="E1690" t="s">
        <v>3138</v>
      </c>
      <c r="F1690" t="s">
        <v>3911</v>
      </c>
      <c r="G1690">
        <v>50000</v>
      </c>
      <c r="H1690">
        <v>1987</v>
      </c>
      <c r="I1690" t="s">
        <v>3140</v>
      </c>
      <c r="J1690" t="s">
        <v>58</v>
      </c>
      <c r="K1690" t="s">
        <v>61</v>
      </c>
      <c r="L1690" t="s">
        <v>61</v>
      </c>
      <c r="M1690" t="s">
        <v>58</v>
      </c>
      <c r="Q1690" t="s">
        <v>58</v>
      </c>
      <c r="R1690" s="11" t="str">
        <f>HYPERLINK("\\imagefiles.bcgov\imagery\scanned_maps\moe_terrain_maps\Scanned_T_maps_all\K13\K13-2421","\\imagefiles.bcgov\imagery\scanned_maps\moe_terrain_maps\Scanned_T_maps_all\K13\K13-2421")</f>
        <v>\\imagefiles.bcgov\imagery\scanned_maps\moe_terrain_maps\Scanned_T_maps_all\K13\K13-2421</v>
      </c>
      <c r="S1690" t="s">
        <v>62</v>
      </c>
      <c r="T1690" s="11" t="str">
        <f>HYPERLINK("http://www.env.gov.bc.ca/esd/distdata/ecosystems/TEI_Scanned_Maps/K13/K13-2421","http://www.env.gov.bc.ca/esd/distdata/ecosystems/TEI_Scanned_Maps/K13/K13-2421")</f>
        <v>http://www.env.gov.bc.ca/esd/distdata/ecosystems/TEI_Scanned_Maps/K13/K13-2421</v>
      </c>
      <c r="U1690" t="s">
        <v>2487</v>
      </c>
      <c r="V1690" s="11" t="str">
        <f t="shared" si="120"/>
        <v>http://res.agr.ca/cansis/publications/surveys/bc/</v>
      </c>
      <c r="W1690" t="s">
        <v>2489</v>
      </c>
      <c r="X1690" s="11" t="str">
        <f t="shared" si="121"/>
        <v>http://www.em.gov.bc.ca/mining/geolsurv/terrain&amp;soils/frbcguid.htm</v>
      </c>
      <c r="Y1690" t="s">
        <v>269</v>
      </c>
      <c r="Z1690" s="11" t="str">
        <f t="shared" si="122"/>
        <v>http://www.library.for.gov.bc.ca/#focus</v>
      </c>
      <c r="AA1690" t="s">
        <v>58</v>
      </c>
      <c r="AC1690" t="s">
        <v>58</v>
      </c>
      <c r="AE1690" t="s">
        <v>58</v>
      </c>
      <c r="AG1690" t="s">
        <v>63</v>
      </c>
      <c r="AH1690" s="11" t="str">
        <f t="shared" si="114"/>
        <v>mailto: soilterrain@victoria1.gov.bc.ca</v>
      </c>
    </row>
    <row r="1691" spans="1:34">
      <c r="A1691" t="s">
        <v>3912</v>
      </c>
      <c r="B1691" t="s">
        <v>56</v>
      </c>
      <c r="C1691" s="10" t="s">
        <v>1419</v>
      </c>
      <c r="D1691" t="s">
        <v>58</v>
      </c>
      <c r="E1691" t="s">
        <v>3138</v>
      </c>
      <c r="F1691" t="s">
        <v>3913</v>
      </c>
      <c r="G1691">
        <v>50000</v>
      </c>
      <c r="H1691">
        <v>1987</v>
      </c>
      <c r="I1691" t="s">
        <v>3140</v>
      </c>
      <c r="J1691" t="s">
        <v>58</v>
      </c>
      <c r="K1691" t="s">
        <v>61</v>
      </c>
      <c r="L1691" t="s">
        <v>61</v>
      </c>
      <c r="M1691" t="s">
        <v>58</v>
      </c>
      <c r="Q1691" t="s">
        <v>58</v>
      </c>
      <c r="R1691" s="11" t="str">
        <f>HYPERLINK("\\imagefiles.bcgov\imagery\scanned_maps\moe_terrain_maps\Scanned_T_maps_all\K13\K13-2423","\\imagefiles.bcgov\imagery\scanned_maps\moe_terrain_maps\Scanned_T_maps_all\K13\K13-2423")</f>
        <v>\\imagefiles.bcgov\imagery\scanned_maps\moe_terrain_maps\Scanned_T_maps_all\K13\K13-2423</v>
      </c>
      <c r="S1691" t="s">
        <v>62</v>
      </c>
      <c r="T1691" s="11" t="str">
        <f>HYPERLINK("http://www.env.gov.bc.ca/esd/distdata/ecosystems/TEI_Scanned_Maps/K13/K13-2423","http://www.env.gov.bc.ca/esd/distdata/ecosystems/TEI_Scanned_Maps/K13/K13-2423")</f>
        <v>http://www.env.gov.bc.ca/esd/distdata/ecosystems/TEI_Scanned_Maps/K13/K13-2423</v>
      </c>
      <c r="U1691" t="s">
        <v>2487</v>
      </c>
      <c r="V1691" s="11" t="str">
        <f t="shared" si="120"/>
        <v>http://res.agr.ca/cansis/publications/surveys/bc/</v>
      </c>
      <c r="W1691" t="s">
        <v>2489</v>
      </c>
      <c r="X1691" s="11" t="str">
        <f t="shared" si="121"/>
        <v>http://www.em.gov.bc.ca/mining/geolsurv/terrain&amp;soils/frbcguid.htm</v>
      </c>
      <c r="Y1691" t="s">
        <v>269</v>
      </c>
      <c r="Z1691" s="11" t="str">
        <f t="shared" si="122"/>
        <v>http://www.library.for.gov.bc.ca/#focus</v>
      </c>
      <c r="AA1691" t="s">
        <v>58</v>
      </c>
      <c r="AC1691" t="s">
        <v>58</v>
      </c>
      <c r="AE1691" t="s">
        <v>58</v>
      </c>
      <c r="AG1691" t="s">
        <v>63</v>
      </c>
      <c r="AH1691" s="11" t="str">
        <f t="shared" si="114"/>
        <v>mailto: soilterrain@victoria1.gov.bc.ca</v>
      </c>
    </row>
    <row r="1692" spans="1:34">
      <c r="A1692" t="s">
        <v>3914</v>
      </c>
      <c r="B1692" t="s">
        <v>56</v>
      </c>
      <c r="C1692" s="10" t="s">
        <v>1421</v>
      </c>
      <c r="D1692" t="s">
        <v>58</v>
      </c>
      <c r="E1692" t="s">
        <v>3138</v>
      </c>
      <c r="F1692" t="s">
        <v>3915</v>
      </c>
      <c r="G1692">
        <v>50000</v>
      </c>
      <c r="H1692">
        <v>1987</v>
      </c>
      <c r="I1692" t="s">
        <v>3140</v>
      </c>
      <c r="J1692" t="s">
        <v>58</v>
      </c>
      <c r="K1692" t="s">
        <v>61</v>
      </c>
      <c r="L1692" t="s">
        <v>61</v>
      </c>
      <c r="M1692" t="s">
        <v>58</v>
      </c>
      <c r="Q1692" t="s">
        <v>58</v>
      </c>
      <c r="R1692" s="11" t="str">
        <f>HYPERLINK("\\imagefiles.bcgov\imagery\scanned_maps\moe_terrain_maps\Scanned_T_maps_all\K13\K13-2425","\\imagefiles.bcgov\imagery\scanned_maps\moe_terrain_maps\Scanned_T_maps_all\K13\K13-2425")</f>
        <v>\\imagefiles.bcgov\imagery\scanned_maps\moe_terrain_maps\Scanned_T_maps_all\K13\K13-2425</v>
      </c>
      <c r="S1692" t="s">
        <v>62</v>
      </c>
      <c r="T1692" s="11" t="str">
        <f>HYPERLINK("http://www.env.gov.bc.ca/esd/distdata/ecosystems/TEI_Scanned_Maps/K13/K13-2425","http://www.env.gov.bc.ca/esd/distdata/ecosystems/TEI_Scanned_Maps/K13/K13-2425")</f>
        <v>http://www.env.gov.bc.ca/esd/distdata/ecosystems/TEI_Scanned_Maps/K13/K13-2425</v>
      </c>
      <c r="U1692" t="s">
        <v>2487</v>
      </c>
      <c r="V1692" s="11" t="str">
        <f t="shared" si="120"/>
        <v>http://res.agr.ca/cansis/publications/surveys/bc/</v>
      </c>
      <c r="W1692" t="s">
        <v>2489</v>
      </c>
      <c r="X1692" s="11" t="str">
        <f t="shared" si="121"/>
        <v>http://www.em.gov.bc.ca/mining/geolsurv/terrain&amp;soils/frbcguid.htm</v>
      </c>
      <c r="Y1692" t="s">
        <v>269</v>
      </c>
      <c r="Z1692" s="11" t="str">
        <f t="shared" si="122"/>
        <v>http://www.library.for.gov.bc.ca/#focus</v>
      </c>
      <c r="AA1692" t="s">
        <v>58</v>
      </c>
      <c r="AC1692" t="s">
        <v>58</v>
      </c>
      <c r="AE1692" t="s">
        <v>58</v>
      </c>
      <c r="AG1692" t="s">
        <v>63</v>
      </c>
      <c r="AH1692" s="11" t="str">
        <f t="shared" si="114"/>
        <v>mailto: soilterrain@victoria1.gov.bc.ca</v>
      </c>
    </row>
    <row r="1693" spans="1:34">
      <c r="A1693" t="s">
        <v>3916</v>
      </c>
      <c r="B1693" t="s">
        <v>56</v>
      </c>
      <c r="C1693" s="10" t="s">
        <v>1423</v>
      </c>
      <c r="D1693" t="s">
        <v>58</v>
      </c>
      <c r="E1693" t="s">
        <v>3138</v>
      </c>
      <c r="F1693" t="s">
        <v>3917</v>
      </c>
      <c r="G1693">
        <v>50000</v>
      </c>
      <c r="H1693">
        <v>1988</v>
      </c>
      <c r="I1693" t="s">
        <v>3140</v>
      </c>
      <c r="J1693" t="s">
        <v>58</v>
      </c>
      <c r="K1693" t="s">
        <v>61</v>
      </c>
      <c r="L1693" t="s">
        <v>61</v>
      </c>
      <c r="M1693" t="s">
        <v>58</v>
      </c>
      <c r="Q1693" t="s">
        <v>58</v>
      </c>
      <c r="R1693" s="11" t="str">
        <f>HYPERLINK("\\imagefiles.bcgov\imagery\scanned_maps\moe_terrain_maps\Scanned_T_maps_all\K13\K13-2427","\\imagefiles.bcgov\imagery\scanned_maps\moe_terrain_maps\Scanned_T_maps_all\K13\K13-2427")</f>
        <v>\\imagefiles.bcgov\imagery\scanned_maps\moe_terrain_maps\Scanned_T_maps_all\K13\K13-2427</v>
      </c>
      <c r="S1693" t="s">
        <v>62</v>
      </c>
      <c r="T1693" s="11" t="str">
        <f>HYPERLINK("http://www.env.gov.bc.ca/esd/distdata/ecosystems/TEI_Scanned_Maps/K13/K13-2427","http://www.env.gov.bc.ca/esd/distdata/ecosystems/TEI_Scanned_Maps/K13/K13-2427")</f>
        <v>http://www.env.gov.bc.ca/esd/distdata/ecosystems/TEI_Scanned_Maps/K13/K13-2427</v>
      </c>
      <c r="U1693" t="s">
        <v>2487</v>
      </c>
      <c r="V1693" s="11" t="str">
        <f t="shared" si="120"/>
        <v>http://res.agr.ca/cansis/publications/surveys/bc/</v>
      </c>
      <c r="W1693" t="s">
        <v>2489</v>
      </c>
      <c r="X1693" s="11" t="str">
        <f t="shared" si="121"/>
        <v>http://www.em.gov.bc.ca/mining/geolsurv/terrain&amp;soils/frbcguid.htm</v>
      </c>
      <c r="Y1693" t="s">
        <v>269</v>
      </c>
      <c r="Z1693" s="11" t="str">
        <f t="shared" si="122"/>
        <v>http://www.library.for.gov.bc.ca/#focus</v>
      </c>
      <c r="AA1693" t="s">
        <v>58</v>
      </c>
      <c r="AC1693" t="s">
        <v>58</v>
      </c>
      <c r="AE1693" t="s">
        <v>58</v>
      </c>
      <c r="AG1693" t="s">
        <v>63</v>
      </c>
      <c r="AH1693" s="11" t="str">
        <f t="shared" si="114"/>
        <v>mailto: soilterrain@victoria1.gov.bc.ca</v>
      </c>
    </row>
    <row r="1694" spans="1:34">
      <c r="A1694" t="s">
        <v>3918</v>
      </c>
      <c r="B1694" t="s">
        <v>56</v>
      </c>
      <c r="C1694" s="10" t="s">
        <v>1425</v>
      </c>
      <c r="D1694" t="s">
        <v>58</v>
      </c>
      <c r="E1694" t="s">
        <v>3138</v>
      </c>
      <c r="F1694" t="s">
        <v>3762</v>
      </c>
      <c r="G1694">
        <v>50000</v>
      </c>
      <c r="H1694">
        <v>1987</v>
      </c>
      <c r="I1694" t="s">
        <v>3140</v>
      </c>
      <c r="J1694" t="s">
        <v>58</v>
      </c>
      <c r="K1694" t="s">
        <v>61</v>
      </c>
      <c r="L1694" t="s">
        <v>61</v>
      </c>
      <c r="M1694" t="s">
        <v>58</v>
      </c>
      <c r="Q1694" t="s">
        <v>58</v>
      </c>
      <c r="R1694" s="11" t="str">
        <f>HYPERLINK("\\imagefiles.bcgov\imagery\scanned_maps\moe_terrain_maps\Scanned_T_maps_all\K13\K13-2429","\\imagefiles.bcgov\imagery\scanned_maps\moe_terrain_maps\Scanned_T_maps_all\K13\K13-2429")</f>
        <v>\\imagefiles.bcgov\imagery\scanned_maps\moe_terrain_maps\Scanned_T_maps_all\K13\K13-2429</v>
      </c>
      <c r="S1694" t="s">
        <v>62</v>
      </c>
      <c r="T1694" s="11" t="str">
        <f>HYPERLINK("http://www.env.gov.bc.ca/esd/distdata/ecosystems/TEI_Scanned_Maps/K13/K13-2429","http://www.env.gov.bc.ca/esd/distdata/ecosystems/TEI_Scanned_Maps/K13/K13-2429")</f>
        <v>http://www.env.gov.bc.ca/esd/distdata/ecosystems/TEI_Scanned_Maps/K13/K13-2429</v>
      </c>
      <c r="U1694" t="s">
        <v>2487</v>
      </c>
      <c r="V1694" s="11" t="str">
        <f t="shared" si="120"/>
        <v>http://res.agr.ca/cansis/publications/surveys/bc/</v>
      </c>
      <c r="W1694" t="s">
        <v>2489</v>
      </c>
      <c r="X1694" s="11" t="str">
        <f t="shared" si="121"/>
        <v>http://www.em.gov.bc.ca/mining/geolsurv/terrain&amp;soils/frbcguid.htm</v>
      </c>
      <c r="Y1694" t="s">
        <v>269</v>
      </c>
      <c r="Z1694" s="11" t="str">
        <f t="shared" si="122"/>
        <v>http://www.library.for.gov.bc.ca/#focus</v>
      </c>
      <c r="AA1694" t="s">
        <v>58</v>
      </c>
      <c r="AC1694" t="s">
        <v>58</v>
      </c>
      <c r="AE1694" t="s">
        <v>58</v>
      </c>
      <c r="AG1694" t="s">
        <v>63</v>
      </c>
      <c r="AH1694" s="11" t="str">
        <f t="shared" si="114"/>
        <v>mailto: soilterrain@victoria1.gov.bc.ca</v>
      </c>
    </row>
    <row r="1695" spans="1:34">
      <c r="A1695" t="s">
        <v>3919</v>
      </c>
      <c r="B1695" t="s">
        <v>56</v>
      </c>
      <c r="C1695" s="10" t="s">
        <v>1596</v>
      </c>
      <c r="D1695" t="s">
        <v>58</v>
      </c>
      <c r="E1695" t="s">
        <v>3193</v>
      </c>
      <c r="F1695" t="s">
        <v>3920</v>
      </c>
      <c r="G1695">
        <v>50000</v>
      </c>
      <c r="H1695">
        <v>1987</v>
      </c>
      <c r="I1695" t="s">
        <v>3195</v>
      </c>
      <c r="J1695" t="s">
        <v>58</v>
      </c>
      <c r="K1695" t="s">
        <v>58</v>
      </c>
      <c r="L1695" t="s">
        <v>61</v>
      </c>
      <c r="M1695" t="s">
        <v>58</v>
      </c>
      <c r="Q1695" t="s">
        <v>58</v>
      </c>
      <c r="R1695" s="11" t="str">
        <f>HYPERLINK("\\imagefiles.bcgov\imagery\scanned_maps\moe_terrain_maps\Scanned_T_maps_all\K13\K13-2431","\\imagefiles.bcgov\imagery\scanned_maps\moe_terrain_maps\Scanned_T_maps_all\K13\K13-2431")</f>
        <v>\\imagefiles.bcgov\imagery\scanned_maps\moe_terrain_maps\Scanned_T_maps_all\K13\K13-2431</v>
      </c>
      <c r="S1695" t="s">
        <v>62</v>
      </c>
      <c r="T1695" s="11" t="str">
        <f>HYPERLINK("http://www.env.gov.bc.ca/esd/distdata/ecosystems/TEI_Scanned_Maps/K13/K13-2431","http://www.env.gov.bc.ca/esd/distdata/ecosystems/TEI_Scanned_Maps/K13/K13-2431")</f>
        <v>http://www.env.gov.bc.ca/esd/distdata/ecosystems/TEI_Scanned_Maps/K13/K13-2431</v>
      </c>
      <c r="U1695" t="s">
        <v>2495</v>
      </c>
      <c r="V1695" s="11" t="str">
        <f t="shared" ref="V1695:V1701" si="123">HYPERLINK("http://www.em.gov.bc.ca/mining/geolsurv/terrain&amp;soils/frbcguid.htm","http://www.em.gov.bc.ca/mining/geolsurv/terrain&amp;soils/frbcguid.htm")</f>
        <v>http://www.em.gov.bc.ca/mining/geolsurv/terrain&amp;soils/frbcguid.htm</v>
      </c>
      <c r="W1695" t="s">
        <v>269</v>
      </c>
      <c r="X1695" s="11" t="str">
        <f t="shared" ref="X1695:X1701" si="124">HYPERLINK("http://www.library.for.gov.bc.ca/#focus","http://www.library.for.gov.bc.ca/#focus")</f>
        <v>http://www.library.for.gov.bc.ca/#focus</v>
      </c>
      <c r="Y1695" t="s">
        <v>2500</v>
      </c>
      <c r="Z1695" s="11" t="str">
        <f t="shared" ref="Z1695:Z1701" si="125">HYPERLINK("http://www.crownpub.bc.ca/","http://www.crownpub.bc.ca/")</f>
        <v>http://www.crownpub.bc.ca/</v>
      </c>
      <c r="AA1695" t="s">
        <v>58</v>
      </c>
      <c r="AC1695" t="s">
        <v>58</v>
      </c>
      <c r="AE1695" t="s">
        <v>58</v>
      </c>
      <c r="AG1695" t="s">
        <v>63</v>
      </c>
      <c r="AH1695" s="11" t="str">
        <f t="shared" si="114"/>
        <v>mailto: soilterrain@victoria1.gov.bc.ca</v>
      </c>
    </row>
    <row r="1696" spans="1:34">
      <c r="A1696" t="s">
        <v>3921</v>
      </c>
      <c r="B1696" t="s">
        <v>56</v>
      </c>
      <c r="C1696" s="10" t="s">
        <v>328</v>
      </c>
      <c r="D1696" t="s">
        <v>58</v>
      </c>
      <c r="E1696" t="s">
        <v>3193</v>
      </c>
      <c r="F1696" t="s">
        <v>3922</v>
      </c>
      <c r="G1696">
        <v>50000</v>
      </c>
      <c r="H1696">
        <v>1986</v>
      </c>
      <c r="I1696" t="s">
        <v>3195</v>
      </c>
      <c r="J1696" t="s">
        <v>58</v>
      </c>
      <c r="K1696" t="s">
        <v>58</v>
      </c>
      <c r="L1696" t="s">
        <v>61</v>
      </c>
      <c r="M1696" t="s">
        <v>58</v>
      </c>
      <c r="Q1696" t="s">
        <v>58</v>
      </c>
      <c r="R1696" s="11" t="str">
        <f>HYPERLINK("\\imagefiles.bcgov\imagery\scanned_maps\moe_terrain_maps\Scanned_T_maps_all\K13\K13-2433","\\imagefiles.bcgov\imagery\scanned_maps\moe_terrain_maps\Scanned_T_maps_all\K13\K13-2433")</f>
        <v>\\imagefiles.bcgov\imagery\scanned_maps\moe_terrain_maps\Scanned_T_maps_all\K13\K13-2433</v>
      </c>
      <c r="S1696" t="s">
        <v>62</v>
      </c>
      <c r="T1696" s="11" t="str">
        <f>HYPERLINK("http://www.env.gov.bc.ca/esd/distdata/ecosystems/TEI_Scanned_Maps/K13/K13-2433","http://www.env.gov.bc.ca/esd/distdata/ecosystems/TEI_Scanned_Maps/K13/K13-2433")</f>
        <v>http://www.env.gov.bc.ca/esd/distdata/ecosystems/TEI_Scanned_Maps/K13/K13-2433</v>
      </c>
      <c r="U1696" t="s">
        <v>2495</v>
      </c>
      <c r="V1696" s="11" t="str">
        <f t="shared" si="123"/>
        <v>http://www.em.gov.bc.ca/mining/geolsurv/terrain&amp;soils/frbcguid.htm</v>
      </c>
      <c r="W1696" t="s">
        <v>269</v>
      </c>
      <c r="X1696" s="11" t="str">
        <f t="shared" si="124"/>
        <v>http://www.library.for.gov.bc.ca/#focus</v>
      </c>
      <c r="Y1696" t="s">
        <v>2500</v>
      </c>
      <c r="Z1696" s="11" t="str">
        <f t="shared" si="125"/>
        <v>http://www.crownpub.bc.ca/</v>
      </c>
      <c r="AA1696" t="s">
        <v>58</v>
      </c>
      <c r="AC1696" t="s">
        <v>58</v>
      </c>
      <c r="AE1696" t="s">
        <v>58</v>
      </c>
      <c r="AG1696" t="s">
        <v>63</v>
      </c>
      <c r="AH1696" s="11" t="str">
        <f t="shared" si="114"/>
        <v>mailto: soilterrain@victoria1.gov.bc.ca</v>
      </c>
    </row>
    <row r="1697" spans="1:34">
      <c r="A1697" t="s">
        <v>3923</v>
      </c>
      <c r="B1697" t="s">
        <v>56</v>
      </c>
      <c r="C1697" s="10" t="s">
        <v>331</v>
      </c>
      <c r="D1697" t="s">
        <v>58</v>
      </c>
      <c r="E1697" t="s">
        <v>3193</v>
      </c>
      <c r="F1697" t="s">
        <v>3924</v>
      </c>
      <c r="G1697">
        <v>50000</v>
      </c>
      <c r="H1697">
        <v>1987</v>
      </c>
      <c r="I1697" t="s">
        <v>3195</v>
      </c>
      <c r="J1697" t="s">
        <v>58</v>
      </c>
      <c r="K1697" t="s">
        <v>58</v>
      </c>
      <c r="L1697" t="s">
        <v>61</v>
      </c>
      <c r="M1697" t="s">
        <v>58</v>
      </c>
      <c r="Q1697" t="s">
        <v>58</v>
      </c>
      <c r="R1697" s="11" t="str">
        <f>HYPERLINK("\\imagefiles.bcgov\imagery\scanned_maps\moe_terrain_maps\Scanned_T_maps_all\K13\K13-2435","\\imagefiles.bcgov\imagery\scanned_maps\moe_terrain_maps\Scanned_T_maps_all\K13\K13-2435")</f>
        <v>\\imagefiles.bcgov\imagery\scanned_maps\moe_terrain_maps\Scanned_T_maps_all\K13\K13-2435</v>
      </c>
      <c r="S1697" t="s">
        <v>62</v>
      </c>
      <c r="T1697" s="11" t="str">
        <f>HYPERLINK("http://www.env.gov.bc.ca/esd/distdata/ecosystems/TEI_Scanned_Maps/K13/K13-2435","http://www.env.gov.bc.ca/esd/distdata/ecosystems/TEI_Scanned_Maps/K13/K13-2435")</f>
        <v>http://www.env.gov.bc.ca/esd/distdata/ecosystems/TEI_Scanned_Maps/K13/K13-2435</v>
      </c>
      <c r="U1697" t="s">
        <v>2495</v>
      </c>
      <c r="V1697" s="11" t="str">
        <f t="shared" si="123"/>
        <v>http://www.em.gov.bc.ca/mining/geolsurv/terrain&amp;soils/frbcguid.htm</v>
      </c>
      <c r="W1697" t="s">
        <v>269</v>
      </c>
      <c r="X1697" s="11" t="str">
        <f t="shared" si="124"/>
        <v>http://www.library.for.gov.bc.ca/#focus</v>
      </c>
      <c r="Y1697" t="s">
        <v>2500</v>
      </c>
      <c r="Z1697" s="11" t="str">
        <f t="shared" si="125"/>
        <v>http://www.crownpub.bc.ca/</v>
      </c>
      <c r="AA1697" t="s">
        <v>58</v>
      </c>
      <c r="AC1697" t="s">
        <v>58</v>
      </c>
      <c r="AE1697" t="s">
        <v>58</v>
      </c>
      <c r="AG1697" t="s">
        <v>63</v>
      </c>
      <c r="AH1697" s="11" t="str">
        <f t="shared" si="114"/>
        <v>mailto: soilterrain@victoria1.gov.bc.ca</v>
      </c>
    </row>
    <row r="1698" spans="1:34">
      <c r="A1698" t="s">
        <v>3925</v>
      </c>
      <c r="B1698" t="s">
        <v>56</v>
      </c>
      <c r="C1698" s="10" t="s">
        <v>3926</v>
      </c>
      <c r="D1698" t="s">
        <v>58</v>
      </c>
      <c r="E1698" t="s">
        <v>3193</v>
      </c>
      <c r="F1698" t="s">
        <v>3927</v>
      </c>
      <c r="G1698">
        <v>50000</v>
      </c>
      <c r="H1698">
        <v>1988</v>
      </c>
      <c r="I1698" t="s">
        <v>3195</v>
      </c>
      <c r="J1698" t="s">
        <v>58</v>
      </c>
      <c r="K1698" t="s">
        <v>58</v>
      </c>
      <c r="L1698" t="s">
        <v>61</v>
      </c>
      <c r="M1698" t="s">
        <v>58</v>
      </c>
      <c r="Q1698" t="s">
        <v>58</v>
      </c>
      <c r="R1698" s="11" t="str">
        <f>HYPERLINK("\\imagefiles.bcgov\imagery\scanned_maps\moe_terrain_maps\Scanned_T_maps_all\K13\K13-2438","\\imagefiles.bcgov\imagery\scanned_maps\moe_terrain_maps\Scanned_T_maps_all\K13\K13-2438")</f>
        <v>\\imagefiles.bcgov\imagery\scanned_maps\moe_terrain_maps\Scanned_T_maps_all\K13\K13-2438</v>
      </c>
      <c r="S1698" t="s">
        <v>62</v>
      </c>
      <c r="T1698" s="11" t="str">
        <f>HYPERLINK("http://www.env.gov.bc.ca/esd/distdata/ecosystems/TEI_Scanned_Maps/K13/K13-2438","http://www.env.gov.bc.ca/esd/distdata/ecosystems/TEI_Scanned_Maps/K13/K13-2438")</f>
        <v>http://www.env.gov.bc.ca/esd/distdata/ecosystems/TEI_Scanned_Maps/K13/K13-2438</v>
      </c>
      <c r="U1698" t="s">
        <v>2495</v>
      </c>
      <c r="V1698" s="11" t="str">
        <f t="shared" si="123"/>
        <v>http://www.em.gov.bc.ca/mining/geolsurv/terrain&amp;soils/frbcguid.htm</v>
      </c>
      <c r="W1698" t="s">
        <v>269</v>
      </c>
      <c r="X1698" s="11" t="str">
        <f t="shared" si="124"/>
        <v>http://www.library.for.gov.bc.ca/#focus</v>
      </c>
      <c r="Y1698" t="s">
        <v>2500</v>
      </c>
      <c r="Z1698" s="11" t="str">
        <f t="shared" si="125"/>
        <v>http://www.crownpub.bc.ca/</v>
      </c>
      <c r="AA1698" t="s">
        <v>58</v>
      </c>
      <c r="AC1698" t="s">
        <v>58</v>
      </c>
      <c r="AE1698" t="s">
        <v>58</v>
      </c>
      <c r="AG1698" t="s">
        <v>63</v>
      </c>
      <c r="AH1698" s="11" t="str">
        <f t="shared" si="114"/>
        <v>mailto: soilterrain@victoria1.gov.bc.ca</v>
      </c>
    </row>
    <row r="1699" spans="1:34">
      <c r="A1699" t="s">
        <v>3928</v>
      </c>
      <c r="B1699" t="s">
        <v>56</v>
      </c>
      <c r="C1699" s="10" t="s">
        <v>334</v>
      </c>
      <c r="D1699" t="s">
        <v>58</v>
      </c>
      <c r="E1699" t="s">
        <v>3193</v>
      </c>
      <c r="F1699" t="s">
        <v>3929</v>
      </c>
      <c r="G1699">
        <v>50000</v>
      </c>
      <c r="H1699">
        <v>1987</v>
      </c>
      <c r="I1699" t="s">
        <v>3195</v>
      </c>
      <c r="J1699" t="s">
        <v>58</v>
      </c>
      <c r="K1699" t="s">
        <v>58</v>
      </c>
      <c r="L1699" t="s">
        <v>61</v>
      </c>
      <c r="M1699" t="s">
        <v>58</v>
      </c>
      <c r="Q1699" t="s">
        <v>58</v>
      </c>
      <c r="R1699" s="11" t="str">
        <f>HYPERLINK("\\imagefiles.bcgov\imagery\scanned_maps\moe_terrain_maps\Scanned_T_maps_all\K13\K13-2439","\\imagefiles.bcgov\imagery\scanned_maps\moe_terrain_maps\Scanned_T_maps_all\K13\K13-2439")</f>
        <v>\\imagefiles.bcgov\imagery\scanned_maps\moe_terrain_maps\Scanned_T_maps_all\K13\K13-2439</v>
      </c>
      <c r="S1699" t="s">
        <v>62</v>
      </c>
      <c r="T1699" s="11" t="str">
        <f>HYPERLINK("http://www.env.gov.bc.ca/esd/distdata/ecosystems/TEI_Scanned_Maps/K13/K13-2439","http://www.env.gov.bc.ca/esd/distdata/ecosystems/TEI_Scanned_Maps/K13/K13-2439")</f>
        <v>http://www.env.gov.bc.ca/esd/distdata/ecosystems/TEI_Scanned_Maps/K13/K13-2439</v>
      </c>
      <c r="U1699" t="s">
        <v>2495</v>
      </c>
      <c r="V1699" s="11" t="str">
        <f t="shared" si="123"/>
        <v>http://www.em.gov.bc.ca/mining/geolsurv/terrain&amp;soils/frbcguid.htm</v>
      </c>
      <c r="W1699" t="s">
        <v>269</v>
      </c>
      <c r="X1699" s="11" t="str">
        <f t="shared" si="124"/>
        <v>http://www.library.for.gov.bc.ca/#focus</v>
      </c>
      <c r="Y1699" t="s">
        <v>2500</v>
      </c>
      <c r="Z1699" s="11" t="str">
        <f t="shared" si="125"/>
        <v>http://www.crownpub.bc.ca/</v>
      </c>
      <c r="AA1699" t="s">
        <v>58</v>
      </c>
      <c r="AC1699" t="s">
        <v>58</v>
      </c>
      <c r="AE1699" t="s">
        <v>58</v>
      </c>
      <c r="AG1699" t="s">
        <v>63</v>
      </c>
      <c r="AH1699" s="11" t="str">
        <f t="shared" si="114"/>
        <v>mailto: soilterrain@victoria1.gov.bc.ca</v>
      </c>
    </row>
    <row r="1700" spans="1:34">
      <c r="A1700" t="s">
        <v>3930</v>
      </c>
      <c r="B1700" t="s">
        <v>56</v>
      </c>
      <c r="C1700" s="10" t="s">
        <v>337</v>
      </c>
      <c r="D1700" t="s">
        <v>58</v>
      </c>
      <c r="E1700" t="s">
        <v>3193</v>
      </c>
      <c r="F1700" t="s">
        <v>3931</v>
      </c>
      <c r="G1700">
        <v>50000</v>
      </c>
      <c r="H1700">
        <v>1987</v>
      </c>
      <c r="I1700" t="s">
        <v>3195</v>
      </c>
      <c r="J1700" t="s">
        <v>58</v>
      </c>
      <c r="K1700" t="s">
        <v>58</v>
      </c>
      <c r="L1700" t="s">
        <v>61</v>
      </c>
      <c r="M1700" t="s">
        <v>58</v>
      </c>
      <c r="Q1700" t="s">
        <v>58</v>
      </c>
      <c r="R1700" s="11" t="str">
        <f>HYPERLINK("\\imagefiles.bcgov\imagery\scanned_maps\moe_terrain_maps\Scanned_T_maps_all\K13\K13-2440","\\imagefiles.bcgov\imagery\scanned_maps\moe_terrain_maps\Scanned_T_maps_all\K13\K13-2440")</f>
        <v>\\imagefiles.bcgov\imagery\scanned_maps\moe_terrain_maps\Scanned_T_maps_all\K13\K13-2440</v>
      </c>
      <c r="S1700" t="s">
        <v>62</v>
      </c>
      <c r="T1700" s="11" t="str">
        <f>HYPERLINK("http://www.env.gov.bc.ca/esd/distdata/ecosystems/TEI_Scanned_Maps/K13/K13-2440","http://www.env.gov.bc.ca/esd/distdata/ecosystems/TEI_Scanned_Maps/K13/K13-2440")</f>
        <v>http://www.env.gov.bc.ca/esd/distdata/ecosystems/TEI_Scanned_Maps/K13/K13-2440</v>
      </c>
      <c r="U1700" t="s">
        <v>2495</v>
      </c>
      <c r="V1700" s="11" t="str">
        <f t="shared" si="123"/>
        <v>http://www.em.gov.bc.ca/mining/geolsurv/terrain&amp;soils/frbcguid.htm</v>
      </c>
      <c r="W1700" t="s">
        <v>269</v>
      </c>
      <c r="X1700" s="11" t="str">
        <f t="shared" si="124"/>
        <v>http://www.library.for.gov.bc.ca/#focus</v>
      </c>
      <c r="Y1700" t="s">
        <v>2500</v>
      </c>
      <c r="Z1700" s="11" t="str">
        <f t="shared" si="125"/>
        <v>http://www.crownpub.bc.ca/</v>
      </c>
      <c r="AA1700" t="s">
        <v>58</v>
      </c>
      <c r="AC1700" t="s">
        <v>58</v>
      </c>
      <c r="AE1700" t="s">
        <v>58</v>
      </c>
      <c r="AG1700" t="s">
        <v>63</v>
      </c>
      <c r="AH1700" s="11" t="str">
        <f t="shared" si="114"/>
        <v>mailto: soilterrain@victoria1.gov.bc.ca</v>
      </c>
    </row>
    <row r="1701" spans="1:34">
      <c r="A1701" t="s">
        <v>3932</v>
      </c>
      <c r="B1701" t="s">
        <v>56</v>
      </c>
      <c r="C1701" s="10" t="s">
        <v>3933</v>
      </c>
      <c r="D1701" t="s">
        <v>58</v>
      </c>
      <c r="E1701" t="s">
        <v>3193</v>
      </c>
      <c r="F1701" t="s">
        <v>3934</v>
      </c>
      <c r="G1701">
        <v>50000</v>
      </c>
      <c r="H1701">
        <v>1987</v>
      </c>
      <c r="I1701" t="s">
        <v>3195</v>
      </c>
      <c r="J1701" t="s">
        <v>58</v>
      </c>
      <c r="K1701" t="s">
        <v>58</v>
      </c>
      <c r="L1701" t="s">
        <v>61</v>
      </c>
      <c r="M1701" t="s">
        <v>58</v>
      </c>
      <c r="Q1701" t="s">
        <v>58</v>
      </c>
      <c r="R1701" s="11" t="str">
        <f>HYPERLINK("\\imagefiles.bcgov\imagery\scanned_maps\moe_terrain_maps\Scanned_T_maps_all\K13\K13-2441","\\imagefiles.bcgov\imagery\scanned_maps\moe_terrain_maps\Scanned_T_maps_all\K13\K13-2441")</f>
        <v>\\imagefiles.bcgov\imagery\scanned_maps\moe_terrain_maps\Scanned_T_maps_all\K13\K13-2441</v>
      </c>
      <c r="S1701" t="s">
        <v>62</v>
      </c>
      <c r="T1701" s="11" t="str">
        <f>HYPERLINK("http://www.env.gov.bc.ca/esd/distdata/ecosystems/TEI_Scanned_Maps/K13/K13-2441","http://www.env.gov.bc.ca/esd/distdata/ecosystems/TEI_Scanned_Maps/K13/K13-2441")</f>
        <v>http://www.env.gov.bc.ca/esd/distdata/ecosystems/TEI_Scanned_Maps/K13/K13-2441</v>
      </c>
      <c r="U1701" t="s">
        <v>2495</v>
      </c>
      <c r="V1701" s="11" t="str">
        <f t="shared" si="123"/>
        <v>http://www.em.gov.bc.ca/mining/geolsurv/terrain&amp;soils/frbcguid.htm</v>
      </c>
      <c r="W1701" t="s">
        <v>269</v>
      </c>
      <c r="X1701" s="11" t="str">
        <f t="shared" si="124"/>
        <v>http://www.library.for.gov.bc.ca/#focus</v>
      </c>
      <c r="Y1701" t="s">
        <v>2500</v>
      </c>
      <c r="Z1701" s="11" t="str">
        <f t="shared" si="125"/>
        <v>http://www.crownpub.bc.ca/</v>
      </c>
      <c r="AA1701" t="s">
        <v>58</v>
      </c>
      <c r="AC1701" t="s">
        <v>58</v>
      </c>
      <c r="AE1701" t="s">
        <v>58</v>
      </c>
      <c r="AG1701" t="s">
        <v>63</v>
      </c>
      <c r="AH1701" s="11" t="str">
        <f t="shared" si="114"/>
        <v>mailto: soilterrain@victoria1.gov.bc.ca</v>
      </c>
    </row>
    <row r="1702" spans="1:34">
      <c r="A1702" t="s">
        <v>3935</v>
      </c>
      <c r="B1702" t="s">
        <v>56</v>
      </c>
      <c r="C1702" s="10" t="s">
        <v>3936</v>
      </c>
      <c r="D1702" t="s">
        <v>58</v>
      </c>
      <c r="E1702" t="s">
        <v>3837</v>
      </c>
      <c r="F1702" t="s">
        <v>3937</v>
      </c>
      <c r="G1702">
        <v>100000</v>
      </c>
      <c r="H1702" t="s">
        <v>187</v>
      </c>
      <c r="I1702" t="s">
        <v>3839</v>
      </c>
      <c r="J1702" t="s">
        <v>58</v>
      </c>
      <c r="K1702" t="s">
        <v>58</v>
      </c>
      <c r="L1702" t="s">
        <v>61</v>
      </c>
      <c r="M1702" t="s">
        <v>58</v>
      </c>
      <c r="Q1702" t="s">
        <v>58</v>
      </c>
      <c r="R1702" s="11" t="str">
        <f>HYPERLINK("\\imagefiles.bcgov\imagery\scanned_maps\moe_terrain_maps\Scanned_T_maps_all\K13\K13-5052","\\imagefiles.bcgov\imagery\scanned_maps\moe_terrain_maps\Scanned_T_maps_all\K13\K13-5052")</f>
        <v>\\imagefiles.bcgov\imagery\scanned_maps\moe_terrain_maps\Scanned_T_maps_all\K13\K13-5052</v>
      </c>
      <c r="S1702" t="s">
        <v>62</v>
      </c>
      <c r="T1702" s="11" t="str">
        <f>HYPERLINK("http://www.env.gov.bc.ca/esd/distdata/ecosystems/TEI_Scanned_Maps/K13/K13-5052","http://www.env.gov.bc.ca/esd/distdata/ecosystems/TEI_Scanned_Maps/K13/K13-5052")</f>
        <v>http://www.env.gov.bc.ca/esd/distdata/ecosystems/TEI_Scanned_Maps/K13/K13-5052</v>
      </c>
      <c r="U1702" t="s">
        <v>269</v>
      </c>
      <c r="V1702" s="11" t="str">
        <f>HYPERLINK("http://www.library.for.gov.bc.ca/#focus","http://www.library.for.gov.bc.ca/#focus")</f>
        <v>http://www.library.for.gov.bc.ca/#focus</v>
      </c>
      <c r="W1702" t="s">
        <v>3053</v>
      </c>
      <c r="X1702" s="11" t="str">
        <f>HYPERLINK("http://www.prsss.ca/","http://www.prsss.ca/")</f>
        <v>http://www.prsss.ca/</v>
      </c>
      <c r="Y1702" t="s">
        <v>58</v>
      </c>
      <c r="Z1702" t="s">
        <v>58</v>
      </c>
      <c r="AA1702" t="s">
        <v>58</v>
      </c>
      <c r="AC1702" t="s">
        <v>58</v>
      </c>
      <c r="AE1702" t="s">
        <v>58</v>
      </c>
      <c r="AG1702" t="s">
        <v>63</v>
      </c>
      <c r="AH1702" s="11" t="str">
        <f t="shared" si="114"/>
        <v>mailto: soilterrain@victoria1.gov.bc.ca</v>
      </c>
    </row>
    <row r="1703" spans="1:34">
      <c r="A1703" t="s">
        <v>3938</v>
      </c>
      <c r="B1703" t="s">
        <v>56</v>
      </c>
      <c r="C1703" s="10" t="s">
        <v>3165</v>
      </c>
      <c r="D1703" t="s">
        <v>58</v>
      </c>
      <c r="E1703" t="s">
        <v>3837</v>
      </c>
      <c r="F1703" t="s">
        <v>3937</v>
      </c>
      <c r="G1703">
        <v>100000</v>
      </c>
      <c r="H1703" t="s">
        <v>187</v>
      </c>
      <c r="I1703" t="s">
        <v>3839</v>
      </c>
      <c r="J1703" t="s">
        <v>58</v>
      </c>
      <c r="K1703" t="s">
        <v>58</v>
      </c>
      <c r="L1703" t="s">
        <v>61</v>
      </c>
      <c r="M1703" t="s">
        <v>58</v>
      </c>
      <c r="Q1703" t="s">
        <v>58</v>
      </c>
      <c r="R1703" s="11" t="str">
        <f>HYPERLINK("\\imagefiles.bcgov\imagery\scanned_maps\moe_terrain_maps\Scanned_T_maps_all\K13\K13-5053","\\imagefiles.bcgov\imagery\scanned_maps\moe_terrain_maps\Scanned_T_maps_all\K13\K13-5053")</f>
        <v>\\imagefiles.bcgov\imagery\scanned_maps\moe_terrain_maps\Scanned_T_maps_all\K13\K13-5053</v>
      </c>
      <c r="S1703" t="s">
        <v>62</v>
      </c>
      <c r="T1703" s="11" t="str">
        <f>HYPERLINK("http://www.env.gov.bc.ca/esd/distdata/ecosystems/TEI_Scanned_Maps/K13/K13-5053","http://www.env.gov.bc.ca/esd/distdata/ecosystems/TEI_Scanned_Maps/K13/K13-5053")</f>
        <v>http://www.env.gov.bc.ca/esd/distdata/ecosystems/TEI_Scanned_Maps/K13/K13-5053</v>
      </c>
      <c r="U1703" t="s">
        <v>269</v>
      </c>
      <c r="V1703" s="11" t="str">
        <f>HYPERLINK("http://www.library.for.gov.bc.ca/#focus","http://www.library.for.gov.bc.ca/#focus")</f>
        <v>http://www.library.for.gov.bc.ca/#focus</v>
      </c>
      <c r="W1703" t="s">
        <v>3053</v>
      </c>
      <c r="X1703" s="11" t="str">
        <f>HYPERLINK("http://www.prsss.ca/","http://www.prsss.ca/")</f>
        <v>http://www.prsss.ca/</v>
      </c>
      <c r="Y1703" t="s">
        <v>58</v>
      </c>
      <c r="Z1703" t="s">
        <v>58</v>
      </c>
      <c r="AA1703" t="s">
        <v>58</v>
      </c>
      <c r="AC1703" t="s">
        <v>58</v>
      </c>
      <c r="AE1703" t="s">
        <v>58</v>
      </c>
      <c r="AG1703" t="s">
        <v>63</v>
      </c>
      <c r="AH1703" s="11" t="str">
        <f t="shared" si="114"/>
        <v>mailto: soilterrain@victoria1.gov.bc.ca</v>
      </c>
    </row>
    <row r="1704" spans="1:34">
      <c r="A1704" t="s">
        <v>3939</v>
      </c>
      <c r="B1704" t="s">
        <v>56</v>
      </c>
      <c r="C1704" s="10" t="s">
        <v>1627</v>
      </c>
      <c r="D1704" t="s">
        <v>58</v>
      </c>
      <c r="E1704" t="s">
        <v>2497</v>
      </c>
      <c r="F1704" t="s">
        <v>3940</v>
      </c>
      <c r="G1704">
        <v>50000</v>
      </c>
      <c r="H1704">
        <v>1987</v>
      </c>
      <c r="I1704" t="s">
        <v>2499</v>
      </c>
      <c r="J1704" t="s">
        <v>58</v>
      </c>
      <c r="K1704" t="s">
        <v>61</v>
      </c>
      <c r="L1704" t="s">
        <v>61</v>
      </c>
      <c r="M1704" t="s">
        <v>58</v>
      </c>
      <c r="Q1704" t="s">
        <v>58</v>
      </c>
      <c r="R1704" s="11" t="str">
        <f>HYPERLINK("\\imagefiles.bcgov\imagery\scanned_maps\moe_terrain_maps\Scanned_T_maps_all\K14\K14-2486","\\imagefiles.bcgov\imagery\scanned_maps\moe_terrain_maps\Scanned_T_maps_all\K14\K14-2486")</f>
        <v>\\imagefiles.bcgov\imagery\scanned_maps\moe_terrain_maps\Scanned_T_maps_all\K14\K14-2486</v>
      </c>
      <c r="S1704" t="s">
        <v>62</v>
      </c>
      <c r="T1704" s="11" t="str">
        <f>HYPERLINK("http://www.env.gov.bc.ca/esd/distdata/ecosystems/TEI_Scanned_Maps/K14/K14-2486","http://www.env.gov.bc.ca/esd/distdata/ecosystems/TEI_Scanned_Maps/K14/K14-2486")</f>
        <v>http://www.env.gov.bc.ca/esd/distdata/ecosystems/TEI_Scanned_Maps/K14/K14-2486</v>
      </c>
      <c r="U1704" t="s">
        <v>2495</v>
      </c>
      <c r="V1704" s="11" t="str">
        <f t="shared" ref="V1704:V1745" si="126">HYPERLINK("http://www.em.gov.bc.ca/mining/geolsurv/terrain&amp;soils/frbcguid.htm","http://www.em.gov.bc.ca/mining/geolsurv/terrain&amp;soils/frbcguid.htm")</f>
        <v>http://www.em.gov.bc.ca/mining/geolsurv/terrain&amp;soils/frbcguid.htm</v>
      </c>
      <c r="W1704" t="s">
        <v>2489</v>
      </c>
      <c r="X1704" s="11" t="str">
        <f t="shared" ref="X1704:X1730" si="127">HYPERLINK("http://www.em.gov.bc.ca/mining/geolsurv/terrain&amp;soils/frbcguid.htm","http://www.em.gov.bc.ca/mining/geolsurv/terrain&amp;soils/frbcguid.htm")</f>
        <v>http://www.em.gov.bc.ca/mining/geolsurv/terrain&amp;soils/frbcguid.htm</v>
      </c>
      <c r="Y1704" t="s">
        <v>269</v>
      </c>
      <c r="Z1704" s="11" t="str">
        <f t="shared" ref="Z1704:Z1730" si="128">HYPERLINK("http://www.library.for.gov.bc.ca/#focus","http://www.library.for.gov.bc.ca/#focus")</f>
        <v>http://www.library.for.gov.bc.ca/#focus</v>
      </c>
      <c r="AA1704" t="s">
        <v>2500</v>
      </c>
      <c r="AB1704" s="11" t="str">
        <f>HYPERLINK("http://www.crownpub.bc.ca/","http://www.crownpub.bc.ca/")</f>
        <v>http://www.crownpub.bc.ca/</v>
      </c>
      <c r="AC1704" t="s">
        <v>58</v>
      </c>
      <c r="AE1704" t="s">
        <v>58</v>
      </c>
      <c r="AG1704" t="s">
        <v>63</v>
      </c>
      <c r="AH1704" s="11" t="str">
        <f t="shared" si="114"/>
        <v>mailto: soilterrain@victoria1.gov.bc.ca</v>
      </c>
    </row>
    <row r="1705" spans="1:34">
      <c r="A1705" t="s">
        <v>3941</v>
      </c>
      <c r="B1705" t="s">
        <v>56</v>
      </c>
      <c r="C1705" s="10" t="s">
        <v>1630</v>
      </c>
      <c r="D1705" t="s">
        <v>58</v>
      </c>
      <c r="E1705" t="s">
        <v>2497</v>
      </c>
      <c r="F1705" t="s">
        <v>3942</v>
      </c>
      <c r="G1705">
        <v>50000</v>
      </c>
      <c r="H1705">
        <v>1986</v>
      </c>
      <c r="I1705" t="s">
        <v>2499</v>
      </c>
      <c r="J1705" t="s">
        <v>58</v>
      </c>
      <c r="K1705" t="s">
        <v>61</v>
      </c>
      <c r="L1705" t="s">
        <v>61</v>
      </c>
      <c r="M1705" t="s">
        <v>58</v>
      </c>
      <c r="Q1705" t="s">
        <v>58</v>
      </c>
      <c r="R1705" s="11" t="str">
        <f>HYPERLINK("\\imagefiles.bcgov\imagery\scanned_maps\moe_terrain_maps\Scanned_T_maps_all\K14\K14-2488","\\imagefiles.bcgov\imagery\scanned_maps\moe_terrain_maps\Scanned_T_maps_all\K14\K14-2488")</f>
        <v>\\imagefiles.bcgov\imagery\scanned_maps\moe_terrain_maps\Scanned_T_maps_all\K14\K14-2488</v>
      </c>
      <c r="S1705" t="s">
        <v>62</v>
      </c>
      <c r="T1705" s="11" t="str">
        <f>HYPERLINK("http://www.env.gov.bc.ca/esd/distdata/ecosystems/TEI_Scanned_Maps/K14/K14-2488","http://www.env.gov.bc.ca/esd/distdata/ecosystems/TEI_Scanned_Maps/K14/K14-2488")</f>
        <v>http://www.env.gov.bc.ca/esd/distdata/ecosystems/TEI_Scanned_Maps/K14/K14-2488</v>
      </c>
      <c r="U1705" t="s">
        <v>2495</v>
      </c>
      <c r="V1705" s="11" t="str">
        <f t="shared" si="126"/>
        <v>http://www.em.gov.bc.ca/mining/geolsurv/terrain&amp;soils/frbcguid.htm</v>
      </c>
      <c r="W1705" t="s">
        <v>2489</v>
      </c>
      <c r="X1705" s="11" t="str">
        <f t="shared" si="127"/>
        <v>http://www.em.gov.bc.ca/mining/geolsurv/terrain&amp;soils/frbcguid.htm</v>
      </c>
      <c r="Y1705" t="s">
        <v>269</v>
      </c>
      <c r="Z1705" s="11" t="str">
        <f t="shared" si="128"/>
        <v>http://www.library.for.gov.bc.ca/#focus</v>
      </c>
      <c r="AA1705" t="s">
        <v>2500</v>
      </c>
      <c r="AB1705" s="11" t="str">
        <f>HYPERLINK("http://www.crownpub.bc.ca/","http://www.crownpub.bc.ca/")</f>
        <v>http://www.crownpub.bc.ca/</v>
      </c>
      <c r="AC1705" t="s">
        <v>58</v>
      </c>
      <c r="AE1705" t="s">
        <v>58</v>
      </c>
      <c r="AG1705" t="s">
        <v>63</v>
      </c>
      <c r="AH1705" s="11" t="str">
        <f t="shared" si="114"/>
        <v>mailto: soilterrain@victoria1.gov.bc.ca</v>
      </c>
    </row>
    <row r="1706" spans="1:34">
      <c r="A1706" t="s">
        <v>3943</v>
      </c>
      <c r="B1706" t="s">
        <v>56</v>
      </c>
      <c r="C1706" s="10" t="s">
        <v>3944</v>
      </c>
      <c r="D1706" t="s">
        <v>58</v>
      </c>
      <c r="E1706" t="s">
        <v>3945</v>
      </c>
      <c r="F1706" t="s">
        <v>3946</v>
      </c>
      <c r="G1706">
        <v>50000</v>
      </c>
      <c r="H1706">
        <v>1987</v>
      </c>
      <c r="I1706" t="s">
        <v>3947</v>
      </c>
      <c r="J1706" t="s">
        <v>58</v>
      </c>
      <c r="K1706" t="s">
        <v>61</v>
      </c>
      <c r="L1706" t="s">
        <v>61</v>
      </c>
      <c r="M1706" t="s">
        <v>58</v>
      </c>
      <c r="Q1706" t="s">
        <v>58</v>
      </c>
      <c r="R1706" s="11" t="str">
        <f>HYPERLINK("\\imagefiles.bcgov\imagery\scanned_maps\moe_terrain_maps\Scanned_T_maps_all\K14\K14-2489","\\imagefiles.bcgov\imagery\scanned_maps\moe_terrain_maps\Scanned_T_maps_all\K14\K14-2489")</f>
        <v>\\imagefiles.bcgov\imagery\scanned_maps\moe_terrain_maps\Scanned_T_maps_all\K14\K14-2489</v>
      </c>
      <c r="S1706" t="s">
        <v>62</v>
      </c>
      <c r="T1706" s="11" t="str">
        <f>HYPERLINK("http://www.env.gov.bc.ca/esd/distdata/ecosystems/TEI_Scanned_Maps/K14/K14-2489","http://www.env.gov.bc.ca/esd/distdata/ecosystems/TEI_Scanned_Maps/K14/K14-2489")</f>
        <v>http://www.env.gov.bc.ca/esd/distdata/ecosystems/TEI_Scanned_Maps/K14/K14-2489</v>
      </c>
      <c r="U1706" t="s">
        <v>2495</v>
      </c>
      <c r="V1706" s="11" t="str">
        <f t="shared" si="126"/>
        <v>http://www.em.gov.bc.ca/mining/geolsurv/terrain&amp;soils/frbcguid.htm</v>
      </c>
      <c r="W1706" t="s">
        <v>2489</v>
      </c>
      <c r="X1706" s="11" t="str">
        <f t="shared" si="127"/>
        <v>http://www.em.gov.bc.ca/mining/geolsurv/terrain&amp;soils/frbcguid.htm</v>
      </c>
      <c r="Y1706" t="s">
        <v>269</v>
      </c>
      <c r="Z1706" s="11" t="str">
        <f t="shared" si="128"/>
        <v>http://www.library.for.gov.bc.ca/#focus</v>
      </c>
      <c r="AA1706" t="s">
        <v>58</v>
      </c>
      <c r="AC1706" t="s">
        <v>58</v>
      </c>
      <c r="AE1706" t="s">
        <v>58</v>
      </c>
      <c r="AG1706" t="s">
        <v>63</v>
      </c>
      <c r="AH1706" s="11" t="str">
        <f t="shared" si="114"/>
        <v>mailto: soilterrain@victoria1.gov.bc.ca</v>
      </c>
    </row>
    <row r="1707" spans="1:34">
      <c r="A1707" t="s">
        <v>3948</v>
      </c>
      <c r="B1707" t="s">
        <v>56</v>
      </c>
      <c r="C1707" s="10" t="s">
        <v>1633</v>
      </c>
      <c r="D1707" t="s">
        <v>58</v>
      </c>
      <c r="E1707" t="s">
        <v>2497</v>
      </c>
      <c r="F1707" t="s">
        <v>3949</v>
      </c>
      <c r="G1707">
        <v>50000</v>
      </c>
      <c r="H1707">
        <v>1988</v>
      </c>
      <c r="I1707" t="s">
        <v>2499</v>
      </c>
      <c r="J1707" t="s">
        <v>58</v>
      </c>
      <c r="K1707" t="s">
        <v>61</v>
      </c>
      <c r="L1707" t="s">
        <v>61</v>
      </c>
      <c r="M1707" t="s">
        <v>58</v>
      </c>
      <c r="Q1707" t="s">
        <v>58</v>
      </c>
      <c r="R1707" s="11" t="str">
        <f>HYPERLINK("\\imagefiles.bcgov\imagery\scanned_maps\moe_terrain_maps\Scanned_T_maps_all\K14\K14-2491","\\imagefiles.bcgov\imagery\scanned_maps\moe_terrain_maps\Scanned_T_maps_all\K14\K14-2491")</f>
        <v>\\imagefiles.bcgov\imagery\scanned_maps\moe_terrain_maps\Scanned_T_maps_all\K14\K14-2491</v>
      </c>
      <c r="S1707" t="s">
        <v>62</v>
      </c>
      <c r="T1707" s="11" t="str">
        <f>HYPERLINK("http://www.env.gov.bc.ca/esd/distdata/ecosystems/TEI_Scanned_Maps/K14/K14-2491","http://www.env.gov.bc.ca/esd/distdata/ecosystems/TEI_Scanned_Maps/K14/K14-2491")</f>
        <v>http://www.env.gov.bc.ca/esd/distdata/ecosystems/TEI_Scanned_Maps/K14/K14-2491</v>
      </c>
      <c r="U1707" t="s">
        <v>2495</v>
      </c>
      <c r="V1707" s="11" t="str">
        <f t="shared" si="126"/>
        <v>http://www.em.gov.bc.ca/mining/geolsurv/terrain&amp;soils/frbcguid.htm</v>
      </c>
      <c r="W1707" t="s">
        <v>2489</v>
      </c>
      <c r="X1707" s="11" t="str">
        <f t="shared" si="127"/>
        <v>http://www.em.gov.bc.ca/mining/geolsurv/terrain&amp;soils/frbcguid.htm</v>
      </c>
      <c r="Y1707" t="s">
        <v>269</v>
      </c>
      <c r="Z1707" s="11" t="str">
        <f t="shared" si="128"/>
        <v>http://www.library.for.gov.bc.ca/#focus</v>
      </c>
      <c r="AA1707" t="s">
        <v>2500</v>
      </c>
      <c r="AB1707" s="11" t="str">
        <f t="shared" ref="AB1707:AB1715" si="129">HYPERLINK("http://www.crownpub.bc.ca/","http://www.crownpub.bc.ca/")</f>
        <v>http://www.crownpub.bc.ca/</v>
      </c>
      <c r="AC1707" t="s">
        <v>58</v>
      </c>
      <c r="AE1707" t="s">
        <v>58</v>
      </c>
      <c r="AG1707" t="s">
        <v>63</v>
      </c>
      <c r="AH1707" s="11" t="str">
        <f t="shared" si="114"/>
        <v>mailto: soilterrain@victoria1.gov.bc.ca</v>
      </c>
    </row>
    <row r="1708" spans="1:34">
      <c r="A1708" t="s">
        <v>3950</v>
      </c>
      <c r="B1708" t="s">
        <v>56</v>
      </c>
      <c r="C1708" s="10" t="s">
        <v>1636</v>
      </c>
      <c r="D1708" t="s">
        <v>58</v>
      </c>
      <c r="E1708" t="s">
        <v>2497</v>
      </c>
      <c r="F1708" t="s">
        <v>3951</v>
      </c>
      <c r="G1708">
        <v>50000</v>
      </c>
      <c r="H1708">
        <v>1988</v>
      </c>
      <c r="I1708" t="s">
        <v>2499</v>
      </c>
      <c r="J1708" t="s">
        <v>58</v>
      </c>
      <c r="K1708" t="s">
        <v>61</v>
      </c>
      <c r="L1708" t="s">
        <v>61</v>
      </c>
      <c r="M1708" t="s">
        <v>58</v>
      </c>
      <c r="Q1708" t="s">
        <v>58</v>
      </c>
      <c r="R1708" s="11" t="str">
        <f>HYPERLINK("\\imagefiles.bcgov\imagery\scanned_maps\moe_terrain_maps\Scanned_T_maps_all\K14\K14-2493","\\imagefiles.bcgov\imagery\scanned_maps\moe_terrain_maps\Scanned_T_maps_all\K14\K14-2493")</f>
        <v>\\imagefiles.bcgov\imagery\scanned_maps\moe_terrain_maps\Scanned_T_maps_all\K14\K14-2493</v>
      </c>
      <c r="S1708" t="s">
        <v>62</v>
      </c>
      <c r="T1708" s="11" t="str">
        <f>HYPERLINK("http://www.env.gov.bc.ca/esd/distdata/ecosystems/TEI_Scanned_Maps/K14/K14-2493","http://www.env.gov.bc.ca/esd/distdata/ecosystems/TEI_Scanned_Maps/K14/K14-2493")</f>
        <v>http://www.env.gov.bc.ca/esd/distdata/ecosystems/TEI_Scanned_Maps/K14/K14-2493</v>
      </c>
      <c r="U1708" t="s">
        <v>2495</v>
      </c>
      <c r="V1708" s="11" t="str">
        <f t="shared" si="126"/>
        <v>http://www.em.gov.bc.ca/mining/geolsurv/terrain&amp;soils/frbcguid.htm</v>
      </c>
      <c r="W1708" t="s">
        <v>2489</v>
      </c>
      <c r="X1708" s="11" t="str">
        <f t="shared" si="127"/>
        <v>http://www.em.gov.bc.ca/mining/geolsurv/terrain&amp;soils/frbcguid.htm</v>
      </c>
      <c r="Y1708" t="s">
        <v>269</v>
      </c>
      <c r="Z1708" s="11" t="str">
        <f t="shared" si="128"/>
        <v>http://www.library.for.gov.bc.ca/#focus</v>
      </c>
      <c r="AA1708" t="s">
        <v>2500</v>
      </c>
      <c r="AB1708" s="11" t="str">
        <f t="shared" si="129"/>
        <v>http://www.crownpub.bc.ca/</v>
      </c>
      <c r="AC1708" t="s">
        <v>58</v>
      </c>
      <c r="AE1708" t="s">
        <v>58</v>
      </c>
      <c r="AG1708" t="s">
        <v>63</v>
      </c>
      <c r="AH1708" s="11" t="str">
        <f t="shared" si="114"/>
        <v>mailto: soilterrain@victoria1.gov.bc.ca</v>
      </c>
    </row>
    <row r="1709" spans="1:34">
      <c r="A1709" t="s">
        <v>3952</v>
      </c>
      <c r="B1709" t="s">
        <v>56</v>
      </c>
      <c r="C1709" s="10" t="s">
        <v>1639</v>
      </c>
      <c r="D1709" t="s">
        <v>58</v>
      </c>
      <c r="E1709" t="s">
        <v>2497</v>
      </c>
      <c r="F1709" t="s">
        <v>3953</v>
      </c>
      <c r="G1709">
        <v>50000</v>
      </c>
      <c r="H1709">
        <v>1987</v>
      </c>
      <c r="I1709" t="s">
        <v>2499</v>
      </c>
      <c r="J1709" t="s">
        <v>58</v>
      </c>
      <c r="K1709" t="s">
        <v>61</v>
      </c>
      <c r="L1709" t="s">
        <v>61</v>
      </c>
      <c r="M1709" t="s">
        <v>58</v>
      </c>
      <c r="Q1709" t="s">
        <v>58</v>
      </c>
      <c r="R1709" s="11" t="str">
        <f>HYPERLINK("\\imagefiles.bcgov\imagery\scanned_maps\moe_terrain_maps\Scanned_T_maps_all\K14\K14-2495","\\imagefiles.bcgov\imagery\scanned_maps\moe_terrain_maps\Scanned_T_maps_all\K14\K14-2495")</f>
        <v>\\imagefiles.bcgov\imagery\scanned_maps\moe_terrain_maps\Scanned_T_maps_all\K14\K14-2495</v>
      </c>
      <c r="S1709" t="s">
        <v>62</v>
      </c>
      <c r="T1709" s="11" t="str">
        <f>HYPERLINK("http://www.env.gov.bc.ca/esd/distdata/ecosystems/TEI_Scanned_Maps/K14/K14-2495","http://www.env.gov.bc.ca/esd/distdata/ecosystems/TEI_Scanned_Maps/K14/K14-2495")</f>
        <v>http://www.env.gov.bc.ca/esd/distdata/ecosystems/TEI_Scanned_Maps/K14/K14-2495</v>
      </c>
      <c r="U1709" t="s">
        <v>2495</v>
      </c>
      <c r="V1709" s="11" t="str">
        <f t="shared" si="126"/>
        <v>http://www.em.gov.bc.ca/mining/geolsurv/terrain&amp;soils/frbcguid.htm</v>
      </c>
      <c r="W1709" t="s">
        <v>2489</v>
      </c>
      <c r="X1709" s="11" t="str">
        <f t="shared" si="127"/>
        <v>http://www.em.gov.bc.ca/mining/geolsurv/terrain&amp;soils/frbcguid.htm</v>
      </c>
      <c r="Y1709" t="s">
        <v>269</v>
      </c>
      <c r="Z1709" s="11" t="str">
        <f t="shared" si="128"/>
        <v>http://www.library.for.gov.bc.ca/#focus</v>
      </c>
      <c r="AA1709" t="s">
        <v>2500</v>
      </c>
      <c r="AB1709" s="11" t="str">
        <f t="shared" si="129"/>
        <v>http://www.crownpub.bc.ca/</v>
      </c>
      <c r="AC1709" t="s">
        <v>58</v>
      </c>
      <c r="AE1709" t="s">
        <v>58</v>
      </c>
      <c r="AG1709" t="s">
        <v>63</v>
      </c>
      <c r="AH1709" s="11" t="str">
        <f t="shared" si="114"/>
        <v>mailto: soilterrain@victoria1.gov.bc.ca</v>
      </c>
    </row>
    <row r="1710" spans="1:34">
      <c r="A1710" t="s">
        <v>3954</v>
      </c>
      <c r="B1710" t="s">
        <v>56</v>
      </c>
      <c r="C1710" s="10" t="s">
        <v>1642</v>
      </c>
      <c r="D1710" t="s">
        <v>58</v>
      </c>
      <c r="E1710" t="s">
        <v>2497</v>
      </c>
      <c r="F1710" t="s">
        <v>3955</v>
      </c>
      <c r="G1710">
        <v>50000</v>
      </c>
      <c r="H1710">
        <v>1987</v>
      </c>
      <c r="I1710" t="s">
        <v>2499</v>
      </c>
      <c r="J1710" t="s">
        <v>58</v>
      </c>
      <c r="K1710" t="s">
        <v>61</v>
      </c>
      <c r="L1710" t="s">
        <v>61</v>
      </c>
      <c r="M1710" t="s">
        <v>58</v>
      </c>
      <c r="Q1710" t="s">
        <v>58</v>
      </c>
      <c r="R1710" s="11" t="str">
        <f>HYPERLINK("\\imagefiles.bcgov\imagery\scanned_maps\moe_terrain_maps\Scanned_T_maps_all\K14\K14-2497","\\imagefiles.bcgov\imagery\scanned_maps\moe_terrain_maps\Scanned_T_maps_all\K14\K14-2497")</f>
        <v>\\imagefiles.bcgov\imagery\scanned_maps\moe_terrain_maps\Scanned_T_maps_all\K14\K14-2497</v>
      </c>
      <c r="S1710" t="s">
        <v>62</v>
      </c>
      <c r="T1710" s="11" t="str">
        <f>HYPERLINK("http://www.env.gov.bc.ca/esd/distdata/ecosystems/TEI_Scanned_Maps/K14/K14-2497","http://www.env.gov.bc.ca/esd/distdata/ecosystems/TEI_Scanned_Maps/K14/K14-2497")</f>
        <v>http://www.env.gov.bc.ca/esd/distdata/ecosystems/TEI_Scanned_Maps/K14/K14-2497</v>
      </c>
      <c r="U1710" t="s">
        <v>2495</v>
      </c>
      <c r="V1710" s="11" t="str">
        <f t="shared" si="126"/>
        <v>http://www.em.gov.bc.ca/mining/geolsurv/terrain&amp;soils/frbcguid.htm</v>
      </c>
      <c r="W1710" t="s">
        <v>2489</v>
      </c>
      <c r="X1710" s="11" t="str">
        <f t="shared" si="127"/>
        <v>http://www.em.gov.bc.ca/mining/geolsurv/terrain&amp;soils/frbcguid.htm</v>
      </c>
      <c r="Y1710" t="s">
        <v>269</v>
      </c>
      <c r="Z1710" s="11" t="str">
        <f t="shared" si="128"/>
        <v>http://www.library.for.gov.bc.ca/#focus</v>
      </c>
      <c r="AA1710" t="s">
        <v>2500</v>
      </c>
      <c r="AB1710" s="11" t="str">
        <f t="shared" si="129"/>
        <v>http://www.crownpub.bc.ca/</v>
      </c>
      <c r="AC1710" t="s">
        <v>58</v>
      </c>
      <c r="AE1710" t="s">
        <v>58</v>
      </c>
      <c r="AG1710" t="s">
        <v>63</v>
      </c>
      <c r="AH1710" s="11" t="str">
        <f t="shared" si="114"/>
        <v>mailto: soilterrain@victoria1.gov.bc.ca</v>
      </c>
    </row>
    <row r="1711" spans="1:34">
      <c r="A1711" t="s">
        <v>3956</v>
      </c>
      <c r="B1711" t="s">
        <v>56</v>
      </c>
      <c r="C1711" s="10" t="s">
        <v>1645</v>
      </c>
      <c r="D1711" t="s">
        <v>58</v>
      </c>
      <c r="E1711" t="s">
        <v>2497</v>
      </c>
      <c r="F1711" t="s">
        <v>3957</v>
      </c>
      <c r="G1711">
        <v>50000</v>
      </c>
      <c r="H1711">
        <v>1985</v>
      </c>
      <c r="I1711" t="s">
        <v>2499</v>
      </c>
      <c r="J1711" t="s">
        <v>58</v>
      </c>
      <c r="K1711" t="s">
        <v>61</v>
      </c>
      <c r="L1711" t="s">
        <v>61</v>
      </c>
      <c r="M1711" t="s">
        <v>58</v>
      </c>
      <c r="Q1711" t="s">
        <v>58</v>
      </c>
      <c r="R1711" s="11" t="str">
        <f>HYPERLINK("\\imagefiles.bcgov\imagery\scanned_maps\moe_terrain_maps\Scanned_T_maps_all\K14\K14-2499","\\imagefiles.bcgov\imagery\scanned_maps\moe_terrain_maps\Scanned_T_maps_all\K14\K14-2499")</f>
        <v>\\imagefiles.bcgov\imagery\scanned_maps\moe_terrain_maps\Scanned_T_maps_all\K14\K14-2499</v>
      </c>
      <c r="S1711" t="s">
        <v>62</v>
      </c>
      <c r="T1711" s="11" t="str">
        <f>HYPERLINK("http://www.env.gov.bc.ca/esd/distdata/ecosystems/TEI_Scanned_Maps/K14/K14-2499","http://www.env.gov.bc.ca/esd/distdata/ecosystems/TEI_Scanned_Maps/K14/K14-2499")</f>
        <v>http://www.env.gov.bc.ca/esd/distdata/ecosystems/TEI_Scanned_Maps/K14/K14-2499</v>
      </c>
      <c r="U1711" t="s">
        <v>2495</v>
      </c>
      <c r="V1711" s="11" t="str">
        <f t="shared" si="126"/>
        <v>http://www.em.gov.bc.ca/mining/geolsurv/terrain&amp;soils/frbcguid.htm</v>
      </c>
      <c r="W1711" t="s">
        <v>2489</v>
      </c>
      <c r="X1711" s="11" t="str">
        <f t="shared" si="127"/>
        <v>http://www.em.gov.bc.ca/mining/geolsurv/terrain&amp;soils/frbcguid.htm</v>
      </c>
      <c r="Y1711" t="s">
        <v>269</v>
      </c>
      <c r="Z1711" s="11" t="str">
        <f t="shared" si="128"/>
        <v>http://www.library.for.gov.bc.ca/#focus</v>
      </c>
      <c r="AA1711" t="s">
        <v>2500</v>
      </c>
      <c r="AB1711" s="11" t="str">
        <f t="shared" si="129"/>
        <v>http://www.crownpub.bc.ca/</v>
      </c>
      <c r="AC1711" t="s">
        <v>58</v>
      </c>
      <c r="AE1711" t="s">
        <v>58</v>
      </c>
      <c r="AG1711" t="s">
        <v>63</v>
      </c>
      <c r="AH1711" s="11" t="str">
        <f t="shared" si="114"/>
        <v>mailto: soilterrain@victoria1.gov.bc.ca</v>
      </c>
    </row>
    <row r="1712" spans="1:34">
      <c r="A1712" t="s">
        <v>3958</v>
      </c>
      <c r="B1712" t="s">
        <v>56</v>
      </c>
      <c r="C1712" s="10" t="s">
        <v>1651</v>
      </c>
      <c r="D1712" t="s">
        <v>58</v>
      </c>
      <c r="E1712" t="s">
        <v>2497</v>
      </c>
      <c r="F1712" t="s">
        <v>3809</v>
      </c>
      <c r="G1712">
        <v>50000</v>
      </c>
      <c r="H1712">
        <v>1985</v>
      </c>
      <c r="I1712" t="s">
        <v>2499</v>
      </c>
      <c r="J1712" t="s">
        <v>58</v>
      </c>
      <c r="K1712" t="s">
        <v>61</v>
      </c>
      <c r="L1712" t="s">
        <v>61</v>
      </c>
      <c r="M1712" t="s">
        <v>58</v>
      </c>
      <c r="Q1712" t="s">
        <v>58</v>
      </c>
      <c r="R1712" s="11" t="str">
        <f>HYPERLINK("\\imagefiles.bcgov\imagery\scanned_maps\moe_terrain_maps\Scanned_T_maps_all\K14\K14-2501","\\imagefiles.bcgov\imagery\scanned_maps\moe_terrain_maps\Scanned_T_maps_all\K14\K14-2501")</f>
        <v>\\imagefiles.bcgov\imagery\scanned_maps\moe_terrain_maps\Scanned_T_maps_all\K14\K14-2501</v>
      </c>
      <c r="S1712" t="s">
        <v>62</v>
      </c>
      <c r="T1712" s="11" t="str">
        <f>HYPERLINK("http://www.env.gov.bc.ca/esd/distdata/ecosystems/TEI_Scanned_Maps/K14/K14-2501","http://www.env.gov.bc.ca/esd/distdata/ecosystems/TEI_Scanned_Maps/K14/K14-2501")</f>
        <v>http://www.env.gov.bc.ca/esd/distdata/ecosystems/TEI_Scanned_Maps/K14/K14-2501</v>
      </c>
      <c r="U1712" t="s">
        <v>2495</v>
      </c>
      <c r="V1712" s="11" t="str">
        <f t="shared" si="126"/>
        <v>http://www.em.gov.bc.ca/mining/geolsurv/terrain&amp;soils/frbcguid.htm</v>
      </c>
      <c r="W1712" t="s">
        <v>2489</v>
      </c>
      <c r="X1712" s="11" t="str">
        <f t="shared" si="127"/>
        <v>http://www.em.gov.bc.ca/mining/geolsurv/terrain&amp;soils/frbcguid.htm</v>
      </c>
      <c r="Y1712" t="s">
        <v>269</v>
      </c>
      <c r="Z1712" s="11" t="str">
        <f t="shared" si="128"/>
        <v>http://www.library.for.gov.bc.ca/#focus</v>
      </c>
      <c r="AA1712" t="s">
        <v>2500</v>
      </c>
      <c r="AB1712" s="11" t="str">
        <f t="shared" si="129"/>
        <v>http://www.crownpub.bc.ca/</v>
      </c>
      <c r="AC1712" t="s">
        <v>58</v>
      </c>
      <c r="AE1712" t="s">
        <v>58</v>
      </c>
      <c r="AG1712" t="s">
        <v>63</v>
      </c>
      <c r="AH1712" s="11" t="str">
        <f t="shared" si="114"/>
        <v>mailto: soilterrain@victoria1.gov.bc.ca</v>
      </c>
    </row>
    <row r="1713" spans="1:34">
      <c r="A1713" t="s">
        <v>3959</v>
      </c>
      <c r="B1713" t="s">
        <v>56</v>
      </c>
      <c r="C1713" s="10" t="s">
        <v>1655</v>
      </c>
      <c r="D1713" t="s">
        <v>58</v>
      </c>
      <c r="E1713" t="s">
        <v>2497</v>
      </c>
      <c r="F1713" t="s">
        <v>3960</v>
      </c>
      <c r="G1713">
        <v>50000</v>
      </c>
      <c r="H1713">
        <v>1988</v>
      </c>
      <c r="I1713" t="s">
        <v>2499</v>
      </c>
      <c r="J1713" t="s">
        <v>58</v>
      </c>
      <c r="K1713" t="s">
        <v>61</v>
      </c>
      <c r="L1713" t="s">
        <v>61</v>
      </c>
      <c r="M1713" t="s">
        <v>58</v>
      </c>
      <c r="Q1713" t="s">
        <v>58</v>
      </c>
      <c r="R1713" s="11" t="str">
        <f>HYPERLINK("\\imagefiles.bcgov\imagery\scanned_maps\moe_terrain_maps\Scanned_T_maps_all\K14\K14-2505","\\imagefiles.bcgov\imagery\scanned_maps\moe_terrain_maps\Scanned_T_maps_all\K14\K14-2505")</f>
        <v>\\imagefiles.bcgov\imagery\scanned_maps\moe_terrain_maps\Scanned_T_maps_all\K14\K14-2505</v>
      </c>
      <c r="S1713" t="s">
        <v>62</v>
      </c>
      <c r="T1713" s="11" t="str">
        <f>HYPERLINK("http://www.env.gov.bc.ca/esd/distdata/ecosystems/TEI_Scanned_Maps/K14/K14-2505","http://www.env.gov.bc.ca/esd/distdata/ecosystems/TEI_Scanned_Maps/K14/K14-2505")</f>
        <v>http://www.env.gov.bc.ca/esd/distdata/ecosystems/TEI_Scanned_Maps/K14/K14-2505</v>
      </c>
      <c r="U1713" t="s">
        <v>2495</v>
      </c>
      <c r="V1713" s="11" t="str">
        <f t="shared" si="126"/>
        <v>http://www.em.gov.bc.ca/mining/geolsurv/terrain&amp;soils/frbcguid.htm</v>
      </c>
      <c r="W1713" t="s">
        <v>2489</v>
      </c>
      <c r="X1713" s="11" t="str">
        <f t="shared" si="127"/>
        <v>http://www.em.gov.bc.ca/mining/geolsurv/terrain&amp;soils/frbcguid.htm</v>
      </c>
      <c r="Y1713" t="s">
        <v>269</v>
      </c>
      <c r="Z1713" s="11" t="str">
        <f t="shared" si="128"/>
        <v>http://www.library.for.gov.bc.ca/#focus</v>
      </c>
      <c r="AA1713" t="s">
        <v>2500</v>
      </c>
      <c r="AB1713" s="11" t="str">
        <f t="shared" si="129"/>
        <v>http://www.crownpub.bc.ca/</v>
      </c>
      <c r="AC1713" t="s">
        <v>58</v>
      </c>
      <c r="AE1713" t="s">
        <v>58</v>
      </c>
      <c r="AG1713" t="s">
        <v>63</v>
      </c>
      <c r="AH1713" s="11" t="str">
        <f t="shared" si="114"/>
        <v>mailto: soilterrain@victoria1.gov.bc.ca</v>
      </c>
    </row>
    <row r="1714" spans="1:34">
      <c r="A1714" t="s">
        <v>3961</v>
      </c>
      <c r="B1714" t="s">
        <v>56</v>
      </c>
      <c r="C1714" s="10" t="s">
        <v>1658</v>
      </c>
      <c r="D1714" t="s">
        <v>58</v>
      </c>
      <c r="E1714" t="s">
        <v>2497</v>
      </c>
      <c r="F1714" t="s">
        <v>3962</v>
      </c>
      <c r="G1714">
        <v>50000</v>
      </c>
      <c r="H1714">
        <v>1988</v>
      </c>
      <c r="I1714" t="s">
        <v>2499</v>
      </c>
      <c r="J1714" t="s">
        <v>58</v>
      </c>
      <c r="K1714" t="s">
        <v>61</v>
      </c>
      <c r="L1714" t="s">
        <v>61</v>
      </c>
      <c r="M1714" t="s">
        <v>58</v>
      </c>
      <c r="Q1714" t="s">
        <v>58</v>
      </c>
      <c r="R1714" s="11" t="str">
        <f>HYPERLINK("\\imagefiles.bcgov\imagery\scanned_maps\moe_terrain_maps\Scanned_T_maps_all\K14\K14-2507","\\imagefiles.bcgov\imagery\scanned_maps\moe_terrain_maps\Scanned_T_maps_all\K14\K14-2507")</f>
        <v>\\imagefiles.bcgov\imagery\scanned_maps\moe_terrain_maps\Scanned_T_maps_all\K14\K14-2507</v>
      </c>
      <c r="S1714" t="s">
        <v>62</v>
      </c>
      <c r="T1714" s="11" t="str">
        <f>HYPERLINK("http://www.env.gov.bc.ca/esd/distdata/ecosystems/TEI_Scanned_Maps/K14/K14-2507","http://www.env.gov.bc.ca/esd/distdata/ecosystems/TEI_Scanned_Maps/K14/K14-2507")</f>
        <v>http://www.env.gov.bc.ca/esd/distdata/ecosystems/TEI_Scanned_Maps/K14/K14-2507</v>
      </c>
      <c r="U1714" t="s">
        <v>2495</v>
      </c>
      <c r="V1714" s="11" t="str">
        <f t="shared" si="126"/>
        <v>http://www.em.gov.bc.ca/mining/geolsurv/terrain&amp;soils/frbcguid.htm</v>
      </c>
      <c r="W1714" t="s">
        <v>2489</v>
      </c>
      <c r="X1714" s="11" t="str">
        <f t="shared" si="127"/>
        <v>http://www.em.gov.bc.ca/mining/geolsurv/terrain&amp;soils/frbcguid.htm</v>
      </c>
      <c r="Y1714" t="s">
        <v>269</v>
      </c>
      <c r="Z1714" s="11" t="str">
        <f t="shared" si="128"/>
        <v>http://www.library.for.gov.bc.ca/#focus</v>
      </c>
      <c r="AA1714" t="s">
        <v>2500</v>
      </c>
      <c r="AB1714" s="11" t="str">
        <f t="shared" si="129"/>
        <v>http://www.crownpub.bc.ca/</v>
      </c>
      <c r="AC1714" t="s">
        <v>58</v>
      </c>
      <c r="AE1714" t="s">
        <v>58</v>
      </c>
      <c r="AG1714" t="s">
        <v>63</v>
      </c>
      <c r="AH1714" s="11" t="str">
        <f t="shared" si="114"/>
        <v>mailto: soilterrain@victoria1.gov.bc.ca</v>
      </c>
    </row>
    <row r="1715" spans="1:34">
      <c r="A1715" t="s">
        <v>3963</v>
      </c>
      <c r="B1715" t="s">
        <v>56</v>
      </c>
      <c r="C1715" s="10" t="s">
        <v>1661</v>
      </c>
      <c r="D1715" t="s">
        <v>58</v>
      </c>
      <c r="E1715" t="s">
        <v>2497</v>
      </c>
      <c r="F1715" t="s">
        <v>3964</v>
      </c>
      <c r="G1715">
        <v>50000</v>
      </c>
      <c r="H1715">
        <v>1988</v>
      </c>
      <c r="I1715" t="s">
        <v>2499</v>
      </c>
      <c r="J1715" t="s">
        <v>58</v>
      </c>
      <c r="K1715" t="s">
        <v>61</v>
      </c>
      <c r="L1715" t="s">
        <v>61</v>
      </c>
      <c r="M1715" t="s">
        <v>58</v>
      </c>
      <c r="Q1715" t="s">
        <v>58</v>
      </c>
      <c r="R1715" s="11" t="str">
        <f>HYPERLINK("\\imagefiles.bcgov\imagery\scanned_maps\moe_terrain_maps\Scanned_T_maps_all\K14\K14-2509","\\imagefiles.bcgov\imagery\scanned_maps\moe_terrain_maps\Scanned_T_maps_all\K14\K14-2509")</f>
        <v>\\imagefiles.bcgov\imagery\scanned_maps\moe_terrain_maps\Scanned_T_maps_all\K14\K14-2509</v>
      </c>
      <c r="S1715" t="s">
        <v>62</v>
      </c>
      <c r="T1715" s="11" t="str">
        <f>HYPERLINK("http://www.env.gov.bc.ca/esd/distdata/ecosystems/TEI_Scanned_Maps/K14/K14-2509","http://www.env.gov.bc.ca/esd/distdata/ecosystems/TEI_Scanned_Maps/K14/K14-2509")</f>
        <v>http://www.env.gov.bc.ca/esd/distdata/ecosystems/TEI_Scanned_Maps/K14/K14-2509</v>
      </c>
      <c r="U1715" t="s">
        <v>2495</v>
      </c>
      <c r="V1715" s="11" t="str">
        <f t="shared" si="126"/>
        <v>http://www.em.gov.bc.ca/mining/geolsurv/terrain&amp;soils/frbcguid.htm</v>
      </c>
      <c r="W1715" t="s">
        <v>2489</v>
      </c>
      <c r="X1715" s="11" t="str">
        <f t="shared" si="127"/>
        <v>http://www.em.gov.bc.ca/mining/geolsurv/terrain&amp;soils/frbcguid.htm</v>
      </c>
      <c r="Y1715" t="s">
        <v>269</v>
      </c>
      <c r="Z1715" s="11" t="str">
        <f t="shared" si="128"/>
        <v>http://www.library.for.gov.bc.ca/#focus</v>
      </c>
      <c r="AA1715" t="s">
        <v>2500</v>
      </c>
      <c r="AB1715" s="11" t="str">
        <f t="shared" si="129"/>
        <v>http://www.crownpub.bc.ca/</v>
      </c>
      <c r="AC1715" t="s">
        <v>58</v>
      </c>
      <c r="AE1715" t="s">
        <v>58</v>
      </c>
      <c r="AG1715" t="s">
        <v>63</v>
      </c>
      <c r="AH1715" s="11" t="str">
        <f t="shared" si="114"/>
        <v>mailto: soilterrain@victoria1.gov.bc.ca</v>
      </c>
    </row>
    <row r="1716" spans="1:34">
      <c r="A1716" t="s">
        <v>3965</v>
      </c>
      <c r="B1716" t="s">
        <v>56</v>
      </c>
      <c r="C1716" s="10" t="s">
        <v>3966</v>
      </c>
      <c r="D1716" t="s">
        <v>58</v>
      </c>
      <c r="E1716" t="s">
        <v>3182</v>
      </c>
      <c r="F1716" t="s">
        <v>3967</v>
      </c>
      <c r="G1716">
        <v>50000</v>
      </c>
      <c r="H1716">
        <v>1987</v>
      </c>
      <c r="I1716" t="s">
        <v>3184</v>
      </c>
      <c r="J1716" t="s">
        <v>58</v>
      </c>
      <c r="K1716" t="s">
        <v>58</v>
      </c>
      <c r="L1716" t="s">
        <v>61</v>
      </c>
      <c r="M1716" t="s">
        <v>58</v>
      </c>
      <c r="Q1716" t="s">
        <v>58</v>
      </c>
      <c r="R1716" s="11" t="str">
        <f>HYPERLINK("\\imagefiles.bcgov\imagery\scanned_maps\moe_terrain_maps\Scanned_T_maps_all\K14\K14-2546","\\imagefiles.bcgov\imagery\scanned_maps\moe_terrain_maps\Scanned_T_maps_all\K14\K14-2546")</f>
        <v>\\imagefiles.bcgov\imagery\scanned_maps\moe_terrain_maps\Scanned_T_maps_all\K14\K14-2546</v>
      </c>
      <c r="S1716" t="s">
        <v>62</v>
      </c>
      <c r="T1716" s="11" t="str">
        <f>HYPERLINK("http://www.env.gov.bc.ca/esd/distdata/ecosystems/TEI_Scanned_Maps/K14/K14-2546","http://www.env.gov.bc.ca/esd/distdata/ecosystems/TEI_Scanned_Maps/K14/K14-2546")</f>
        <v>http://www.env.gov.bc.ca/esd/distdata/ecosystems/TEI_Scanned_Maps/K14/K14-2546</v>
      </c>
      <c r="U1716" t="s">
        <v>2495</v>
      </c>
      <c r="V1716" s="11" t="str">
        <f t="shared" si="126"/>
        <v>http://www.em.gov.bc.ca/mining/geolsurv/terrain&amp;soils/frbcguid.htm</v>
      </c>
      <c r="W1716" t="s">
        <v>2489</v>
      </c>
      <c r="X1716" s="11" t="str">
        <f t="shared" si="127"/>
        <v>http://www.em.gov.bc.ca/mining/geolsurv/terrain&amp;soils/frbcguid.htm</v>
      </c>
      <c r="Y1716" t="s">
        <v>269</v>
      </c>
      <c r="Z1716" s="11" t="str">
        <f t="shared" si="128"/>
        <v>http://www.library.for.gov.bc.ca/#focus</v>
      </c>
      <c r="AA1716" t="s">
        <v>58</v>
      </c>
      <c r="AC1716" t="s">
        <v>58</v>
      </c>
      <c r="AE1716" t="s">
        <v>58</v>
      </c>
      <c r="AG1716" t="s">
        <v>63</v>
      </c>
      <c r="AH1716" s="11" t="str">
        <f t="shared" si="114"/>
        <v>mailto: soilterrain@victoria1.gov.bc.ca</v>
      </c>
    </row>
    <row r="1717" spans="1:34">
      <c r="A1717" t="s">
        <v>3968</v>
      </c>
      <c r="B1717" t="s">
        <v>56</v>
      </c>
      <c r="C1717" s="10" t="s">
        <v>3969</v>
      </c>
      <c r="D1717" t="s">
        <v>58</v>
      </c>
      <c r="E1717" t="s">
        <v>3182</v>
      </c>
      <c r="F1717" t="s">
        <v>3970</v>
      </c>
      <c r="G1717">
        <v>50000</v>
      </c>
      <c r="H1717">
        <v>1985</v>
      </c>
      <c r="I1717" t="s">
        <v>3184</v>
      </c>
      <c r="J1717" t="s">
        <v>58</v>
      </c>
      <c r="K1717" t="s">
        <v>58</v>
      </c>
      <c r="L1717" t="s">
        <v>61</v>
      </c>
      <c r="M1717" t="s">
        <v>58</v>
      </c>
      <c r="Q1717" t="s">
        <v>58</v>
      </c>
      <c r="R1717" s="11" t="str">
        <f>HYPERLINK("\\imagefiles.bcgov\imagery\scanned_maps\moe_terrain_maps\Scanned_T_maps_all\K14\K14-2547","\\imagefiles.bcgov\imagery\scanned_maps\moe_terrain_maps\Scanned_T_maps_all\K14\K14-2547")</f>
        <v>\\imagefiles.bcgov\imagery\scanned_maps\moe_terrain_maps\Scanned_T_maps_all\K14\K14-2547</v>
      </c>
      <c r="S1717" t="s">
        <v>62</v>
      </c>
      <c r="T1717" s="11" t="str">
        <f>HYPERLINK("http://www.env.gov.bc.ca/esd/distdata/ecosystems/TEI_Scanned_Maps/K14/K14-2547","http://www.env.gov.bc.ca/esd/distdata/ecosystems/TEI_Scanned_Maps/K14/K14-2547")</f>
        <v>http://www.env.gov.bc.ca/esd/distdata/ecosystems/TEI_Scanned_Maps/K14/K14-2547</v>
      </c>
      <c r="U1717" t="s">
        <v>2495</v>
      </c>
      <c r="V1717" s="11" t="str">
        <f t="shared" si="126"/>
        <v>http://www.em.gov.bc.ca/mining/geolsurv/terrain&amp;soils/frbcguid.htm</v>
      </c>
      <c r="W1717" t="s">
        <v>2489</v>
      </c>
      <c r="X1717" s="11" t="str">
        <f t="shared" si="127"/>
        <v>http://www.em.gov.bc.ca/mining/geolsurv/terrain&amp;soils/frbcguid.htm</v>
      </c>
      <c r="Y1717" t="s">
        <v>269</v>
      </c>
      <c r="Z1717" s="11" t="str">
        <f t="shared" si="128"/>
        <v>http://www.library.for.gov.bc.ca/#focus</v>
      </c>
      <c r="AA1717" t="s">
        <v>58</v>
      </c>
      <c r="AC1717" t="s">
        <v>58</v>
      </c>
      <c r="AE1717" t="s">
        <v>58</v>
      </c>
      <c r="AG1717" t="s">
        <v>63</v>
      </c>
      <c r="AH1717" s="11" t="str">
        <f t="shared" si="114"/>
        <v>mailto: soilterrain@victoria1.gov.bc.ca</v>
      </c>
    </row>
    <row r="1718" spans="1:34">
      <c r="A1718" t="s">
        <v>3971</v>
      </c>
      <c r="B1718" t="s">
        <v>56</v>
      </c>
      <c r="C1718" s="10" t="s">
        <v>1664</v>
      </c>
      <c r="D1718" t="s">
        <v>58</v>
      </c>
      <c r="E1718" t="s">
        <v>2497</v>
      </c>
      <c r="F1718" t="s">
        <v>3972</v>
      </c>
      <c r="G1718">
        <v>50000</v>
      </c>
      <c r="H1718">
        <v>1987</v>
      </c>
      <c r="I1718" t="s">
        <v>2499</v>
      </c>
      <c r="J1718" t="s">
        <v>58</v>
      </c>
      <c r="K1718" t="s">
        <v>61</v>
      </c>
      <c r="L1718" t="s">
        <v>61</v>
      </c>
      <c r="M1718" t="s">
        <v>58</v>
      </c>
      <c r="Q1718" t="s">
        <v>58</v>
      </c>
      <c r="R1718" s="11" t="str">
        <f>HYPERLINK("\\imagefiles.bcgov\imagery\scanned_maps\moe_terrain_maps\Scanned_T_maps_all\K14\K14-2549","\\imagefiles.bcgov\imagery\scanned_maps\moe_terrain_maps\Scanned_T_maps_all\K14\K14-2549")</f>
        <v>\\imagefiles.bcgov\imagery\scanned_maps\moe_terrain_maps\Scanned_T_maps_all\K14\K14-2549</v>
      </c>
      <c r="S1718" t="s">
        <v>62</v>
      </c>
      <c r="T1718" s="11" t="str">
        <f>HYPERLINK("http://www.env.gov.bc.ca/esd/distdata/ecosystems/TEI_Scanned_Maps/K14/K14-2549","http://www.env.gov.bc.ca/esd/distdata/ecosystems/TEI_Scanned_Maps/K14/K14-2549")</f>
        <v>http://www.env.gov.bc.ca/esd/distdata/ecosystems/TEI_Scanned_Maps/K14/K14-2549</v>
      </c>
      <c r="U1718" t="s">
        <v>2495</v>
      </c>
      <c r="V1718" s="11" t="str">
        <f t="shared" si="126"/>
        <v>http://www.em.gov.bc.ca/mining/geolsurv/terrain&amp;soils/frbcguid.htm</v>
      </c>
      <c r="W1718" t="s">
        <v>2489</v>
      </c>
      <c r="X1718" s="11" t="str">
        <f t="shared" si="127"/>
        <v>http://www.em.gov.bc.ca/mining/geolsurv/terrain&amp;soils/frbcguid.htm</v>
      </c>
      <c r="Y1718" t="s">
        <v>269</v>
      </c>
      <c r="Z1718" s="11" t="str">
        <f t="shared" si="128"/>
        <v>http://www.library.for.gov.bc.ca/#focus</v>
      </c>
      <c r="AA1718" t="s">
        <v>2500</v>
      </c>
      <c r="AB1718" s="11" t="str">
        <f>HYPERLINK("http://www.crownpub.bc.ca/","http://www.crownpub.bc.ca/")</f>
        <v>http://www.crownpub.bc.ca/</v>
      </c>
      <c r="AC1718" t="s">
        <v>58</v>
      </c>
      <c r="AE1718" t="s">
        <v>58</v>
      </c>
      <c r="AG1718" t="s">
        <v>63</v>
      </c>
      <c r="AH1718" s="11" t="str">
        <f t="shared" si="114"/>
        <v>mailto: soilterrain@victoria1.gov.bc.ca</v>
      </c>
    </row>
    <row r="1719" spans="1:34">
      <c r="A1719" t="s">
        <v>3973</v>
      </c>
      <c r="B1719" t="s">
        <v>56</v>
      </c>
      <c r="C1719" s="10" t="s">
        <v>1667</v>
      </c>
      <c r="D1719" t="s">
        <v>58</v>
      </c>
      <c r="E1719" t="s">
        <v>2497</v>
      </c>
      <c r="F1719" t="s">
        <v>3974</v>
      </c>
      <c r="G1719">
        <v>50000</v>
      </c>
      <c r="H1719">
        <v>1987</v>
      </c>
      <c r="I1719" t="s">
        <v>2499</v>
      </c>
      <c r="J1719" t="s">
        <v>58</v>
      </c>
      <c r="K1719" t="s">
        <v>61</v>
      </c>
      <c r="L1719" t="s">
        <v>61</v>
      </c>
      <c r="M1719" t="s">
        <v>58</v>
      </c>
      <c r="Q1719" t="s">
        <v>58</v>
      </c>
      <c r="R1719" s="11" t="str">
        <f>HYPERLINK("\\imagefiles.bcgov\imagery\scanned_maps\moe_terrain_maps\Scanned_T_maps_all\K14\K14-2551","\\imagefiles.bcgov\imagery\scanned_maps\moe_terrain_maps\Scanned_T_maps_all\K14\K14-2551")</f>
        <v>\\imagefiles.bcgov\imagery\scanned_maps\moe_terrain_maps\Scanned_T_maps_all\K14\K14-2551</v>
      </c>
      <c r="S1719" t="s">
        <v>62</v>
      </c>
      <c r="T1719" s="11" t="str">
        <f>HYPERLINK("http://www.env.gov.bc.ca/esd/distdata/ecosystems/TEI_Scanned_Maps/K14/K14-2551","http://www.env.gov.bc.ca/esd/distdata/ecosystems/TEI_Scanned_Maps/K14/K14-2551")</f>
        <v>http://www.env.gov.bc.ca/esd/distdata/ecosystems/TEI_Scanned_Maps/K14/K14-2551</v>
      </c>
      <c r="U1719" t="s">
        <v>2495</v>
      </c>
      <c r="V1719" s="11" t="str">
        <f t="shared" si="126"/>
        <v>http://www.em.gov.bc.ca/mining/geolsurv/terrain&amp;soils/frbcguid.htm</v>
      </c>
      <c r="W1719" t="s">
        <v>2489</v>
      </c>
      <c r="X1719" s="11" t="str">
        <f t="shared" si="127"/>
        <v>http://www.em.gov.bc.ca/mining/geolsurv/terrain&amp;soils/frbcguid.htm</v>
      </c>
      <c r="Y1719" t="s">
        <v>269</v>
      </c>
      <c r="Z1719" s="11" t="str">
        <f t="shared" si="128"/>
        <v>http://www.library.for.gov.bc.ca/#focus</v>
      </c>
      <c r="AA1719" t="s">
        <v>2500</v>
      </c>
      <c r="AB1719" s="11" t="str">
        <f>HYPERLINK("http://www.crownpub.bc.ca/","http://www.crownpub.bc.ca/")</f>
        <v>http://www.crownpub.bc.ca/</v>
      </c>
      <c r="AC1719" t="s">
        <v>58</v>
      </c>
      <c r="AE1719" t="s">
        <v>58</v>
      </c>
      <c r="AG1719" t="s">
        <v>63</v>
      </c>
      <c r="AH1719" s="11" t="str">
        <f t="shared" si="114"/>
        <v>mailto: soilterrain@victoria1.gov.bc.ca</v>
      </c>
    </row>
    <row r="1720" spans="1:34">
      <c r="A1720" t="s">
        <v>3975</v>
      </c>
      <c r="B1720" t="s">
        <v>56</v>
      </c>
      <c r="C1720" s="10" t="s">
        <v>1670</v>
      </c>
      <c r="D1720" t="s">
        <v>58</v>
      </c>
      <c r="E1720" t="s">
        <v>2497</v>
      </c>
      <c r="F1720" t="s">
        <v>3976</v>
      </c>
      <c r="G1720">
        <v>50000</v>
      </c>
      <c r="H1720">
        <v>1987</v>
      </c>
      <c r="I1720" t="s">
        <v>2499</v>
      </c>
      <c r="J1720" t="s">
        <v>58</v>
      </c>
      <c r="K1720" t="s">
        <v>61</v>
      </c>
      <c r="L1720" t="s">
        <v>61</v>
      </c>
      <c r="M1720" t="s">
        <v>58</v>
      </c>
      <c r="Q1720" t="s">
        <v>58</v>
      </c>
      <c r="R1720" s="11" t="str">
        <f>HYPERLINK("\\imagefiles.bcgov\imagery\scanned_maps\moe_terrain_maps\Scanned_T_maps_all\K14\K14-2553","\\imagefiles.bcgov\imagery\scanned_maps\moe_terrain_maps\Scanned_T_maps_all\K14\K14-2553")</f>
        <v>\\imagefiles.bcgov\imagery\scanned_maps\moe_terrain_maps\Scanned_T_maps_all\K14\K14-2553</v>
      </c>
      <c r="S1720" t="s">
        <v>62</v>
      </c>
      <c r="T1720" s="11" t="str">
        <f>HYPERLINK("http://www.env.gov.bc.ca/esd/distdata/ecosystems/TEI_Scanned_Maps/K14/K14-2553","http://www.env.gov.bc.ca/esd/distdata/ecosystems/TEI_Scanned_Maps/K14/K14-2553")</f>
        <v>http://www.env.gov.bc.ca/esd/distdata/ecosystems/TEI_Scanned_Maps/K14/K14-2553</v>
      </c>
      <c r="U1720" t="s">
        <v>2495</v>
      </c>
      <c r="V1720" s="11" t="str">
        <f t="shared" si="126"/>
        <v>http://www.em.gov.bc.ca/mining/geolsurv/terrain&amp;soils/frbcguid.htm</v>
      </c>
      <c r="W1720" t="s">
        <v>2489</v>
      </c>
      <c r="X1720" s="11" t="str">
        <f t="shared" si="127"/>
        <v>http://www.em.gov.bc.ca/mining/geolsurv/terrain&amp;soils/frbcguid.htm</v>
      </c>
      <c r="Y1720" t="s">
        <v>269</v>
      </c>
      <c r="Z1720" s="11" t="str">
        <f t="shared" si="128"/>
        <v>http://www.library.for.gov.bc.ca/#focus</v>
      </c>
      <c r="AA1720" t="s">
        <v>2500</v>
      </c>
      <c r="AB1720" s="11" t="str">
        <f>HYPERLINK("http://www.crownpub.bc.ca/","http://www.crownpub.bc.ca/")</f>
        <v>http://www.crownpub.bc.ca/</v>
      </c>
      <c r="AC1720" t="s">
        <v>58</v>
      </c>
      <c r="AE1720" t="s">
        <v>58</v>
      </c>
      <c r="AG1720" t="s">
        <v>63</v>
      </c>
      <c r="AH1720" s="11" t="str">
        <f t="shared" si="114"/>
        <v>mailto: soilterrain@victoria1.gov.bc.ca</v>
      </c>
    </row>
    <row r="1721" spans="1:34">
      <c r="A1721" t="s">
        <v>3977</v>
      </c>
      <c r="B1721" t="s">
        <v>56</v>
      </c>
      <c r="C1721" s="10" t="s">
        <v>1673</v>
      </c>
      <c r="D1721" t="s">
        <v>58</v>
      </c>
      <c r="E1721" t="s">
        <v>2497</v>
      </c>
      <c r="F1721" t="s">
        <v>3978</v>
      </c>
      <c r="G1721">
        <v>50000</v>
      </c>
      <c r="H1721">
        <v>1987</v>
      </c>
      <c r="I1721" t="s">
        <v>2499</v>
      </c>
      <c r="J1721" t="s">
        <v>58</v>
      </c>
      <c r="K1721" t="s">
        <v>61</v>
      </c>
      <c r="L1721" t="s">
        <v>61</v>
      </c>
      <c r="M1721" t="s">
        <v>58</v>
      </c>
      <c r="Q1721" t="s">
        <v>58</v>
      </c>
      <c r="R1721" s="11" t="str">
        <f>HYPERLINK("\\imagefiles.bcgov\imagery\scanned_maps\moe_terrain_maps\Scanned_T_maps_all\K14\K14-2555","\\imagefiles.bcgov\imagery\scanned_maps\moe_terrain_maps\Scanned_T_maps_all\K14\K14-2555")</f>
        <v>\\imagefiles.bcgov\imagery\scanned_maps\moe_terrain_maps\Scanned_T_maps_all\K14\K14-2555</v>
      </c>
      <c r="S1721" t="s">
        <v>62</v>
      </c>
      <c r="T1721" s="11" t="str">
        <f>HYPERLINK("http://www.env.gov.bc.ca/esd/distdata/ecosystems/TEI_Scanned_Maps/K14/K14-2555","http://www.env.gov.bc.ca/esd/distdata/ecosystems/TEI_Scanned_Maps/K14/K14-2555")</f>
        <v>http://www.env.gov.bc.ca/esd/distdata/ecosystems/TEI_Scanned_Maps/K14/K14-2555</v>
      </c>
      <c r="U1721" t="s">
        <v>2495</v>
      </c>
      <c r="V1721" s="11" t="str">
        <f t="shared" si="126"/>
        <v>http://www.em.gov.bc.ca/mining/geolsurv/terrain&amp;soils/frbcguid.htm</v>
      </c>
      <c r="W1721" t="s">
        <v>2489</v>
      </c>
      <c r="X1721" s="11" t="str">
        <f t="shared" si="127"/>
        <v>http://www.em.gov.bc.ca/mining/geolsurv/terrain&amp;soils/frbcguid.htm</v>
      </c>
      <c r="Y1721" t="s">
        <v>269</v>
      </c>
      <c r="Z1721" s="11" t="str">
        <f t="shared" si="128"/>
        <v>http://www.library.for.gov.bc.ca/#focus</v>
      </c>
      <c r="AA1721" t="s">
        <v>2500</v>
      </c>
      <c r="AB1721" s="11" t="str">
        <f>HYPERLINK("http://www.crownpub.bc.ca/","http://www.crownpub.bc.ca/")</f>
        <v>http://www.crownpub.bc.ca/</v>
      </c>
      <c r="AC1721" t="s">
        <v>58</v>
      </c>
      <c r="AE1721" t="s">
        <v>58</v>
      </c>
      <c r="AG1721" t="s">
        <v>63</v>
      </c>
      <c r="AH1721" s="11" t="str">
        <f t="shared" si="114"/>
        <v>mailto: soilterrain@victoria1.gov.bc.ca</v>
      </c>
    </row>
    <row r="1722" spans="1:34">
      <c r="A1722" t="s">
        <v>3979</v>
      </c>
      <c r="B1722" t="s">
        <v>56</v>
      </c>
      <c r="C1722" s="10" t="s">
        <v>3980</v>
      </c>
      <c r="D1722" t="s">
        <v>58</v>
      </c>
      <c r="E1722" t="s">
        <v>2497</v>
      </c>
      <c r="F1722" t="s">
        <v>3981</v>
      </c>
      <c r="G1722">
        <v>50000</v>
      </c>
      <c r="H1722">
        <v>1987</v>
      </c>
      <c r="I1722" t="s">
        <v>3184</v>
      </c>
      <c r="J1722" t="s">
        <v>58</v>
      </c>
      <c r="K1722" t="s">
        <v>61</v>
      </c>
      <c r="L1722" t="s">
        <v>61</v>
      </c>
      <c r="M1722" t="s">
        <v>58</v>
      </c>
      <c r="Q1722" t="s">
        <v>58</v>
      </c>
      <c r="R1722" s="11" t="str">
        <f>HYPERLINK("\\imagefiles.bcgov\imagery\scanned_maps\moe_terrain_maps\Scanned_T_maps_all\K14\K14-2556","\\imagefiles.bcgov\imagery\scanned_maps\moe_terrain_maps\Scanned_T_maps_all\K14\K14-2556")</f>
        <v>\\imagefiles.bcgov\imagery\scanned_maps\moe_terrain_maps\Scanned_T_maps_all\K14\K14-2556</v>
      </c>
      <c r="S1722" t="s">
        <v>62</v>
      </c>
      <c r="T1722" s="11" t="str">
        <f>HYPERLINK("http://www.env.gov.bc.ca/esd/distdata/ecosystems/TEI_Scanned_Maps/K14/K14-2556","http://www.env.gov.bc.ca/esd/distdata/ecosystems/TEI_Scanned_Maps/K14/K14-2556")</f>
        <v>http://www.env.gov.bc.ca/esd/distdata/ecosystems/TEI_Scanned_Maps/K14/K14-2556</v>
      </c>
      <c r="U1722" t="s">
        <v>2495</v>
      </c>
      <c r="V1722" s="11" t="str">
        <f t="shared" si="126"/>
        <v>http://www.em.gov.bc.ca/mining/geolsurv/terrain&amp;soils/frbcguid.htm</v>
      </c>
      <c r="W1722" t="s">
        <v>2489</v>
      </c>
      <c r="X1722" s="11" t="str">
        <f t="shared" si="127"/>
        <v>http://www.em.gov.bc.ca/mining/geolsurv/terrain&amp;soils/frbcguid.htm</v>
      </c>
      <c r="Y1722" t="s">
        <v>269</v>
      </c>
      <c r="Z1722" s="11" t="str">
        <f t="shared" si="128"/>
        <v>http://www.library.for.gov.bc.ca/#focus</v>
      </c>
      <c r="AA1722" t="s">
        <v>58</v>
      </c>
      <c r="AC1722" t="s">
        <v>58</v>
      </c>
      <c r="AE1722" t="s">
        <v>58</v>
      </c>
      <c r="AG1722" t="s">
        <v>63</v>
      </c>
      <c r="AH1722" s="11" t="str">
        <f t="shared" si="114"/>
        <v>mailto: soilterrain@victoria1.gov.bc.ca</v>
      </c>
    </row>
    <row r="1723" spans="1:34">
      <c r="A1723" t="s">
        <v>3982</v>
      </c>
      <c r="B1723" t="s">
        <v>56</v>
      </c>
      <c r="C1723" s="10" t="s">
        <v>3983</v>
      </c>
      <c r="D1723" t="s">
        <v>58</v>
      </c>
      <c r="E1723" t="s">
        <v>3182</v>
      </c>
      <c r="F1723" t="s">
        <v>3984</v>
      </c>
      <c r="G1723">
        <v>50000</v>
      </c>
      <c r="H1723">
        <v>1987</v>
      </c>
      <c r="I1723" t="s">
        <v>3184</v>
      </c>
      <c r="J1723" t="s">
        <v>58</v>
      </c>
      <c r="K1723" t="s">
        <v>58</v>
      </c>
      <c r="L1723" t="s">
        <v>61</v>
      </c>
      <c r="M1723" t="s">
        <v>58</v>
      </c>
      <c r="Q1723" t="s">
        <v>58</v>
      </c>
      <c r="R1723" s="11" t="str">
        <f>HYPERLINK("\\imagefiles.bcgov\imagery\scanned_maps\moe_terrain_maps\Scanned_T_maps_all\K14\K14-2557","\\imagefiles.bcgov\imagery\scanned_maps\moe_terrain_maps\Scanned_T_maps_all\K14\K14-2557")</f>
        <v>\\imagefiles.bcgov\imagery\scanned_maps\moe_terrain_maps\Scanned_T_maps_all\K14\K14-2557</v>
      </c>
      <c r="S1723" t="s">
        <v>62</v>
      </c>
      <c r="T1723" s="11" t="str">
        <f>HYPERLINK("http://www.env.gov.bc.ca/esd/distdata/ecosystems/TEI_Scanned_Maps/K14/K14-2557","http://www.env.gov.bc.ca/esd/distdata/ecosystems/TEI_Scanned_Maps/K14/K14-2557")</f>
        <v>http://www.env.gov.bc.ca/esd/distdata/ecosystems/TEI_Scanned_Maps/K14/K14-2557</v>
      </c>
      <c r="U1723" t="s">
        <v>2495</v>
      </c>
      <c r="V1723" s="11" t="str">
        <f t="shared" si="126"/>
        <v>http://www.em.gov.bc.ca/mining/geolsurv/terrain&amp;soils/frbcguid.htm</v>
      </c>
      <c r="W1723" t="s">
        <v>2489</v>
      </c>
      <c r="X1723" s="11" t="str">
        <f t="shared" si="127"/>
        <v>http://www.em.gov.bc.ca/mining/geolsurv/terrain&amp;soils/frbcguid.htm</v>
      </c>
      <c r="Y1723" t="s">
        <v>269</v>
      </c>
      <c r="Z1723" s="11" t="str">
        <f t="shared" si="128"/>
        <v>http://www.library.for.gov.bc.ca/#focus</v>
      </c>
      <c r="AA1723" t="s">
        <v>58</v>
      </c>
      <c r="AC1723" t="s">
        <v>58</v>
      </c>
      <c r="AE1723" t="s">
        <v>58</v>
      </c>
      <c r="AG1723" t="s">
        <v>63</v>
      </c>
      <c r="AH1723" s="11" t="str">
        <f t="shared" si="114"/>
        <v>mailto: soilterrain@victoria1.gov.bc.ca</v>
      </c>
    </row>
    <row r="1724" spans="1:34">
      <c r="A1724" t="s">
        <v>3985</v>
      </c>
      <c r="B1724" t="s">
        <v>56</v>
      </c>
      <c r="C1724" s="10" t="s">
        <v>3986</v>
      </c>
      <c r="D1724" t="s">
        <v>58</v>
      </c>
      <c r="E1724" t="s">
        <v>3182</v>
      </c>
      <c r="F1724" t="s">
        <v>3987</v>
      </c>
      <c r="G1724">
        <v>50000</v>
      </c>
      <c r="H1724">
        <v>1987</v>
      </c>
      <c r="I1724" t="s">
        <v>3184</v>
      </c>
      <c r="J1724" t="s">
        <v>58</v>
      </c>
      <c r="K1724" t="s">
        <v>58</v>
      </c>
      <c r="L1724" t="s">
        <v>61</v>
      </c>
      <c r="M1724" t="s">
        <v>58</v>
      </c>
      <c r="Q1724" t="s">
        <v>58</v>
      </c>
      <c r="R1724" s="11" t="str">
        <f>HYPERLINK("\\imagefiles.bcgov\imagery\scanned_maps\moe_terrain_maps\Scanned_T_maps_all\K14\K14-2558","\\imagefiles.bcgov\imagery\scanned_maps\moe_terrain_maps\Scanned_T_maps_all\K14\K14-2558")</f>
        <v>\\imagefiles.bcgov\imagery\scanned_maps\moe_terrain_maps\Scanned_T_maps_all\K14\K14-2558</v>
      </c>
      <c r="S1724" t="s">
        <v>62</v>
      </c>
      <c r="T1724" s="11" t="str">
        <f>HYPERLINK("http://www.env.gov.bc.ca/esd/distdata/ecosystems/TEI_Scanned_Maps/K14/K14-2558","http://www.env.gov.bc.ca/esd/distdata/ecosystems/TEI_Scanned_Maps/K14/K14-2558")</f>
        <v>http://www.env.gov.bc.ca/esd/distdata/ecosystems/TEI_Scanned_Maps/K14/K14-2558</v>
      </c>
      <c r="U1724" t="s">
        <v>2495</v>
      </c>
      <c r="V1724" s="11" t="str">
        <f t="shared" si="126"/>
        <v>http://www.em.gov.bc.ca/mining/geolsurv/terrain&amp;soils/frbcguid.htm</v>
      </c>
      <c r="W1724" t="s">
        <v>2489</v>
      </c>
      <c r="X1724" s="11" t="str">
        <f t="shared" si="127"/>
        <v>http://www.em.gov.bc.ca/mining/geolsurv/terrain&amp;soils/frbcguid.htm</v>
      </c>
      <c r="Y1724" t="s">
        <v>269</v>
      </c>
      <c r="Z1724" s="11" t="str">
        <f t="shared" si="128"/>
        <v>http://www.library.for.gov.bc.ca/#focus</v>
      </c>
      <c r="AA1724" t="s">
        <v>58</v>
      </c>
      <c r="AC1724" t="s">
        <v>58</v>
      </c>
      <c r="AE1724" t="s">
        <v>58</v>
      </c>
      <c r="AG1724" t="s">
        <v>63</v>
      </c>
      <c r="AH1724" s="11" t="str">
        <f t="shared" si="114"/>
        <v>mailto: soilterrain@victoria1.gov.bc.ca</v>
      </c>
    </row>
    <row r="1725" spans="1:34">
      <c r="A1725" t="s">
        <v>3988</v>
      </c>
      <c r="B1725" t="s">
        <v>56</v>
      </c>
      <c r="C1725" s="10" t="s">
        <v>3989</v>
      </c>
      <c r="D1725" t="s">
        <v>58</v>
      </c>
      <c r="E1725" t="s">
        <v>3182</v>
      </c>
      <c r="F1725" t="s">
        <v>3990</v>
      </c>
      <c r="G1725">
        <v>50000</v>
      </c>
      <c r="H1725">
        <v>1988</v>
      </c>
      <c r="I1725" t="s">
        <v>3184</v>
      </c>
      <c r="J1725" t="s">
        <v>58</v>
      </c>
      <c r="K1725" t="s">
        <v>58</v>
      </c>
      <c r="L1725" t="s">
        <v>61</v>
      </c>
      <c r="M1725" t="s">
        <v>58</v>
      </c>
      <c r="Q1725" t="s">
        <v>58</v>
      </c>
      <c r="R1725" s="11" t="str">
        <f>HYPERLINK("\\imagefiles.bcgov\imagery\scanned_maps\moe_terrain_maps\Scanned_T_maps_all\K14\K14-2559","\\imagefiles.bcgov\imagery\scanned_maps\moe_terrain_maps\Scanned_T_maps_all\K14\K14-2559")</f>
        <v>\\imagefiles.bcgov\imagery\scanned_maps\moe_terrain_maps\Scanned_T_maps_all\K14\K14-2559</v>
      </c>
      <c r="S1725" t="s">
        <v>62</v>
      </c>
      <c r="T1725" s="11" t="str">
        <f>HYPERLINK("http://www.env.gov.bc.ca/esd/distdata/ecosystems/TEI_Scanned_Maps/K14/K14-2559","http://www.env.gov.bc.ca/esd/distdata/ecosystems/TEI_Scanned_Maps/K14/K14-2559")</f>
        <v>http://www.env.gov.bc.ca/esd/distdata/ecosystems/TEI_Scanned_Maps/K14/K14-2559</v>
      </c>
      <c r="U1725" t="s">
        <v>2495</v>
      </c>
      <c r="V1725" s="11" t="str">
        <f t="shared" si="126"/>
        <v>http://www.em.gov.bc.ca/mining/geolsurv/terrain&amp;soils/frbcguid.htm</v>
      </c>
      <c r="W1725" t="s">
        <v>2489</v>
      </c>
      <c r="X1725" s="11" t="str">
        <f t="shared" si="127"/>
        <v>http://www.em.gov.bc.ca/mining/geolsurv/terrain&amp;soils/frbcguid.htm</v>
      </c>
      <c r="Y1725" t="s">
        <v>269</v>
      </c>
      <c r="Z1725" s="11" t="str">
        <f t="shared" si="128"/>
        <v>http://www.library.for.gov.bc.ca/#focus</v>
      </c>
      <c r="AA1725" t="s">
        <v>58</v>
      </c>
      <c r="AC1725" t="s">
        <v>58</v>
      </c>
      <c r="AE1725" t="s">
        <v>58</v>
      </c>
      <c r="AG1725" t="s">
        <v>63</v>
      </c>
      <c r="AH1725" s="11" t="str">
        <f t="shared" si="114"/>
        <v>mailto: soilterrain@victoria1.gov.bc.ca</v>
      </c>
    </row>
    <row r="1726" spans="1:34">
      <c r="A1726" t="s">
        <v>3991</v>
      </c>
      <c r="B1726" t="s">
        <v>56</v>
      </c>
      <c r="C1726" s="10" t="s">
        <v>3992</v>
      </c>
      <c r="D1726" t="s">
        <v>58</v>
      </c>
      <c r="E1726" t="s">
        <v>3182</v>
      </c>
      <c r="F1726" t="s">
        <v>3993</v>
      </c>
      <c r="G1726">
        <v>50000</v>
      </c>
      <c r="H1726">
        <v>1987</v>
      </c>
      <c r="I1726" t="s">
        <v>3184</v>
      </c>
      <c r="J1726" t="s">
        <v>58</v>
      </c>
      <c r="K1726" t="s">
        <v>58</v>
      </c>
      <c r="L1726" t="s">
        <v>61</v>
      </c>
      <c r="M1726" t="s">
        <v>58</v>
      </c>
      <c r="Q1726" t="s">
        <v>58</v>
      </c>
      <c r="R1726" s="11" t="str">
        <f>HYPERLINK("\\imagefiles.bcgov\imagery\scanned_maps\moe_terrain_maps\Scanned_T_maps_all\K14\K14-2560","\\imagefiles.bcgov\imagery\scanned_maps\moe_terrain_maps\Scanned_T_maps_all\K14\K14-2560")</f>
        <v>\\imagefiles.bcgov\imagery\scanned_maps\moe_terrain_maps\Scanned_T_maps_all\K14\K14-2560</v>
      </c>
      <c r="S1726" t="s">
        <v>62</v>
      </c>
      <c r="T1726" s="11" t="str">
        <f>HYPERLINK("http://www.env.gov.bc.ca/esd/distdata/ecosystems/TEI_Scanned_Maps/K14/K14-2560","http://www.env.gov.bc.ca/esd/distdata/ecosystems/TEI_Scanned_Maps/K14/K14-2560")</f>
        <v>http://www.env.gov.bc.ca/esd/distdata/ecosystems/TEI_Scanned_Maps/K14/K14-2560</v>
      </c>
      <c r="U1726" t="s">
        <v>2495</v>
      </c>
      <c r="V1726" s="11" t="str">
        <f t="shared" si="126"/>
        <v>http://www.em.gov.bc.ca/mining/geolsurv/terrain&amp;soils/frbcguid.htm</v>
      </c>
      <c r="W1726" t="s">
        <v>2489</v>
      </c>
      <c r="X1726" s="11" t="str">
        <f t="shared" si="127"/>
        <v>http://www.em.gov.bc.ca/mining/geolsurv/terrain&amp;soils/frbcguid.htm</v>
      </c>
      <c r="Y1726" t="s">
        <v>269</v>
      </c>
      <c r="Z1726" s="11" t="str">
        <f t="shared" si="128"/>
        <v>http://www.library.for.gov.bc.ca/#focus</v>
      </c>
      <c r="AA1726" t="s">
        <v>58</v>
      </c>
      <c r="AC1726" t="s">
        <v>58</v>
      </c>
      <c r="AE1726" t="s">
        <v>58</v>
      </c>
      <c r="AG1726" t="s">
        <v>63</v>
      </c>
      <c r="AH1726" s="11" t="str">
        <f t="shared" si="114"/>
        <v>mailto: soilterrain@victoria1.gov.bc.ca</v>
      </c>
    </row>
    <row r="1727" spans="1:34">
      <c r="A1727" t="s">
        <v>3994</v>
      </c>
      <c r="B1727" t="s">
        <v>56</v>
      </c>
      <c r="C1727" s="10" t="s">
        <v>3995</v>
      </c>
      <c r="D1727" t="s">
        <v>58</v>
      </c>
      <c r="E1727" t="s">
        <v>3182</v>
      </c>
      <c r="F1727" t="s">
        <v>3996</v>
      </c>
      <c r="G1727">
        <v>50000</v>
      </c>
      <c r="H1727">
        <v>1987</v>
      </c>
      <c r="I1727" t="s">
        <v>3184</v>
      </c>
      <c r="J1727" t="s">
        <v>58</v>
      </c>
      <c r="K1727" t="s">
        <v>58</v>
      </c>
      <c r="L1727" t="s">
        <v>61</v>
      </c>
      <c r="M1727" t="s">
        <v>58</v>
      </c>
      <c r="Q1727" t="s">
        <v>58</v>
      </c>
      <c r="R1727" s="11" t="str">
        <f>HYPERLINK("\\imagefiles.bcgov\imagery\scanned_maps\moe_terrain_maps\Scanned_T_maps_all\K14\K14-2561","\\imagefiles.bcgov\imagery\scanned_maps\moe_terrain_maps\Scanned_T_maps_all\K14\K14-2561")</f>
        <v>\\imagefiles.bcgov\imagery\scanned_maps\moe_terrain_maps\Scanned_T_maps_all\K14\K14-2561</v>
      </c>
      <c r="S1727" t="s">
        <v>62</v>
      </c>
      <c r="T1727" s="11" t="str">
        <f>HYPERLINK("http://www.env.gov.bc.ca/esd/distdata/ecosystems/TEI_Scanned_Maps/K14/K14-2561","http://www.env.gov.bc.ca/esd/distdata/ecosystems/TEI_Scanned_Maps/K14/K14-2561")</f>
        <v>http://www.env.gov.bc.ca/esd/distdata/ecosystems/TEI_Scanned_Maps/K14/K14-2561</v>
      </c>
      <c r="U1727" t="s">
        <v>2495</v>
      </c>
      <c r="V1727" s="11" t="str">
        <f t="shared" si="126"/>
        <v>http://www.em.gov.bc.ca/mining/geolsurv/terrain&amp;soils/frbcguid.htm</v>
      </c>
      <c r="W1727" t="s">
        <v>2489</v>
      </c>
      <c r="X1727" s="11" t="str">
        <f t="shared" si="127"/>
        <v>http://www.em.gov.bc.ca/mining/geolsurv/terrain&amp;soils/frbcguid.htm</v>
      </c>
      <c r="Y1727" t="s">
        <v>269</v>
      </c>
      <c r="Z1727" s="11" t="str">
        <f t="shared" si="128"/>
        <v>http://www.library.for.gov.bc.ca/#focus</v>
      </c>
      <c r="AA1727" t="s">
        <v>58</v>
      </c>
      <c r="AC1727" t="s">
        <v>58</v>
      </c>
      <c r="AE1727" t="s">
        <v>58</v>
      </c>
      <c r="AG1727" t="s">
        <v>63</v>
      </c>
      <c r="AH1727" s="11" t="str">
        <f t="shared" si="114"/>
        <v>mailto: soilterrain@victoria1.gov.bc.ca</v>
      </c>
    </row>
    <row r="1728" spans="1:34">
      <c r="A1728" t="s">
        <v>3997</v>
      </c>
      <c r="B1728" t="s">
        <v>56</v>
      </c>
      <c r="C1728" s="10" t="s">
        <v>3998</v>
      </c>
      <c r="D1728" t="s">
        <v>58</v>
      </c>
      <c r="E1728" t="s">
        <v>3182</v>
      </c>
      <c r="F1728" t="s">
        <v>3999</v>
      </c>
      <c r="G1728">
        <v>50000</v>
      </c>
      <c r="H1728">
        <v>1987</v>
      </c>
      <c r="I1728" t="s">
        <v>3184</v>
      </c>
      <c r="J1728" t="s">
        <v>58</v>
      </c>
      <c r="K1728" t="s">
        <v>58</v>
      </c>
      <c r="L1728" t="s">
        <v>61</v>
      </c>
      <c r="M1728" t="s">
        <v>58</v>
      </c>
      <c r="Q1728" t="s">
        <v>58</v>
      </c>
      <c r="R1728" s="11" t="str">
        <f>HYPERLINK("\\imagefiles.bcgov\imagery\scanned_maps\moe_terrain_maps\Scanned_T_maps_all\K14\K14-2562","\\imagefiles.bcgov\imagery\scanned_maps\moe_terrain_maps\Scanned_T_maps_all\K14\K14-2562")</f>
        <v>\\imagefiles.bcgov\imagery\scanned_maps\moe_terrain_maps\Scanned_T_maps_all\K14\K14-2562</v>
      </c>
      <c r="S1728" t="s">
        <v>62</v>
      </c>
      <c r="T1728" s="11" t="str">
        <f>HYPERLINK("http://www.env.gov.bc.ca/esd/distdata/ecosystems/TEI_Scanned_Maps/K14/K14-2562","http://www.env.gov.bc.ca/esd/distdata/ecosystems/TEI_Scanned_Maps/K14/K14-2562")</f>
        <v>http://www.env.gov.bc.ca/esd/distdata/ecosystems/TEI_Scanned_Maps/K14/K14-2562</v>
      </c>
      <c r="U1728" t="s">
        <v>2495</v>
      </c>
      <c r="V1728" s="11" t="str">
        <f t="shared" si="126"/>
        <v>http://www.em.gov.bc.ca/mining/geolsurv/terrain&amp;soils/frbcguid.htm</v>
      </c>
      <c r="W1728" t="s">
        <v>2489</v>
      </c>
      <c r="X1728" s="11" t="str">
        <f t="shared" si="127"/>
        <v>http://www.em.gov.bc.ca/mining/geolsurv/terrain&amp;soils/frbcguid.htm</v>
      </c>
      <c r="Y1728" t="s">
        <v>269</v>
      </c>
      <c r="Z1728" s="11" t="str">
        <f t="shared" si="128"/>
        <v>http://www.library.for.gov.bc.ca/#focus</v>
      </c>
      <c r="AA1728" t="s">
        <v>58</v>
      </c>
      <c r="AC1728" t="s">
        <v>58</v>
      </c>
      <c r="AE1728" t="s">
        <v>58</v>
      </c>
      <c r="AG1728" t="s">
        <v>63</v>
      </c>
      <c r="AH1728" s="11" t="str">
        <f t="shared" si="114"/>
        <v>mailto: soilterrain@victoria1.gov.bc.ca</v>
      </c>
    </row>
    <row r="1729" spans="1:34">
      <c r="A1729" t="s">
        <v>4000</v>
      </c>
      <c r="B1729" t="s">
        <v>56</v>
      </c>
      <c r="C1729" s="10" t="s">
        <v>4001</v>
      </c>
      <c r="D1729" t="s">
        <v>58</v>
      </c>
      <c r="E1729" t="s">
        <v>3182</v>
      </c>
      <c r="F1729" t="s">
        <v>4002</v>
      </c>
      <c r="G1729">
        <v>50000</v>
      </c>
      <c r="H1729">
        <v>1987</v>
      </c>
      <c r="I1729" t="s">
        <v>3184</v>
      </c>
      <c r="J1729" t="s">
        <v>58</v>
      </c>
      <c r="K1729" t="s">
        <v>58</v>
      </c>
      <c r="L1729" t="s">
        <v>61</v>
      </c>
      <c r="M1729" t="s">
        <v>58</v>
      </c>
      <c r="Q1729" t="s">
        <v>58</v>
      </c>
      <c r="R1729" s="11" t="str">
        <f>HYPERLINK("\\imagefiles.bcgov\imagery\scanned_maps\moe_terrain_maps\Scanned_T_maps_all\K14\K14-2563","\\imagefiles.bcgov\imagery\scanned_maps\moe_terrain_maps\Scanned_T_maps_all\K14\K14-2563")</f>
        <v>\\imagefiles.bcgov\imagery\scanned_maps\moe_terrain_maps\Scanned_T_maps_all\K14\K14-2563</v>
      </c>
      <c r="S1729" t="s">
        <v>62</v>
      </c>
      <c r="T1729" s="11" t="str">
        <f>HYPERLINK("http://www.env.gov.bc.ca/esd/distdata/ecosystems/TEI_Scanned_Maps/K14/K14-2563","http://www.env.gov.bc.ca/esd/distdata/ecosystems/TEI_Scanned_Maps/K14/K14-2563")</f>
        <v>http://www.env.gov.bc.ca/esd/distdata/ecosystems/TEI_Scanned_Maps/K14/K14-2563</v>
      </c>
      <c r="U1729" t="s">
        <v>2495</v>
      </c>
      <c r="V1729" s="11" t="str">
        <f t="shared" si="126"/>
        <v>http://www.em.gov.bc.ca/mining/geolsurv/terrain&amp;soils/frbcguid.htm</v>
      </c>
      <c r="W1729" t="s">
        <v>2489</v>
      </c>
      <c r="X1729" s="11" t="str">
        <f t="shared" si="127"/>
        <v>http://www.em.gov.bc.ca/mining/geolsurv/terrain&amp;soils/frbcguid.htm</v>
      </c>
      <c r="Y1729" t="s">
        <v>269</v>
      </c>
      <c r="Z1729" s="11" t="str">
        <f t="shared" si="128"/>
        <v>http://www.library.for.gov.bc.ca/#focus</v>
      </c>
      <c r="AA1729" t="s">
        <v>58</v>
      </c>
      <c r="AC1729" t="s">
        <v>58</v>
      </c>
      <c r="AE1729" t="s">
        <v>58</v>
      </c>
      <c r="AG1729" t="s">
        <v>63</v>
      </c>
      <c r="AH1729" s="11" t="str">
        <f t="shared" si="114"/>
        <v>mailto: soilterrain@victoria1.gov.bc.ca</v>
      </c>
    </row>
    <row r="1730" spans="1:34">
      <c r="A1730" t="s">
        <v>4003</v>
      </c>
      <c r="B1730" t="s">
        <v>56</v>
      </c>
      <c r="C1730" s="10" t="s">
        <v>4004</v>
      </c>
      <c r="D1730" t="s">
        <v>58</v>
      </c>
      <c r="E1730" t="s">
        <v>3182</v>
      </c>
      <c r="F1730" t="s">
        <v>4005</v>
      </c>
      <c r="G1730">
        <v>50000</v>
      </c>
      <c r="H1730">
        <v>1987</v>
      </c>
      <c r="I1730" t="s">
        <v>3184</v>
      </c>
      <c r="J1730" t="s">
        <v>58</v>
      </c>
      <c r="K1730" t="s">
        <v>58</v>
      </c>
      <c r="L1730" t="s">
        <v>61</v>
      </c>
      <c r="M1730" t="s">
        <v>58</v>
      </c>
      <c r="Q1730" t="s">
        <v>58</v>
      </c>
      <c r="R1730" s="11" t="str">
        <f>HYPERLINK("\\imagefiles.bcgov\imagery\scanned_maps\moe_terrain_maps\Scanned_T_maps_all\K14\K14-2564","\\imagefiles.bcgov\imagery\scanned_maps\moe_terrain_maps\Scanned_T_maps_all\K14\K14-2564")</f>
        <v>\\imagefiles.bcgov\imagery\scanned_maps\moe_terrain_maps\Scanned_T_maps_all\K14\K14-2564</v>
      </c>
      <c r="S1730" t="s">
        <v>62</v>
      </c>
      <c r="T1730" s="11" t="str">
        <f>HYPERLINK("http://www.env.gov.bc.ca/esd/distdata/ecosystems/TEI_Scanned_Maps/K14/K14-2564","http://www.env.gov.bc.ca/esd/distdata/ecosystems/TEI_Scanned_Maps/K14/K14-2564")</f>
        <v>http://www.env.gov.bc.ca/esd/distdata/ecosystems/TEI_Scanned_Maps/K14/K14-2564</v>
      </c>
      <c r="U1730" t="s">
        <v>2495</v>
      </c>
      <c r="V1730" s="11" t="str">
        <f t="shared" si="126"/>
        <v>http://www.em.gov.bc.ca/mining/geolsurv/terrain&amp;soils/frbcguid.htm</v>
      </c>
      <c r="W1730" t="s">
        <v>2489</v>
      </c>
      <c r="X1730" s="11" t="str">
        <f t="shared" si="127"/>
        <v>http://www.em.gov.bc.ca/mining/geolsurv/terrain&amp;soils/frbcguid.htm</v>
      </c>
      <c r="Y1730" t="s">
        <v>269</v>
      </c>
      <c r="Z1730" s="11" t="str">
        <f t="shared" si="128"/>
        <v>http://www.library.for.gov.bc.ca/#focus</v>
      </c>
      <c r="AA1730" t="s">
        <v>58</v>
      </c>
      <c r="AC1730" t="s">
        <v>58</v>
      </c>
      <c r="AE1730" t="s">
        <v>58</v>
      </c>
      <c r="AG1730" t="s">
        <v>63</v>
      </c>
      <c r="AH1730" s="11" t="str">
        <f t="shared" ref="AH1730:AH1793" si="130">HYPERLINK("mailto: soilterrain@victoria1.gov.bc.ca","mailto: soilterrain@victoria1.gov.bc.ca")</f>
        <v>mailto: soilterrain@victoria1.gov.bc.ca</v>
      </c>
    </row>
    <row r="1731" spans="1:34">
      <c r="A1731" t="s">
        <v>4006</v>
      </c>
      <c r="B1731" t="s">
        <v>56</v>
      </c>
      <c r="C1731" s="10" t="s">
        <v>4007</v>
      </c>
      <c r="D1731" t="s">
        <v>58</v>
      </c>
      <c r="E1731" t="s">
        <v>3193</v>
      </c>
      <c r="F1731" t="s">
        <v>4008</v>
      </c>
      <c r="G1731">
        <v>50000</v>
      </c>
      <c r="H1731">
        <v>1988</v>
      </c>
      <c r="I1731" t="s">
        <v>3195</v>
      </c>
      <c r="J1731" t="s">
        <v>58</v>
      </c>
      <c r="K1731" t="s">
        <v>58</v>
      </c>
      <c r="L1731" t="s">
        <v>61</v>
      </c>
      <c r="M1731" t="s">
        <v>58</v>
      </c>
      <c r="Q1731" t="s">
        <v>58</v>
      </c>
      <c r="R1731" s="11" t="str">
        <f>HYPERLINK("\\imagefiles.bcgov\imagery\scanned_maps\moe_terrain_maps\Scanned_T_maps_all\K14\K14-2582","\\imagefiles.bcgov\imagery\scanned_maps\moe_terrain_maps\Scanned_T_maps_all\K14\K14-2582")</f>
        <v>\\imagefiles.bcgov\imagery\scanned_maps\moe_terrain_maps\Scanned_T_maps_all\K14\K14-2582</v>
      </c>
      <c r="S1731" t="s">
        <v>62</v>
      </c>
      <c r="T1731" s="11" t="str">
        <f>HYPERLINK("http://www.env.gov.bc.ca/esd/distdata/ecosystems/TEI_Scanned_Maps/K14/K14-2582","http://www.env.gov.bc.ca/esd/distdata/ecosystems/TEI_Scanned_Maps/K14/K14-2582")</f>
        <v>http://www.env.gov.bc.ca/esd/distdata/ecosystems/TEI_Scanned_Maps/K14/K14-2582</v>
      </c>
      <c r="U1731" t="s">
        <v>2495</v>
      </c>
      <c r="V1731" s="11" t="str">
        <f t="shared" si="126"/>
        <v>http://www.em.gov.bc.ca/mining/geolsurv/terrain&amp;soils/frbcguid.htm</v>
      </c>
      <c r="W1731" t="s">
        <v>269</v>
      </c>
      <c r="X1731" s="11" t="str">
        <f t="shared" ref="X1731:X1745" si="131">HYPERLINK("http://www.library.for.gov.bc.ca/#focus","http://www.library.for.gov.bc.ca/#focus")</f>
        <v>http://www.library.for.gov.bc.ca/#focus</v>
      </c>
      <c r="Y1731" t="s">
        <v>2500</v>
      </c>
      <c r="Z1731" s="11" t="str">
        <f t="shared" ref="Z1731:Z1745" si="132">HYPERLINK("http://www.crownpub.bc.ca/","http://www.crownpub.bc.ca/")</f>
        <v>http://www.crownpub.bc.ca/</v>
      </c>
      <c r="AA1731" t="s">
        <v>58</v>
      </c>
      <c r="AC1731" t="s">
        <v>58</v>
      </c>
      <c r="AE1731" t="s">
        <v>58</v>
      </c>
      <c r="AG1731" t="s">
        <v>63</v>
      </c>
      <c r="AH1731" s="11" t="str">
        <f t="shared" si="130"/>
        <v>mailto: soilterrain@victoria1.gov.bc.ca</v>
      </c>
    </row>
    <row r="1732" spans="1:34">
      <c r="A1732" t="s">
        <v>4009</v>
      </c>
      <c r="B1732" t="s">
        <v>56</v>
      </c>
      <c r="C1732" s="10" t="s">
        <v>4010</v>
      </c>
      <c r="D1732" t="s">
        <v>58</v>
      </c>
      <c r="E1732" t="s">
        <v>3193</v>
      </c>
      <c r="F1732" t="s">
        <v>4011</v>
      </c>
      <c r="G1732">
        <v>50000</v>
      </c>
      <c r="H1732">
        <v>1987</v>
      </c>
      <c r="I1732" t="s">
        <v>3195</v>
      </c>
      <c r="J1732" t="s">
        <v>58</v>
      </c>
      <c r="K1732" t="s">
        <v>58</v>
      </c>
      <c r="L1732" t="s">
        <v>61</v>
      </c>
      <c r="M1732" t="s">
        <v>58</v>
      </c>
      <c r="Q1732" t="s">
        <v>58</v>
      </c>
      <c r="R1732" s="11" t="str">
        <f>HYPERLINK("\\imagefiles.bcgov\imagery\scanned_maps\moe_terrain_maps\Scanned_T_maps_all\K14\K14-2583","\\imagefiles.bcgov\imagery\scanned_maps\moe_terrain_maps\Scanned_T_maps_all\K14\K14-2583")</f>
        <v>\\imagefiles.bcgov\imagery\scanned_maps\moe_terrain_maps\Scanned_T_maps_all\K14\K14-2583</v>
      </c>
      <c r="S1732" t="s">
        <v>62</v>
      </c>
      <c r="T1732" s="11" t="str">
        <f>HYPERLINK("http://www.env.gov.bc.ca/esd/distdata/ecosystems/TEI_Scanned_Maps/K14/K14-2583","http://www.env.gov.bc.ca/esd/distdata/ecosystems/TEI_Scanned_Maps/K14/K14-2583")</f>
        <v>http://www.env.gov.bc.ca/esd/distdata/ecosystems/TEI_Scanned_Maps/K14/K14-2583</v>
      </c>
      <c r="U1732" t="s">
        <v>2495</v>
      </c>
      <c r="V1732" s="11" t="str">
        <f t="shared" si="126"/>
        <v>http://www.em.gov.bc.ca/mining/geolsurv/terrain&amp;soils/frbcguid.htm</v>
      </c>
      <c r="W1732" t="s">
        <v>269</v>
      </c>
      <c r="X1732" s="11" t="str">
        <f t="shared" si="131"/>
        <v>http://www.library.for.gov.bc.ca/#focus</v>
      </c>
      <c r="Y1732" t="s">
        <v>2500</v>
      </c>
      <c r="Z1732" s="11" t="str">
        <f t="shared" si="132"/>
        <v>http://www.crownpub.bc.ca/</v>
      </c>
      <c r="AA1732" t="s">
        <v>58</v>
      </c>
      <c r="AC1732" t="s">
        <v>58</v>
      </c>
      <c r="AE1732" t="s">
        <v>58</v>
      </c>
      <c r="AG1732" t="s">
        <v>63</v>
      </c>
      <c r="AH1732" s="11" t="str">
        <f t="shared" si="130"/>
        <v>mailto: soilterrain@victoria1.gov.bc.ca</v>
      </c>
    </row>
    <row r="1733" spans="1:34">
      <c r="A1733" t="s">
        <v>4012</v>
      </c>
      <c r="B1733" t="s">
        <v>56</v>
      </c>
      <c r="C1733" s="10" t="s">
        <v>4013</v>
      </c>
      <c r="D1733" t="s">
        <v>58</v>
      </c>
      <c r="E1733" t="s">
        <v>3193</v>
      </c>
      <c r="F1733" t="s">
        <v>4014</v>
      </c>
      <c r="G1733">
        <v>50000</v>
      </c>
      <c r="H1733">
        <v>1987</v>
      </c>
      <c r="I1733" t="s">
        <v>3195</v>
      </c>
      <c r="J1733" t="s">
        <v>58</v>
      </c>
      <c r="K1733" t="s">
        <v>58</v>
      </c>
      <c r="L1733" t="s">
        <v>61</v>
      </c>
      <c r="M1733" t="s">
        <v>58</v>
      </c>
      <c r="Q1733" t="s">
        <v>58</v>
      </c>
      <c r="R1733" s="11" t="str">
        <f>HYPERLINK("\\imagefiles.bcgov\imagery\scanned_maps\moe_terrain_maps\Scanned_T_maps_all\K14\K14-2584","\\imagefiles.bcgov\imagery\scanned_maps\moe_terrain_maps\Scanned_T_maps_all\K14\K14-2584")</f>
        <v>\\imagefiles.bcgov\imagery\scanned_maps\moe_terrain_maps\Scanned_T_maps_all\K14\K14-2584</v>
      </c>
      <c r="S1733" t="s">
        <v>62</v>
      </c>
      <c r="T1733" s="11" t="str">
        <f>HYPERLINK("http://www.env.gov.bc.ca/esd/distdata/ecosystems/TEI_Scanned_Maps/K14/K14-2584","http://www.env.gov.bc.ca/esd/distdata/ecosystems/TEI_Scanned_Maps/K14/K14-2584")</f>
        <v>http://www.env.gov.bc.ca/esd/distdata/ecosystems/TEI_Scanned_Maps/K14/K14-2584</v>
      </c>
      <c r="U1733" t="s">
        <v>2495</v>
      </c>
      <c r="V1733" s="11" t="str">
        <f t="shared" si="126"/>
        <v>http://www.em.gov.bc.ca/mining/geolsurv/terrain&amp;soils/frbcguid.htm</v>
      </c>
      <c r="W1733" t="s">
        <v>269</v>
      </c>
      <c r="X1733" s="11" t="str">
        <f t="shared" si="131"/>
        <v>http://www.library.for.gov.bc.ca/#focus</v>
      </c>
      <c r="Y1733" t="s">
        <v>2500</v>
      </c>
      <c r="Z1733" s="11" t="str">
        <f t="shared" si="132"/>
        <v>http://www.crownpub.bc.ca/</v>
      </c>
      <c r="AA1733" t="s">
        <v>58</v>
      </c>
      <c r="AC1733" t="s">
        <v>58</v>
      </c>
      <c r="AE1733" t="s">
        <v>58</v>
      </c>
      <c r="AG1733" t="s">
        <v>63</v>
      </c>
      <c r="AH1733" s="11" t="str">
        <f t="shared" si="130"/>
        <v>mailto: soilterrain@victoria1.gov.bc.ca</v>
      </c>
    </row>
    <row r="1734" spans="1:34">
      <c r="A1734" t="s">
        <v>4015</v>
      </c>
      <c r="B1734" t="s">
        <v>56</v>
      </c>
      <c r="C1734" s="10" t="s">
        <v>4016</v>
      </c>
      <c r="D1734" t="s">
        <v>58</v>
      </c>
      <c r="E1734" t="s">
        <v>3193</v>
      </c>
      <c r="F1734" t="s">
        <v>4017</v>
      </c>
      <c r="G1734">
        <v>50000</v>
      </c>
      <c r="H1734">
        <v>1987</v>
      </c>
      <c r="I1734" t="s">
        <v>3195</v>
      </c>
      <c r="J1734" t="s">
        <v>58</v>
      </c>
      <c r="K1734" t="s">
        <v>58</v>
      </c>
      <c r="L1734" t="s">
        <v>61</v>
      </c>
      <c r="M1734" t="s">
        <v>58</v>
      </c>
      <c r="Q1734" t="s">
        <v>58</v>
      </c>
      <c r="R1734" s="11" t="str">
        <f>HYPERLINK("\\imagefiles.bcgov\imagery\scanned_maps\moe_terrain_maps\Scanned_T_maps_all\K14\K14-2585","\\imagefiles.bcgov\imagery\scanned_maps\moe_terrain_maps\Scanned_T_maps_all\K14\K14-2585")</f>
        <v>\\imagefiles.bcgov\imagery\scanned_maps\moe_terrain_maps\Scanned_T_maps_all\K14\K14-2585</v>
      </c>
      <c r="S1734" t="s">
        <v>62</v>
      </c>
      <c r="T1734" s="11" t="str">
        <f>HYPERLINK("http://www.env.gov.bc.ca/esd/distdata/ecosystems/TEI_Scanned_Maps/K14/K14-2585","http://www.env.gov.bc.ca/esd/distdata/ecosystems/TEI_Scanned_Maps/K14/K14-2585")</f>
        <v>http://www.env.gov.bc.ca/esd/distdata/ecosystems/TEI_Scanned_Maps/K14/K14-2585</v>
      </c>
      <c r="U1734" t="s">
        <v>2495</v>
      </c>
      <c r="V1734" s="11" t="str">
        <f t="shared" si="126"/>
        <v>http://www.em.gov.bc.ca/mining/geolsurv/terrain&amp;soils/frbcguid.htm</v>
      </c>
      <c r="W1734" t="s">
        <v>269</v>
      </c>
      <c r="X1734" s="11" t="str">
        <f t="shared" si="131"/>
        <v>http://www.library.for.gov.bc.ca/#focus</v>
      </c>
      <c r="Y1734" t="s">
        <v>2500</v>
      </c>
      <c r="Z1734" s="11" t="str">
        <f t="shared" si="132"/>
        <v>http://www.crownpub.bc.ca/</v>
      </c>
      <c r="AA1734" t="s">
        <v>58</v>
      </c>
      <c r="AC1734" t="s">
        <v>58</v>
      </c>
      <c r="AE1734" t="s">
        <v>58</v>
      </c>
      <c r="AG1734" t="s">
        <v>63</v>
      </c>
      <c r="AH1734" s="11" t="str">
        <f t="shared" si="130"/>
        <v>mailto: soilterrain@victoria1.gov.bc.ca</v>
      </c>
    </row>
    <row r="1735" spans="1:34">
      <c r="A1735" t="s">
        <v>4018</v>
      </c>
      <c r="B1735" t="s">
        <v>56</v>
      </c>
      <c r="C1735" s="10" t="s">
        <v>4019</v>
      </c>
      <c r="D1735" t="s">
        <v>58</v>
      </c>
      <c r="E1735" t="s">
        <v>3193</v>
      </c>
      <c r="F1735" t="s">
        <v>4020</v>
      </c>
      <c r="G1735">
        <v>50000</v>
      </c>
      <c r="H1735">
        <v>1987</v>
      </c>
      <c r="I1735" t="s">
        <v>3195</v>
      </c>
      <c r="J1735" t="s">
        <v>58</v>
      </c>
      <c r="K1735" t="s">
        <v>58</v>
      </c>
      <c r="L1735" t="s">
        <v>61</v>
      </c>
      <c r="M1735" t="s">
        <v>58</v>
      </c>
      <c r="Q1735" t="s">
        <v>58</v>
      </c>
      <c r="R1735" s="11" t="str">
        <f>HYPERLINK("\\imagefiles.bcgov\imagery\scanned_maps\moe_terrain_maps\Scanned_T_maps_all\K14\K14-2586","\\imagefiles.bcgov\imagery\scanned_maps\moe_terrain_maps\Scanned_T_maps_all\K14\K14-2586")</f>
        <v>\\imagefiles.bcgov\imagery\scanned_maps\moe_terrain_maps\Scanned_T_maps_all\K14\K14-2586</v>
      </c>
      <c r="S1735" t="s">
        <v>62</v>
      </c>
      <c r="T1735" s="11" t="str">
        <f>HYPERLINK("http://www.env.gov.bc.ca/esd/distdata/ecosystems/TEI_Scanned_Maps/K14/K14-2586","http://www.env.gov.bc.ca/esd/distdata/ecosystems/TEI_Scanned_Maps/K14/K14-2586")</f>
        <v>http://www.env.gov.bc.ca/esd/distdata/ecosystems/TEI_Scanned_Maps/K14/K14-2586</v>
      </c>
      <c r="U1735" t="s">
        <v>2495</v>
      </c>
      <c r="V1735" s="11" t="str">
        <f t="shared" si="126"/>
        <v>http://www.em.gov.bc.ca/mining/geolsurv/terrain&amp;soils/frbcguid.htm</v>
      </c>
      <c r="W1735" t="s">
        <v>269</v>
      </c>
      <c r="X1735" s="11" t="str">
        <f t="shared" si="131"/>
        <v>http://www.library.for.gov.bc.ca/#focus</v>
      </c>
      <c r="Y1735" t="s">
        <v>2500</v>
      </c>
      <c r="Z1735" s="11" t="str">
        <f t="shared" si="132"/>
        <v>http://www.crownpub.bc.ca/</v>
      </c>
      <c r="AA1735" t="s">
        <v>58</v>
      </c>
      <c r="AC1735" t="s">
        <v>58</v>
      </c>
      <c r="AE1735" t="s">
        <v>58</v>
      </c>
      <c r="AG1735" t="s">
        <v>63</v>
      </c>
      <c r="AH1735" s="11" t="str">
        <f t="shared" si="130"/>
        <v>mailto: soilterrain@victoria1.gov.bc.ca</v>
      </c>
    </row>
    <row r="1736" spans="1:34">
      <c r="A1736" t="s">
        <v>4021</v>
      </c>
      <c r="B1736" t="s">
        <v>56</v>
      </c>
      <c r="C1736" s="10" t="s">
        <v>4022</v>
      </c>
      <c r="D1736" t="s">
        <v>58</v>
      </c>
      <c r="E1736" t="s">
        <v>3193</v>
      </c>
      <c r="F1736" t="s">
        <v>4023</v>
      </c>
      <c r="G1736">
        <v>50000</v>
      </c>
      <c r="H1736">
        <v>1988</v>
      </c>
      <c r="I1736" t="s">
        <v>3195</v>
      </c>
      <c r="J1736" t="s">
        <v>58</v>
      </c>
      <c r="K1736" t="s">
        <v>58</v>
      </c>
      <c r="L1736" t="s">
        <v>61</v>
      </c>
      <c r="M1736" t="s">
        <v>58</v>
      </c>
      <c r="Q1736" t="s">
        <v>58</v>
      </c>
      <c r="R1736" s="11" t="str">
        <f>HYPERLINK("\\imagefiles.bcgov\imagery\scanned_maps\moe_terrain_maps\Scanned_T_maps_all\K14\K14-2587","\\imagefiles.bcgov\imagery\scanned_maps\moe_terrain_maps\Scanned_T_maps_all\K14\K14-2587")</f>
        <v>\\imagefiles.bcgov\imagery\scanned_maps\moe_terrain_maps\Scanned_T_maps_all\K14\K14-2587</v>
      </c>
      <c r="S1736" t="s">
        <v>62</v>
      </c>
      <c r="T1736" s="11" t="str">
        <f>HYPERLINK("http://www.env.gov.bc.ca/esd/distdata/ecosystems/TEI_Scanned_Maps/K14/K14-2587","http://www.env.gov.bc.ca/esd/distdata/ecosystems/TEI_Scanned_Maps/K14/K14-2587")</f>
        <v>http://www.env.gov.bc.ca/esd/distdata/ecosystems/TEI_Scanned_Maps/K14/K14-2587</v>
      </c>
      <c r="U1736" t="s">
        <v>2495</v>
      </c>
      <c r="V1736" s="11" t="str">
        <f t="shared" si="126"/>
        <v>http://www.em.gov.bc.ca/mining/geolsurv/terrain&amp;soils/frbcguid.htm</v>
      </c>
      <c r="W1736" t="s">
        <v>269</v>
      </c>
      <c r="X1736" s="11" t="str">
        <f t="shared" si="131"/>
        <v>http://www.library.for.gov.bc.ca/#focus</v>
      </c>
      <c r="Y1736" t="s">
        <v>2500</v>
      </c>
      <c r="Z1736" s="11" t="str">
        <f t="shared" si="132"/>
        <v>http://www.crownpub.bc.ca/</v>
      </c>
      <c r="AA1736" t="s">
        <v>58</v>
      </c>
      <c r="AC1736" t="s">
        <v>58</v>
      </c>
      <c r="AE1736" t="s">
        <v>58</v>
      </c>
      <c r="AG1736" t="s">
        <v>63</v>
      </c>
      <c r="AH1736" s="11" t="str">
        <f t="shared" si="130"/>
        <v>mailto: soilterrain@victoria1.gov.bc.ca</v>
      </c>
    </row>
    <row r="1737" spans="1:34">
      <c r="A1737" t="s">
        <v>4024</v>
      </c>
      <c r="B1737" t="s">
        <v>56</v>
      </c>
      <c r="C1737" s="10" t="s">
        <v>4025</v>
      </c>
      <c r="D1737" t="s">
        <v>58</v>
      </c>
      <c r="E1737" t="s">
        <v>3193</v>
      </c>
      <c r="F1737" t="s">
        <v>4026</v>
      </c>
      <c r="G1737">
        <v>50000</v>
      </c>
      <c r="H1737">
        <v>1988</v>
      </c>
      <c r="I1737" t="s">
        <v>3195</v>
      </c>
      <c r="J1737" t="s">
        <v>58</v>
      </c>
      <c r="K1737" t="s">
        <v>58</v>
      </c>
      <c r="L1737" t="s">
        <v>61</v>
      </c>
      <c r="M1737" t="s">
        <v>58</v>
      </c>
      <c r="Q1737" t="s">
        <v>58</v>
      </c>
      <c r="R1737" s="11" t="str">
        <f>HYPERLINK("\\imagefiles.bcgov\imagery\scanned_maps\moe_terrain_maps\Scanned_T_maps_all\K14\K14-2588","\\imagefiles.bcgov\imagery\scanned_maps\moe_terrain_maps\Scanned_T_maps_all\K14\K14-2588")</f>
        <v>\\imagefiles.bcgov\imagery\scanned_maps\moe_terrain_maps\Scanned_T_maps_all\K14\K14-2588</v>
      </c>
      <c r="S1737" t="s">
        <v>62</v>
      </c>
      <c r="T1737" s="11" t="str">
        <f>HYPERLINK("http://www.env.gov.bc.ca/esd/distdata/ecosystems/TEI_Scanned_Maps/K14/K14-2588","http://www.env.gov.bc.ca/esd/distdata/ecosystems/TEI_Scanned_Maps/K14/K14-2588")</f>
        <v>http://www.env.gov.bc.ca/esd/distdata/ecosystems/TEI_Scanned_Maps/K14/K14-2588</v>
      </c>
      <c r="U1737" t="s">
        <v>2495</v>
      </c>
      <c r="V1737" s="11" t="str">
        <f t="shared" si="126"/>
        <v>http://www.em.gov.bc.ca/mining/geolsurv/terrain&amp;soils/frbcguid.htm</v>
      </c>
      <c r="W1737" t="s">
        <v>269</v>
      </c>
      <c r="X1737" s="11" t="str">
        <f t="shared" si="131"/>
        <v>http://www.library.for.gov.bc.ca/#focus</v>
      </c>
      <c r="Y1737" t="s">
        <v>2500</v>
      </c>
      <c r="Z1737" s="11" t="str">
        <f t="shared" si="132"/>
        <v>http://www.crownpub.bc.ca/</v>
      </c>
      <c r="AA1737" t="s">
        <v>58</v>
      </c>
      <c r="AC1737" t="s">
        <v>58</v>
      </c>
      <c r="AE1737" t="s">
        <v>58</v>
      </c>
      <c r="AG1737" t="s">
        <v>63</v>
      </c>
      <c r="AH1737" s="11" t="str">
        <f t="shared" si="130"/>
        <v>mailto: soilterrain@victoria1.gov.bc.ca</v>
      </c>
    </row>
    <row r="1738" spans="1:34">
      <c r="A1738" t="s">
        <v>4027</v>
      </c>
      <c r="B1738" t="s">
        <v>56</v>
      </c>
      <c r="C1738" s="10" t="s">
        <v>4028</v>
      </c>
      <c r="D1738" t="s">
        <v>58</v>
      </c>
      <c r="E1738" t="s">
        <v>3193</v>
      </c>
      <c r="F1738" t="s">
        <v>4029</v>
      </c>
      <c r="G1738">
        <v>50000</v>
      </c>
      <c r="H1738">
        <v>1987</v>
      </c>
      <c r="I1738" t="s">
        <v>3195</v>
      </c>
      <c r="J1738" t="s">
        <v>58</v>
      </c>
      <c r="K1738" t="s">
        <v>58</v>
      </c>
      <c r="L1738" t="s">
        <v>61</v>
      </c>
      <c r="M1738" t="s">
        <v>58</v>
      </c>
      <c r="Q1738" t="s">
        <v>58</v>
      </c>
      <c r="R1738" s="11" t="str">
        <f>HYPERLINK("\\imagefiles.bcgov\imagery\scanned_maps\moe_terrain_maps\Scanned_T_maps_all\K14\K14-2589","\\imagefiles.bcgov\imagery\scanned_maps\moe_terrain_maps\Scanned_T_maps_all\K14\K14-2589")</f>
        <v>\\imagefiles.bcgov\imagery\scanned_maps\moe_terrain_maps\Scanned_T_maps_all\K14\K14-2589</v>
      </c>
      <c r="S1738" t="s">
        <v>62</v>
      </c>
      <c r="T1738" s="11" t="str">
        <f>HYPERLINK("http://www.env.gov.bc.ca/esd/distdata/ecosystems/TEI_Scanned_Maps/K14/K14-2589","http://www.env.gov.bc.ca/esd/distdata/ecosystems/TEI_Scanned_Maps/K14/K14-2589")</f>
        <v>http://www.env.gov.bc.ca/esd/distdata/ecosystems/TEI_Scanned_Maps/K14/K14-2589</v>
      </c>
      <c r="U1738" t="s">
        <v>2495</v>
      </c>
      <c r="V1738" s="11" t="str">
        <f t="shared" si="126"/>
        <v>http://www.em.gov.bc.ca/mining/geolsurv/terrain&amp;soils/frbcguid.htm</v>
      </c>
      <c r="W1738" t="s">
        <v>269</v>
      </c>
      <c r="X1738" s="11" t="str">
        <f t="shared" si="131"/>
        <v>http://www.library.for.gov.bc.ca/#focus</v>
      </c>
      <c r="Y1738" t="s">
        <v>2500</v>
      </c>
      <c r="Z1738" s="11" t="str">
        <f t="shared" si="132"/>
        <v>http://www.crownpub.bc.ca/</v>
      </c>
      <c r="AA1738" t="s">
        <v>58</v>
      </c>
      <c r="AC1738" t="s">
        <v>58</v>
      </c>
      <c r="AE1738" t="s">
        <v>58</v>
      </c>
      <c r="AG1738" t="s">
        <v>63</v>
      </c>
      <c r="AH1738" s="11" t="str">
        <f t="shared" si="130"/>
        <v>mailto: soilterrain@victoria1.gov.bc.ca</v>
      </c>
    </row>
    <row r="1739" spans="1:34">
      <c r="A1739" t="s">
        <v>4030</v>
      </c>
      <c r="B1739" t="s">
        <v>56</v>
      </c>
      <c r="C1739" s="10" t="s">
        <v>4031</v>
      </c>
      <c r="D1739" t="s">
        <v>58</v>
      </c>
      <c r="E1739" t="s">
        <v>3193</v>
      </c>
      <c r="F1739" t="s">
        <v>4032</v>
      </c>
      <c r="G1739">
        <v>50000</v>
      </c>
      <c r="H1739">
        <v>1987</v>
      </c>
      <c r="I1739" t="s">
        <v>3195</v>
      </c>
      <c r="J1739" t="s">
        <v>58</v>
      </c>
      <c r="K1739" t="s">
        <v>58</v>
      </c>
      <c r="L1739" t="s">
        <v>61</v>
      </c>
      <c r="M1739" t="s">
        <v>58</v>
      </c>
      <c r="Q1739" t="s">
        <v>58</v>
      </c>
      <c r="R1739" s="11" t="str">
        <f>HYPERLINK("\\imagefiles.bcgov\imagery\scanned_maps\moe_terrain_maps\Scanned_T_maps_all\K14\K14-2590","\\imagefiles.bcgov\imagery\scanned_maps\moe_terrain_maps\Scanned_T_maps_all\K14\K14-2590")</f>
        <v>\\imagefiles.bcgov\imagery\scanned_maps\moe_terrain_maps\Scanned_T_maps_all\K14\K14-2590</v>
      </c>
      <c r="S1739" t="s">
        <v>62</v>
      </c>
      <c r="T1739" s="11" t="str">
        <f>HYPERLINK("http://www.env.gov.bc.ca/esd/distdata/ecosystems/TEI_Scanned_Maps/K14/K14-2590","http://www.env.gov.bc.ca/esd/distdata/ecosystems/TEI_Scanned_Maps/K14/K14-2590")</f>
        <v>http://www.env.gov.bc.ca/esd/distdata/ecosystems/TEI_Scanned_Maps/K14/K14-2590</v>
      </c>
      <c r="U1739" t="s">
        <v>2495</v>
      </c>
      <c r="V1739" s="11" t="str">
        <f t="shared" si="126"/>
        <v>http://www.em.gov.bc.ca/mining/geolsurv/terrain&amp;soils/frbcguid.htm</v>
      </c>
      <c r="W1739" t="s">
        <v>269</v>
      </c>
      <c r="X1739" s="11" t="str">
        <f t="shared" si="131"/>
        <v>http://www.library.for.gov.bc.ca/#focus</v>
      </c>
      <c r="Y1739" t="s">
        <v>2500</v>
      </c>
      <c r="Z1739" s="11" t="str">
        <f t="shared" si="132"/>
        <v>http://www.crownpub.bc.ca/</v>
      </c>
      <c r="AA1739" t="s">
        <v>58</v>
      </c>
      <c r="AC1739" t="s">
        <v>58</v>
      </c>
      <c r="AE1739" t="s">
        <v>58</v>
      </c>
      <c r="AG1739" t="s">
        <v>63</v>
      </c>
      <c r="AH1739" s="11" t="str">
        <f t="shared" si="130"/>
        <v>mailto: soilterrain@victoria1.gov.bc.ca</v>
      </c>
    </row>
    <row r="1740" spans="1:34">
      <c r="A1740" t="s">
        <v>4033</v>
      </c>
      <c r="B1740" t="s">
        <v>56</v>
      </c>
      <c r="C1740" s="10" t="s">
        <v>4034</v>
      </c>
      <c r="D1740" t="s">
        <v>58</v>
      </c>
      <c r="E1740" t="s">
        <v>3193</v>
      </c>
      <c r="F1740" t="s">
        <v>4035</v>
      </c>
      <c r="G1740">
        <v>50000</v>
      </c>
      <c r="H1740">
        <v>1987</v>
      </c>
      <c r="I1740" t="s">
        <v>3195</v>
      </c>
      <c r="J1740" t="s">
        <v>58</v>
      </c>
      <c r="K1740" t="s">
        <v>58</v>
      </c>
      <c r="L1740" t="s">
        <v>61</v>
      </c>
      <c r="M1740" t="s">
        <v>58</v>
      </c>
      <c r="Q1740" t="s">
        <v>58</v>
      </c>
      <c r="R1740" s="11" t="str">
        <f>HYPERLINK("\\imagefiles.bcgov\imagery\scanned_maps\moe_terrain_maps\Scanned_T_maps_all\K14\K14-2591","\\imagefiles.bcgov\imagery\scanned_maps\moe_terrain_maps\Scanned_T_maps_all\K14\K14-2591")</f>
        <v>\\imagefiles.bcgov\imagery\scanned_maps\moe_terrain_maps\Scanned_T_maps_all\K14\K14-2591</v>
      </c>
      <c r="S1740" t="s">
        <v>62</v>
      </c>
      <c r="T1740" s="11" t="str">
        <f>HYPERLINK("http://www.env.gov.bc.ca/esd/distdata/ecosystems/TEI_Scanned_Maps/K14/K14-2591","http://www.env.gov.bc.ca/esd/distdata/ecosystems/TEI_Scanned_Maps/K14/K14-2591")</f>
        <v>http://www.env.gov.bc.ca/esd/distdata/ecosystems/TEI_Scanned_Maps/K14/K14-2591</v>
      </c>
      <c r="U1740" t="s">
        <v>2495</v>
      </c>
      <c r="V1740" s="11" t="str">
        <f t="shared" si="126"/>
        <v>http://www.em.gov.bc.ca/mining/geolsurv/terrain&amp;soils/frbcguid.htm</v>
      </c>
      <c r="W1740" t="s">
        <v>269</v>
      </c>
      <c r="X1740" s="11" t="str">
        <f t="shared" si="131"/>
        <v>http://www.library.for.gov.bc.ca/#focus</v>
      </c>
      <c r="Y1740" t="s">
        <v>2500</v>
      </c>
      <c r="Z1740" s="11" t="str">
        <f t="shared" si="132"/>
        <v>http://www.crownpub.bc.ca/</v>
      </c>
      <c r="AA1740" t="s">
        <v>58</v>
      </c>
      <c r="AC1740" t="s">
        <v>58</v>
      </c>
      <c r="AE1740" t="s">
        <v>58</v>
      </c>
      <c r="AG1740" t="s">
        <v>63</v>
      </c>
      <c r="AH1740" s="11" t="str">
        <f t="shared" si="130"/>
        <v>mailto: soilterrain@victoria1.gov.bc.ca</v>
      </c>
    </row>
    <row r="1741" spans="1:34">
      <c r="A1741" t="s">
        <v>4036</v>
      </c>
      <c r="B1741" t="s">
        <v>56</v>
      </c>
      <c r="C1741" s="10" t="s">
        <v>4037</v>
      </c>
      <c r="D1741" t="s">
        <v>58</v>
      </c>
      <c r="E1741" t="s">
        <v>3193</v>
      </c>
      <c r="F1741" t="s">
        <v>4038</v>
      </c>
      <c r="G1741">
        <v>50000</v>
      </c>
      <c r="H1741">
        <v>1987</v>
      </c>
      <c r="I1741" t="s">
        <v>3195</v>
      </c>
      <c r="J1741" t="s">
        <v>58</v>
      </c>
      <c r="K1741" t="s">
        <v>58</v>
      </c>
      <c r="L1741" t="s">
        <v>61</v>
      </c>
      <c r="M1741" t="s">
        <v>58</v>
      </c>
      <c r="Q1741" t="s">
        <v>58</v>
      </c>
      <c r="R1741" s="11" t="str">
        <f>HYPERLINK("\\imagefiles.bcgov\imagery\scanned_maps\moe_terrain_maps\Scanned_T_maps_all\K14\K14-2592","\\imagefiles.bcgov\imagery\scanned_maps\moe_terrain_maps\Scanned_T_maps_all\K14\K14-2592")</f>
        <v>\\imagefiles.bcgov\imagery\scanned_maps\moe_terrain_maps\Scanned_T_maps_all\K14\K14-2592</v>
      </c>
      <c r="S1741" t="s">
        <v>62</v>
      </c>
      <c r="T1741" s="11" t="str">
        <f>HYPERLINK("http://www.env.gov.bc.ca/esd/distdata/ecosystems/TEI_Scanned_Maps/K14/K14-2592","http://www.env.gov.bc.ca/esd/distdata/ecosystems/TEI_Scanned_Maps/K14/K14-2592")</f>
        <v>http://www.env.gov.bc.ca/esd/distdata/ecosystems/TEI_Scanned_Maps/K14/K14-2592</v>
      </c>
      <c r="U1741" t="s">
        <v>2495</v>
      </c>
      <c r="V1741" s="11" t="str">
        <f t="shared" si="126"/>
        <v>http://www.em.gov.bc.ca/mining/geolsurv/terrain&amp;soils/frbcguid.htm</v>
      </c>
      <c r="W1741" t="s">
        <v>269</v>
      </c>
      <c r="X1741" s="11" t="str">
        <f t="shared" si="131"/>
        <v>http://www.library.for.gov.bc.ca/#focus</v>
      </c>
      <c r="Y1741" t="s">
        <v>2500</v>
      </c>
      <c r="Z1741" s="11" t="str">
        <f t="shared" si="132"/>
        <v>http://www.crownpub.bc.ca/</v>
      </c>
      <c r="AA1741" t="s">
        <v>58</v>
      </c>
      <c r="AC1741" t="s">
        <v>58</v>
      </c>
      <c r="AE1741" t="s">
        <v>58</v>
      </c>
      <c r="AG1741" t="s">
        <v>63</v>
      </c>
      <c r="AH1741" s="11" t="str">
        <f t="shared" si="130"/>
        <v>mailto: soilterrain@victoria1.gov.bc.ca</v>
      </c>
    </row>
    <row r="1742" spans="1:34">
      <c r="A1742" t="s">
        <v>4039</v>
      </c>
      <c r="B1742" t="s">
        <v>56</v>
      </c>
      <c r="C1742" s="10" t="s">
        <v>4040</v>
      </c>
      <c r="D1742" t="s">
        <v>58</v>
      </c>
      <c r="E1742" t="s">
        <v>3193</v>
      </c>
      <c r="F1742" t="s">
        <v>4041</v>
      </c>
      <c r="G1742">
        <v>50000</v>
      </c>
      <c r="H1742">
        <v>1986</v>
      </c>
      <c r="I1742" t="s">
        <v>3195</v>
      </c>
      <c r="J1742" t="s">
        <v>58</v>
      </c>
      <c r="K1742" t="s">
        <v>58</v>
      </c>
      <c r="L1742" t="s">
        <v>61</v>
      </c>
      <c r="M1742" t="s">
        <v>58</v>
      </c>
      <c r="Q1742" t="s">
        <v>58</v>
      </c>
      <c r="R1742" s="11" t="str">
        <f>HYPERLINK("\\imagefiles.bcgov\imagery\scanned_maps\moe_terrain_maps\Scanned_T_maps_all\K14\K14-2593","\\imagefiles.bcgov\imagery\scanned_maps\moe_terrain_maps\Scanned_T_maps_all\K14\K14-2593")</f>
        <v>\\imagefiles.bcgov\imagery\scanned_maps\moe_terrain_maps\Scanned_T_maps_all\K14\K14-2593</v>
      </c>
      <c r="S1742" t="s">
        <v>62</v>
      </c>
      <c r="T1742" s="11" t="str">
        <f>HYPERLINK("http://www.env.gov.bc.ca/esd/distdata/ecosystems/TEI_Scanned_Maps/K14/K14-2593","http://www.env.gov.bc.ca/esd/distdata/ecosystems/TEI_Scanned_Maps/K14/K14-2593")</f>
        <v>http://www.env.gov.bc.ca/esd/distdata/ecosystems/TEI_Scanned_Maps/K14/K14-2593</v>
      </c>
      <c r="U1742" t="s">
        <v>2495</v>
      </c>
      <c r="V1742" s="11" t="str">
        <f t="shared" si="126"/>
        <v>http://www.em.gov.bc.ca/mining/geolsurv/terrain&amp;soils/frbcguid.htm</v>
      </c>
      <c r="W1742" t="s">
        <v>269</v>
      </c>
      <c r="X1742" s="11" t="str">
        <f t="shared" si="131"/>
        <v>http://www.library.for.gov.bc.ca/#focus</v>
      </c>
      <c r="Y1742" t="s">
        <v>2500</v>
      </c>
      <c r="Z1742" s="11" t="str">
        <f t="shared" si="132"/>
        <v>http://www.crownpub.bc.ca/</v>
      </c>
      <c r="AA1742" t="s">
        <v>58</v>
      </c>
      <c r="AC1742" t="s">
        <v>58</v>
      </c>
      <c r="AE1742" t="s">
        <v>58</v>
      </c>
      <c r="AG1742" t="s">
        <v>63</v>
      </c>
      <c r="AH1742" s="11" t="str">
        <f t="shared" si="130"/>
        <v>mailto: soilterrain@victoria1.gov.bc.ca</v>
      </c>
    </row>
    <row r="1743" spans="1:34">
      <c r="A1743" t="s">
        <v>4042</v>
      </c>
      <c r="B1743" t="s">
        <v>56</v>
      </c>
      <c r="C1743" s="10" t="s">
        <v>4043</v>
      </c>
      <c r="D1743" t="s">
        <v>58</v>
      </c>
      <c r="E1743" t="s">
        <v>3193</v>
      </c>
      <c r="F1743" t="s">
        <v>4044</v>
      </c>
      <c r="G1743">
        <v>50000</v>
      </c>
      <c r="H1743">
        <v>1987</v>
      </c>
      <c r="I1743" t="s">
        <v>3195</v>
      </c>
      <c r="J1743" t="s">
        <v>58</v>
      </c>
      <c r="K1743" t="s">
        <v>58</v>
      </c>
      <c r="L1743" t="s">
        <v>61</v>
      </c>
      <c r="M1743" t="s">
        <v>58</v>
      </c>
      <c r="Q1743" t="s">
        <v>58</v>
      </c>
      <c r="R1743" s="11" t="str">
        <f>HYPERLINK("\\imagefiles.bcgov\imagery\scanned_maps\moe_terrain_maps\Scanned_T_maps_all\K14\K14-2594","\\imagefiles.bcgov\imagery\scanned_maps\moe_terrain_maps\Scanned_T_maps_all\K14\K14-2594")</f>
        <v>\\imagefiles.bcgov\imagery\scanned_maps\moe_terrain_maps\Scanned_T_maps_all\K14\K14-2594</v>
      </c>
      <c r="S1743" t="s">
        <v>62</v>
      </c>
      <c r="T1743" s="11" t="str">
        <f>HYPERLINK("http://www.env.gov.bc.ca/esd/distdata/ecosystems/TEI_Scanned_Maps/K14/K14-2594","http://www.env.gov.bc.ca/esd/distdata/ecosystems/TEI_Scanned_Maps/K14/K14-2594")</f>
        <v>http://www.env.gov.bc.ca/esd/distdata/ecosystems/TEI_Scanned_Maps/K14/K14-2594</v>
      </c>
      <c r="U1743" t="s">
        <v>2495</v>
      </c>
      <c r="V1743" s="11" t="str">
        <f t="shared" si="126"/>
        <v>http://www.em.gov.bc.ca/mining/geolsurv/terrain&amp;soils/frbcguid.htm</v>
      </c>
      <c r="W1743" t="s">
        <v>269</v>
      </c>
      <c r="X1743" s="11" t="str">
        <f t="shared" si="131"/>
        <v>http://www.library.for.gov.bc.ca/#focus</v>
      </c>
      <c r="Y1743" t="s">
        <v>2500</v>
      </c>
      <c r="Z1743" s="11" t="str">
        <f t="shared" si="132"/>
        <v>http://www.crownpub.bc.ca/</v>
      </c>
      <c r="AA1743" t="s">
        <v>58</v>
      </c>
      <c r="AC1743" t="s">
        <v>58</v>
      </c>
      <c r="AE1743" t="s">
        <v>58</v>
      </c>
      <c r="AG1743" t="s">
        <v>63</v>
      </c>
      <c r="AH1743" s="11" t="str">
        <f t="shared" si="130"/>
        <v>mailto: soilterrain@victoria1.gov.bc.ca</v>
      </c>
    </row>
    <row r="1744" spans="1:34">
      <c r="A1744" t="s">
        <v>4045</v>
      </c>
      <c r="B1744" t="s">
        <v>56</v>
      </c>
      <c r="C1744" s="10" t="s">
        <v>4046</v>
      </c>
      <c r="D1744" t="s">
        <v>58</v>
      </c>
      <c r="E1744" t="s">
        <v>3193</v>
      </c>
      <c r="F1744" t="s">
        <v>4047</v>
      </c>
      <c r="G1744">
        <v>50000</v>
      </c>
      <c r="H1744">
        <v>1988</v>
      </c>
      <c r="I1744" t="s">
        <v>3195</v>
      </c>
      <c r="J1744" t="s">
        <v>58</v>
      </c>
      <c r="K1744" t="s">
        <v>58</v>
      </c>
      <c r="L1744" t="s">
        <v>61</v>
      </c>
      <c r="M1744" t="s">
        <v>58</v>
      </c>
      <c r="Q1744" t="s">
        <v>58</v>
      </c>
      <c r="R1744" s="11" t="str">
        <f>HYPERLINK("\\imagefiles.bcgov\imagery\scanned_maps\moe_terrain_maps\Scanned_T_maps_all\K14\K14-2595","\\imagefiles.bcgov\imagery\scanned_maps\moe_terrain_maps\Scanned_T_maps_all\K14\K14-2595")</f>
        <v>\\imagefiles.bcgov\imagery\scanned_maps\moe_terrain_maps\Scanned_T_maps_all\K14\K14-2595</v>
      </c>
      <c r="S1744" t="s">
        <v>62</v>
      </c>
      <c r="T1744" s="11" t="str">
        <f>HYPERLINK("http://www.env.gov.bc.ca/esd/distdata/ecosystems/TEI_Scanned_Maps/K14/K14-2595","http://www.env.gov.bc.ca/esd/distdata/ecosystems/TEI_Scanned_Maps/K14/K14-2595")</f>
        <v>http://www.env.gov.bc.ca/esd/distdata/ecosystems/TEI_Scanned_Maps/K14/K14-2595</v>
      </c>
      <c r="U1744" t="s">
        <v>2495</v>
      </c>
      <c r="V1744" s="11" t="str">
        <f t="shared" si="126"/>
        <v>http://www.em.gov.bc.ca/mining/geolsurv/terrain&amp;soils/frbcguid.htm</v>
      </c>
      <c r="W1744" t="s">
        <v>269</v>
      </c>
      <c r="X1744" s="11" t="str">
        <f t="shared" si="131"/>
        <v>http://www.library.for.gov.bc.ca/#focus</v>
      </c>
      <c r="Y1744" t="s">
        <v>2500</v>
      </c>
      <c r="Z1744" s="11" t="str">
        <f t="shared" si="132"/>
        <v>http://www.crownpub.bc.ca/</v>
      </c>
      <c r="AA1744" t="s">
        <v>58</v>
      </c>
      <c r="AC1744" t="s">
        <v>58</v>
      </c>
      <c r="AE1744" t="s">
        <v>58</v>
      </c>
      <c r="AG1744" t="s">
        <v>63</v>
      </c>
      <c r="AH1744" s="11" t="str">
        <f t="shared" si="130"/>
        <v>mailto: soilterrain@victoria1.gov.bc.ca</v>
      </c>
    </row>
    <row r="1745" spans="1:34">
      <c r="A1745" t="s">
        <v>4048</v>
      </c>
      <c r="B1745" t="s">
        <v>56</v>
      </c>
      <c r="C1745" s="10" t="s">
        <v>4049</v>
      </c>
      <c r="D1745" t="s">
        <v>58</v>
      </c>
      <c r="E1745" t="s">
        <v>3193</v>
      </c>
      <c r="F1745" t="s">
        <v>4050</v>
      </c>
      <c r="G1745">
        <v>50000</v>
      </c>
      <c r="H1745">
        <v>1988</v>
      </c>
      <c r="I1745" t="s">
        <v>3195</v>
      </c>
      <c r="J1745" t="s">
        <v>58</v>
      </c>
      <c r="K1745" t="s">
        <v>58</v>
      </c>
      <c r="L1745" t="s">
        <v>61</v>
      </c>
      <c r="M1745" t="s">
        <v>58</v>
      </c>
      <c r="Q1745" t="s">
        <v>58</v>
      </c>
      <c r="R1745" s="11" t="str">
        <f>HYPERLINK("\\imagefiles.bcgov\imagery\scanned_maps\moe_terrain_maps\Scanned_T_maps_all\K14\K14-2596","\\imagefiles.bcgov\imagery\scanned_maps\moe_terrain_maps\Scanned_T_maps_all\K14\K14-2596")</f>
        <v>\\imagefiles.bcgov\imagery\scanned_maps\moe_terrain_maps\Scanned_T_maps_all\K14\K14-2596</v>
      </c>
      <c r="S1745" t="s">
        <v>62</v>
      </c>
      <c r="T1745" s="11" t="str">
        <f>HYPERLINK("http://www.env.gov.bc.ca/esd/distdata/ecosystems/TEI_Scanned_Maps/K14/K14-2596","http://www.env.gov.bc.ca/esd/distdata/ecosystems/TEI_Scanned_Maps/K14/K14-2596")</f>
        <v>http://www.env.gov.bc.ca/esd/distdata/ecosystems/TEI_Scanned_Maps/K14/K14-2596</v>
      </c>
      <c r="U1745" t="s">
        <v>2495</v>
      </c>
      <c r="V1745" s="11" t="str">
        <f t="shared" si="126"/>
        <v>http://www.em.gov.bc.ca/mining/geolsurv/terrain&amp;soils/frbcguid.htm</v>
      </c>
      <c r="W1745" t="s">
        <v>269</v>
      </c>
      <c r="X1745" s="11" t="str">
        <f t="shared" si="131"/>
        <v>http://www.library.for.gov.bc.ca/#focus</v>
      </c>
      <c r="Y1745" t="s">
        <v>2500</v>
      </c>
      <c r="Z1745" s="11" t="str">
        <f t="shared" si="132"/>
        <v>http://www.crownpub.bc.ca/</v>
      </c>
      <c r="AA1745" t="s">
        <v>58</v>
      </c>
      <c r="AC1745" t="s">
        <v>58</v>
      </c>
      <c r="AE1745" t="s">
        <v>58</v>
      </c>
      <c r="AG1745" t="s">
        <v>63</v>
      </c>
      <c r="AH1745" s="11" t="str">
        <f t="shared" si="130"/>
        <v>mailto: soilterrain@victoria1.gov.bc.ca</v>
      </c>
    </row>
    <row r="1746" spans="1:34">
      <c r="A1746" t="s">
        <v>4051</v>
      </c>
      <c r="B1746" t="s">
        <v>56</v>
      </c>
      <c r="C1746" s="10" t="s">
        <v>1687</v>
      </c>
      <c r="D1746" t="s">
        <v>58</v>
      </c>
      <c r="E1746" t="s">
        <v>4052</v>
      </c>
      <c r="F1746" t="s">
        <v>4053</v>
      </c>
      <c r="G1746">
        <v>50000</v>
      </c>
      <c r="H1746">
        <v>1986</v>
      </c>
      <c r="I1746" t="s">
        <v>3213</v>
      </c>
      <c r="J1746" t="s">
        <v>58</v>
      </c>
      <c r="K1746" t="s">
        <v>58</v>
      </c>
      <c r="L1746" t="s">
        <v>61</v>
      </c>
      <c r="M1746" t="s">
        <v>58</v>
      </c>
      <c r="Q1746" t="s">
        <v>58</v>
      </c>
      <c r="R1746" s="11" t="str">
        <f>HYPERLINK("\\imagefiles.bcgov\imagery\scanned_maps\moe_terrain_maps\Scanned_T_maps_all\K14\K14-2633","\\imagefiles.bcgov\imagery\scanned_maps\moe_terrain_maps\Scanned_T_maps_all\K14\K14-2633")</f>
        <v>\\imagefiles.bcgov\imagery\scanned_maps\moe_terrain_maps\Scanned_T_maps_all\K14\K14-2633</v>
      </c>
      <c r="S1746" t="s">
        <v>62</v>
      </c>
      <c r="T1746" s="11" t="str">
        <f>HYPERLINK("http://www.env.gov.bc.ca/esd/distdata/ecosystems/TEI_Scanned_Maps/K14/K14-2633","http://www.env.gov.bc.ca/esd/distdata/ecosystems/TEI_Scanned_Maps/K14/K14-2633")</f>
        <v>http://www.env.gov.bc.ca/esd/distdata/ecosystems/TEI_Scanned_Maps/K14/K14-2633</v>
      </c>
      <c r="U1746" t="s">
        <v>58</v>
      </c>
      <c r="V1746" t="s">
        <v>58</v>
      </c>
      <c r="W1746" t="s">
        <v>58</v>
      </c>
      <c r="X1746" t="s">
        <v>58</v>
      </c>
      <c r="Y1746" t="s">
        <v>58</v>
      </c>
      <c r="Z1746" t="s">
        <v>58</v>
      </c>
      <c r="AA1746" t="s">
        <v>58</v>
      </c>
      <c r="AC1746" t="s">
        <v>58</v>
      </c>
      <c r="AE1746" t="s">
        <v>58</v>
      </c>
      <c r="AG1746" t="s">
        <v>63</v>
      </c>
      <c r="AH1746" s="11" t="str">
        <f t="shared" si="130"/>
        <v>mailto: soilterrain@victoria1.gov.bc.ca</v>
      </c>
    </row>
    <row r="1747" spans="1:34">
      <c r="A1747" t="s">
        <v>4054</v>
      </c>
      <c r="B1747" t="s">
        <v>56</v>
      </c>
      <c r="C1747" s="10" t="s">
        <v>324</v>
      </c>
      <c r="D1747" t="s">
        <v>58</v>
      </c>
      <c r="E1747" t="s">
        <v>4052</v>
      </c>
      <c r="F1747" t="s">
        <v>4055</v>
      </c>
      <c r="G1747">
        <v>50000</v>
      </c>
      <c r="H1747">
        <v>1988</v>
      </c>
      <c r="I1747" t="s">
        <v>3213</v>
      </c>
      <c r="J1747" t="s">
        <v>58</v>
      </c>
      <c r="K1747" t="s">
        <v>58</v>
      </c>
      <c r="L1747" t="s">
        <v>61</v>
      </c>
      <c r="M1747" t="s">
        <v>58</v>
      </c>
      <c r="Q1747" t="s">
        <v>58</v>
      </c>
      <c r="R1747" s="11" t="str">
        <f>HYPERLINK("\\imagefiles.bcgov\imagery\scanned_maps\moe_terrain_maps\Scanned_T_maps_all\K14\K14-2636","\\imagefiles.bcgov\imagery\scanned_maps\moe_terrain_maps\Scanned_T_maps_all\K14\K14-2636")</f>
        <v>\\imagefiles.bcgov\imagery\scanned_maps\moe_terrain_maps\Scanned_T_maps_all\K14\K14-2636</v>
      </c>
      <c r="S1747" t="s">
        <v>62</v>
      </c>
      <c r="T1747" s="11" t="str">
        <f>HYPERLINK("http://www.env.gov.bc.ca/esd/distdata/ecosystems/TEI_Scanned_Maps/K14/K14-2636","http://www.env.gov.bc.ca/esd/distdata/ecosystems/TEI_Scanned_Maps/K14/K14-2636")</f>
        <v>http://www.env.gov.bc.ca/esd/distdata/ecosystems/TEI_Scanned_Maps/K14/K14-2636</v>
      </c>
      <c r="U1747" t="s">
        <v>58</v>
      </c>
      <c r="V1747" t="s">
        <v>58</v>
      </c>
      <c r="W1747" t="s">
        <v>58</v>
      </c>
      <c r="X1747" t="s">
        <v>58</v>
      </c>
      <c r="Y1747" t="s">
        <v>58</v>
      </c>
      <c r="Z1747" t="s">
        <v>58</v>
      </c>
      <c r="AA1747" t="s">
        <v>58</v>
      </c>
      <c r="AC1747" t="s">
        <v>58</v>
      </c>
      <c r="AE1747" t="s">
        <v>58</v>
      </c>
      <c r="AG1747" t="s">
        <v>63</v>
      </c>
      <c r="AH1747" s="11" t="str">
        <f t="shared" si="130"/>
        <v>mailto: soilterrain@victoria1.gov.bc.ca</v>
      </c>
    </row>
    <row r="1748" spans="1:34">
      <c r="A1748" t="s">
        <v>4056</v>
      </c>
      <c r="B1748" t="s">
        <v>56</v>
      </c>
      <c r="C1748" s="10" t="s">
        <v>326</v>
      </c>
      <c r="D1748" t="s">
        <v>58</v>
      </c>
      <c r="E1748" t="s">
        <v>3837</v>
      </c>
      <c r="F1748" t="s">
        <v>4057</v>
      </c>
      <c r="G1748">
        <v>50000</v>
      </c>
      <c r="H1748">
        <v>1988</v>
      </c>
      <c r="I1748" t="s">
        <v>3217</v>
      </c>
      <c r="J1748" t="s">
        <v>58</v>
      </c>
      <c r="K1748" t="s">
        <v>58</v>
      </c>
      <c r="L1748" t="s">
        <v>61</v>
      </c>
      <c r="M1748" t="s">
        <v>58</v>
      </c>
      <c r="Q1748" t="s">
        <v>58</v>
      </c>
      <c r="R1748" s="11" t="str">
        <f>HYPERLINK("\\imagefiles.bcgov\imagery\scanned_maps\moe_terrain_maps\Scanned_T_maps_all\K14\K14-2638","\\imagefiles.bcgov\imagery\scanned_maps\moe_terrain_maps\Scanned_T_maps_all\K14\K14-2638")</f>
        <v>\\imagefiles.bcgov\imagery\scanned_maps\moe_terrain_maps\Scanned_T_maps_all\K14\K14-2638</v>
      </c>
      <c r="S1748" t="s">
        <v>62</v>
      </c>
      <c r="T1748" s="11" t="str">
        <f>HYPERLINK("http://www.env.gov.bc.ca/esd/distdata/ecosystems/TEI_Scanned_Maps/K14/K14-2638","http://www.env.gov.bc.ca/esd/distdata/ecosystems/TEI_Scanned_Maps/K14/K14-2638")</f>
        <v>http://www.env.gov.bc.ca/esd/distdata/ecosystems/TEI_Scanned_Maps/K14/K14-2638</v>
      </c>
      <c r="U1748" t="s">
        <v>58</v>
      </c>
      <c r="V1748" t="s">
        <v>58</v>
      </c>
      <c r="W1748" t="s">
        <v>58</v>
      </c>
      <c r="X1748" t="s">
        <v>58</v>
      </c>
      <c r="Y1748" t="s">
        <v>58</v>
      </c>
      <c r="Z1748" t="s">
        <v>58</v>
      </c>
      <c r="AA1748" t="s">
        <v>58</v>
      </c>
      <c r="AC1748" t="s">
        <v>58</v>
      </c>
      <c r="AE1748" t="s">
        <v>58</v>
      </c>
      <c r="AG1748" t="s">
        <v>63</v>
      </c>
      <c r="AH1748" s="11" t="str">
        <f t="shared" si="130"/>
        <v>mailto: soilterrain@victoria1.gov.bc.ca</v>
      </c>
    </row>
    <row r="1749" spans="1:34">
      <c r="A1749" t="s">
        <v>4058</v>
      </c>
      <c r="B1749" t="s">
        <v>56</v>
      </c>
      <c r="C1749" s="10" t="s">
        <v>326</v>
      </c>
      <c r="D1749" t="s">
        <v>58</v>
      </c>
      <c r="E1749" t="s">
        <v>3837</v>
      </c>
      <c r="F1749" t="s">
        <v>4059</v>
      </c>
      <c r="G1749">
        <v>50000</v>
      </c>
      <c r="H1749">
        <v>1987</v>
      </c>
      <c r="I1749" t="s">
        <v>3217</v>
      </c>
      <c r="J1749" t="s">
        <v>58</v>
      </c>
      <c r="K1749" t="s">
        <v>58</v>
      </c>
      <c r="L1749" t="s">
        <v>61</v>
      </c>
      <c r="M1749" t="s">
        <v>58</v>
      </c>
      <c r="Q1749" t="s">
        <v>58</v>
      </c>
      <c r="R1749" s="11" t="str">
        <f>HYPERLINK("\\imagefiles.bcgov\imagery\scanned_maps\moe_terrain_maps\Scanned_T_maps_all\K14\K14-2639","\\imagefiles.bcgov\imagery\scanned_maps\moe_terrain_maps\Scanned_T_maps_all\K14\K14-2639")</f>
        <v>\\imagefiles.bcgov\imagery\scanned_maps\moe_terrain_maps\Scanned_T_maps_all\K14\K14-2639</v>
      </c>
      <c r="S1749" t="s">
        <v>62</v>
      </c>
      <c r="T1749" s="11" t="str">
        <f>HYPERLINK("http://www.env.gov.bc.ca/esd/distdata/ecosystems/TEI_Scanned_Maps/K14/K14-2639","http://www.env.gov.bc.ca/esd/distdata/ecosystems/TEI_Scanned_Maps/K14/K14-2639")</f>
        <v>http://www.env.gov.bc.ca/esd/distdata/ecosystems/TEI_Scanned_Maps/K14/K14-2639</v>
      </c>
      <c r="U1749" t="s">
        <v>58</v>
      </c>
      <c r="V1749" t="s">
        <v>58</v>
      </c>
      <c r="W1749" t="s">
        <v>58</v>
      </c>
      <c r="X1749" t="s">
        <v>58</v>
      </c>
      <c r="Y1749" t="s">
        <v>58</v>
      </c>
      <c r="Z1749" t="s">
        <v>58</v>
      </c>
      <c r="AA1749" t="s">
        <v>58</v>
      </c>
      <c r="AC1749" t="s">
        <v>58</v>
      </c>
      <c r="AE1749" t="s">
        <v>58</v>
      </c>
      <c r="AG1749" t="s">
        <v>63</v>
      </c>
      <c r="AH1749" s="11" t="str">
        <f t="shared" si="130"/>
        <v>mailto: soilterrain@victoria1.gov.bc.ca</v>
      </c>
    </row>
    <row r="1750" spans="1:34">
      <c r="A1750" t="s">
        <v>4060</v>
      </c>
      <c r="B1750" t="s">
        <v>56</v>
      </c>
      <c r="C1750" s="10" t="s">
        <v>1694</v>
      </c>
      <c r="D1750" t="s">
        <v>58</v>
      </c>
      <c r="E1750" t="s">
        <v>3837</v>
      </c>
      <c r="F1750" t="s">
        <v>4061</v>
      </c>
      <c r="G1750">
        <v>50000</v>
      </c>
      <c r="H1750">
        <v>1987</v>
      </c>
      <c r="I1750" t="s">
        <v>3217</v>
      </c>
      <c r="J1750" t="s">
        <v>58</v>
      </c>
      <c r="K1750" t="s">
        <v>58</v>
      </c>
      <c r="L1750" t="s">
        <v>61</v>
      </c>
      <c r="M1750" t="s">
        <v>58</v>
      </c>
      <c r="Q1750" t="s">
        <v>58</v>
      </c>
      <c r="R1750" s="11" t="str">
        <f>HYPERLINK("\\imagefiles.bcgov\imagery\scanned_maps\moe_terrain_maps\Scanned_T_maps_all\K14\K14-2641","\\imagefiles.bcgov\imagery\scanned_maps\moe_terrain_maps\Scanned_T_maps_all\K14\K14-2641")</f>
        <v>\\imagefiles.bcgov\imagery\scanned_maps\moe_terrain_maps\Scanned_T_maps_all\K14\K14-2641</v>
      </c>
      <c r="S1750" t="s">
        <v>62</v>
      </c>
      <c r="T1750" s="11" t="str">
        <f>HYPERLINK("http://www.env.gov.bc.ca/esd/distdata/ecosystems/TEI_Scanned_Maps/K14/K14-2641","http://www.env.gov.bc.ca/esd/distdata/ecosystems/TEI_Scanned_Maps/K14/K14-2641")</f>
        <v>http://www.env.gov.bc.ca/esd/distdata/ecosystems/TEI_Scanned_Maps/K14/K14-2641</v>
      </c>
      <c r="U1750" t="s">
        <v>58</v>
      </c>
      <c r="V1750" t="s">
        <v>58</v>
      </c>
      <c r="W1750" t="s">
        <v>58</v>
      </c>
      <c r="X1750" t="s">
        <v>58</v>
      </c>
      <c r="Y1750" t="s">
        <v>58</v>
      </c>
      <c r="Z1750" t="s">
        <v>58</v>
      </c>
      <c r="AA1750" t="s">
        <v>58</v>
      </c>
      <c r="AC1750" t="s">
        <v>58</v>
      </c>
      <c r="AE1750" t="s">
        <v>58</v>
      </c>
      <c r="AG1750" t="s">
        <v>63</v>
      </c>
      <c r="AH1750" s="11" t="str">
        <f t="shared" si="130"/>
        <v>mailto: soilterrain@victoria1.gov.bc.ca</v>
      </c>
    </row>
    <row r="1751" spans="1:34">
      <c r="A1751" t="s">
        <v>4062</v>
      </c>
      <c r="B1751" t="s">
        <v>56</v>
      </c>
      <c r="C1751" s="10" t="s">
        <v>468</v>
      </c>
      <c r="D1751" t="s">
        <v>58</v>
      </c>
      <c r="E1751" t="s">
        <v>3837</v>
      </c>
      <c r="F1751" t="s">
        <v>4063</v>
      </c>
      <c r="G1751">
        <v>50000</v>
      </c>
      <c r="H1751">
        <v>1986</v>
      </c>
      <c r="I1751" t="s">
        <v>3217</v>
      </c>
      <c r="J1751" t="s">
        <v>58</v>
      </c>
      <c r="K1751" t="s">
        <v>58</v>
      </c>
      <c r="L1751" t="s">
        <v>61</v>
      </c>
      <c r="M1751" t="s">
        <v>58</v>
      </c>
      <c r="Q1751" t="s">
        <v>58</v>
      </c>
      <c r="R1751" s="11" t="str">
        <f>HYPERLINK("\\imagefiles.bcgov\imagery\scanned_maps\moe_terrain_maps\Scanned_T_maps_all\K14\K14-2645","\\imagefiles.bcgov\imagery\scanned_maps\moe_terrain_maps\Scanned_T_maps_all\K14\K14-2645")</f>
        <v>\\imagefiles.bcgov\imagery\scanned_maps\moe_terrain_maps\Scanned_T_maps_all\K14\K14-2645</v>
      </c>
      <c r="S1751" t="s">
        <v>62</v>
      </c>
      <c r="T1751" s="11" t="str">
        <f>HYPERLINK("http://www.env.gov.bc.ca/esd/distdata/ecosystems/TEI_Scanned_Maps/K14/K14-2645","http://www.env.gov.bc.ca/esd/distdata/ecosystems/TEI_Scanned_Maps/K14/K14-2645")</f>
        <v>http://www.env.gov.bc.ca/esd/distdata/ecosystems/TEI_Scanned_Maps/K14/K14-2645</v>
      </c>
      <c r="U1751" t="s">
        <v>58</v>
      </c>
      <c r="V1751" t="s">
        <v>58</v>
      </c>
      <c r="W1751" t="s">
        <v>58</v>
      </c>
      <c r="X1751" t="s">
        <v>58</v>
      </c>
      <c r="Y1751" t="s">
        <v>58</v>
      </c>
      <c r="Z1751" t="s">
        <v>58</v>
      </c>
      <c r="AA1751" t="s">
        <v>58</v>
      </c>
      <c r="AC1751" t="s">
        <v>58</v>
      </c>
      <c r="AE1751" t="s">
        <v>58</v>
      </c>
      <c r="AG1751" t="s">
        <v>63</v>
      </c>
      <c r="AH1751" s="11" t="str">
        <f t="shared" si="130"/>
        <v>mailto: soilterrain@victoria1.gov.bc.ca</v>
      </c>
    </row>
    <row r="1752" spans="1:34">
      <c r="A1752" t="s">
        <v>4064</v>
      </c>
      <c r="B1752" t="s">
        <v>56</v>
      </c>
      <c r="C1752" s="10" t="s">
        <v>1699</v>
      </c>
      <c r="D1752" t="s">
        <v>58</v>
      </c>
      <c r="E1752" t="s">
        <v>3837</v>
      </c>
      <c r="F1752" t="s">
        <v>4065</v>
      </c>
      <c r="G1752">
        <v>50000</v>
      </c>
      <c r="H1752">
        <v>1988</v>
      </c>
      <c r="I1752" t="s">
        <v>3217</v>
      </c>
      <c r="J1752" t="s">
        <v>58</v>
      </c>
      <c r="K1752" t="s">
        <v>58</v>
      </c>
      <c r="L1752" t="s">
        <v>61</v>
      </c>
      <c r="M1752" t="s">
        <v>58</v>
      </c>
      <c r="Q1752" t="s">
        <v>58</v>
      </c>
      <c r="R1752" s="11" t="str">
        <f>HYPERLINK("\\imagefiles.bcgov\imagery\scanned_maps\moe_terrain_maps\Scanned_T_maps_all\K14\K14-2647","\\imagefiles.bcgov\imagery\scanned_maps\moe_terrain_maps\Scanned_T_maps_all\K14\K14-2647")</f>
        <v>\\imagefiles.bcgov\imagery\scanned_maps\moe_terrain_maps\Scanned_T_maps_all\K14\K14-2647</v>
      </c>
      <c r="S1752" t="s">
        <v>62</v>
      </c>
      <c r="T1752" s="11" t="str">
        <f>HYPERLINK("http://www.env.gov.bc.ca/esd/distdata/ecosystems/TEI_Scanned_Maps/K14/K14-2647","http://www.env.gov.bc.ca/esd/distdata/ecosystems/TEI_Scanned_Maps/K14/K14-2647")</f>
        <v>http://www.env.gov.bc.ca/esd/distdata/ecosystems/TEI_Scanned_Maps/K14/K14-2647</v>
      </c>
      <c r="U1752" t="s">
        <v>58</v>
      </c>
      <c r="V1752" t="s">
        <v>58</v>
      </c>
      <c r="W1752" t="s">
        <v>58</v>
      </c>
      <c r="X1752" t="s">
        <v>58</v>
      </c>
      <c r="Y1752" t="s">
        <v>58</v>
      </c>
      <c r="Z1752" t="s">
        <v>58</v>
      </c>
      <c r="AA1752" t="s">
        <v>58</v>
      </c>
      <c r="AC1752" t="s">
        <v>58</v>
      </c>
      <c r="AE1752" t="s">
        <v>58</v>
      </c>
      <c r="AG1752" t="s">
        <v>63</v>
      </c>
      <c r="AH1752" s="11" t="str">
        <f t="shared" si="130"/>
        <v>mailto: soilterrain@victoria1.gov.bc.ca</v>
      </c>
    </row>
    <row r="1753" spans="1:34">
      <c r="A1753" t="s">
        <v>4066</v>
      </c>
      <c r="B1753" t="s">
        <v>56</v>
      </c>
      <c r="C1753" s="10" t="s">
        <v>1699</v>
      </c>
      <c r="D1753" t="s">
        <v>58</v>
      </c>
      <c r="E1753" t="s">
        <v>3837</v>
      </c>
      <c r="F1753" t="s">
        <v>4067</v>
      </c>
      <c r="G1753">
        <v>50000</v>
      </c>
      <c r="H1753">
        <v>1987</v>
      </c>
      <c r="I1753" t="s">
        <v>3217</v>
      </c>
      <c r="J1753" t="s">
        <v>58</v>
      </c>
      <c r="K1753" t="s">
        <v>58</v>
      </c>
      <c r="L1753" t="s">
        <v>61</v>
      </c>
      <c r="M1753" t="s">
        <v>58</v>
      </c>
      <c r="Q1753" t="s">
        <v>58</v>
      </c>
      <c r="R1753" s="11" t="str">
        <f>HYPERLINK("\\imagefiles.bcgov\imagery\scanned_maps\moe_terrain_maps\Scanned_T_maps_all\K14\K14-2648","\\imagefiles.bcgov\imagery\scanned_maps\moe_terrain_maps\Scanned_T_maps_all\K14\K14-2648")</f>
        <v>\\imagefiles.bcgov\imagery\scanned_maps\moe_terrain_maps\Scanned_T_maps_all\K14\K14-2648</v>
      </c>
      <c r="S1753" t="s">
        <v>62</v>
      </c>
      <c r="T1753" s="11" t="str">
        <f>HYPERLINK("http://www.env.gov.bc.ca/esd/distdata/ecosystems/TEI_Scanned_Maps/K14/K14-2648","http://www.env.gov.bc.ca/esd/distdata/ecosystems/TEI_Scanned_Maps/K14/K14-2648")</f>
        <v>http://www.env.gov.bc.ca/esd/distdata/ecosystems/TEI_Scanned_Maps/K14/K14-2648</v>
      </c>
      <c r="U1753" t="s">
        <v>58</v>
      </c>
      <c r="V1753" t="s">
        <v>58</v>
      </c>
      <c r="W1753" t="s">
        <v>58</v>
      </c>
      <c r="X1753" t="s">
        <v>58</v>
      </c>
      <c r="Y1753" t="s">
        <v>58</v>
      </c>
      <c r="Z1753" t="s">
        <v>58</v>
      </c>
      <c r="AA1753" t="s">
        <v>58</v>
      </c>
      <c r="AC1753" t="s">
        <v>58</v>
      </c>
      <c r="AE1753" t="s">
        <v>58</v>
      </c>
      <c r="AG1753" t="s">
        <v>63</v>
      </c>
      <c r="AH1753" s="11" t="str">
        <f t="shared" si="130"/>
        <v>mailto: soilterrain@victoria1.gov.bc.ca</v>
      </c>
    </row>
    <row r="1754" spans="1:34">
      <c r="A1754" t="s">
        <v>4068</v>
      </c>
      <c r="B1754" t="s">
        <v>56</v>
      </c>
      <c r="C1754" s="10" t="s">
        <v>684</v>
      </c>
      <c r="D1754" t="s">
        <v>58</v>
      </c>
      <c r="E1754" t="s">
        <v>4052</v>
      </c>
      <c r="F1754" t="s">
        <v>4069</v>
      </c>
      <c r="G1754">
        <v>50000</v>
      </c>
      <c r="H1754">
        <v>1987</v>
      </c>
      <c r="I1754" t="s">
        <v>3213</v>
      </c>
      <c r="J1754" t="s">
        <v>58</v>
      </c>
      <c r="K1754" t="s">
        <v>58</v>
      </c>
      <c r="L1754" t="s">
        <v>61</v>
      </c>
      <c r="M1754" t="s">
        <v>58</v>
      </c>
      <c r="Q1754" t="s">
        <v>58</v>
      </c>
      <c r="R1754" s="11" t="str">
        <f>HYPERLINK("\\imagefiles.bcgov\imagery\scanned_maps\moe_terrain_maps\Scanned_T_maps_all\K14\K14-2650","\\imagefiles.bcgov\imagery\scanned_maps\moe_terrain_maps\Scanned_T_maps_all\K14\K14-2650")</f>
        <v>\\imagefiles.bcgov\imagery\scanned_maps\moe_terrain_maps\Scanned_T_maps_all\K14\K14-2650</v>
      </c>
      <c r="S1754" t="s">
        <v>62</v>
      </c>
      <c r="T1754" s="11" t="str">
        <f>HYPERLINK("http://www.env.gov.bc.ca/esd/distdata/ecosystems/TEI_Scanned_Maps/K14/K14-2650","http://www.env.gov.bc.ca/esd/distdata/ecosystems/TEI_Scanned_Maps/K14/K14-2650")</f>
        <v>http://www.env.gov.bc.ca/esd/distdata/ecosystems/TEI_Scanned_Maps/K14/K14-2650</v>
      </c>
      <c r="U1754" t="s">
        <v>58</v>
      </c>
      <c r="V1754" t="s">
        <v>58</v>
      </c>
      <c r="W1754" t="s">
        <v>58</v>
      </c>
      <c r="X1754" t="s">
        <v>58</v>
      </c>
      <c r="Y1754" t="s">
        <v>58</v>
      </c>
      <c r="Z1754" t="s">
        <v>58</v>
      </c>
      <c r="AA1754" t="s">
        <v>58</v>
      </c>
      <c r="AC1754" t="s">
        <v>58</v>
      </c>
      <c r="AE1754" t="s">
        <v>58</v>
      </c>
      <c r="AG1754" t="s">
        <v>63</v>
      </c>
      <c r="AH1754" s="11" t="str">
        <f t="shared" si="130"/>
        <v>mailto: soilterrain@victoria1.gov.bc.ca</v>
      </c>
    </row>
    <row r="1755" spans="1:34">
      <c r="A1755" t="s">
        <v>4070</v>
      </c>
      <c r="B1755" t="s">
        <v>56</v>
      </c>
      <c r="C1755" s="10" t="s">
        <v>1704</v>
      </c>
      <c r="D1755" t="s">
        <v>58</v>
      </c>
      <c r="E1755" t="s">
        <v>4052</v>
      </c>
      <c r="F1755" t="s">
        <v>4071</v>
      </c>
      <c r="G1755">
        <v>50000</v>
      </c>
      <c r="H1755">
        <v>1987</v>
      </c>
      <c r="I1755" t="s">
        <v>3213</v>
      </c>
      <c r="J1755" t="s">
        <v>58</v>
      </c>
      <c r="K1755" t="s">
        <v>58</v>
      </c>
      <c r="L1755" t="s">
        <v>61</v>
      </c>
      <c r="M1755" t="s">
        <v>58</v>
      </c>
      <c r="Q1755" t="s">
        <v>58</v>
      </c>
      <c r="R1755" s="11" t="str">
        <f>HYPERLINK("\\imagefiles.bcgov\imagery\scanned_maps\moe_terrain_maps\Scanned_T_maps_all\K14\K14-2653","\\imagefiles.bcgov\imagery\scanned_maps\moe_terrain_maps\Scanned_T_maps_all\K14\K14-2653")</f>
        <v>\\imagefiles.bcgov\imagery\scanned_maps\moe_terrain_maps\Scanned_T_maps_all\K14\K14-2653</v>
      </c>
      <c r="S1755" t="s">
        <v>62</v>
      </c>
      <c r="T1755" s="11" t="str">
        <f>HYPERLINK("http://www.env.gov.bc.ca/esd/distdata/ecosystems/TEI_Scanned_Maps/K14/K14-2653","http://www.env.gov.bc.ca/esd/distdata/ecosystems/TEI_Scanned_Maps/K14/K14-2653")</f>
        <v>http://www.env.gov.bc.ca/esd/distdata/ecosystems/TEI_Scanned_Maps/K14/K14-2653</v>
      </c>
      <c r="U1755" t="s">
        <v>58</v>
      </c>
      <c r="V1755" t="s">
        <v>58</v>
      </c>
      <c r="W1755" t="s">
        <v>58</v>
      </c>
      <c r="X1755" t="s">
        <v>58</v>
      </c>
      <c r="Y1755" t="s">
        <v>58</v>
      </c>
      <c r="Z1755" t="s">
        <v>58</v>
      </c>
      <c r="AA1755" t="s">
        <v>58</v>
      </c>
      <c r="AC1755" t="s">
        <v>58</v>
      </c>
      <c r="AE1755" t="s">
        <v>58</v>
      </c>
      <c r="AG1755" t="s">
        <v>63</v>
      </c>
      <c r="AH1755" s="11" t="str">
        <f t="shared" si="130"/>
        <v>mailto: soilterrain@victoria1.gov.bc.ca</v>
      </c>
    </row>
    <row r="1756" spans="1:34">
      <c r="A1756" t="s">
        <v>4072</v>
      </c>
      <c r="B1756" t="s">
        <v>56</v>
      </c>
      <c r="C1756" s="10" t="s">
        <v>951</v>
      </c>
      <c r="D1756" t="s">
        <v>58</v>
      </c>
      <c r="E1756" t="s">
        <v>3205</v>
      </c>
      <c r="F1756" t="s">
        <v>4073</v>
      </c>
      <c r="G1756">
        <v>50000</v>
      </c>
      <c r="H1756">
        <v>1986</v>
      </c>
      <c r="I1756" t="s">
        <v>3207</v>
      </c>
      <c r="J1756" t="s">
        <v>58</v>
      </c>
      <c r="K1756" t="s">
        <v>61</v>
      </c>
      <c r="L1756" t="s">
        <v>61</v>
      </c>
      <c r="M1756" t="s">
        <v>58</v>
      </c>
      <c r="Q1756" t="s">
        <v>58</v>
      </c>
      <c r="R1756" s="11" t="str">
        <f>HYPERLINK("\\imagefiles.bcgov\imagery\scanned_maps\moe_terrain_maps\Scanned_T_maps_all\K14\K14-2655","\\imagefiles.bcgov\imagery\scanned_maps\moe_terrain_maps\Scanned_T_maps_all\K14\K14-2655")</f>
        <v>\\imagefiles.bcgov\imagery\scanned_maps\moe_terrain_maps\Scanned_T_maps_all\K14\K14-2655</v>
      </c>
      <c r="S1756" t="s">
        <v>62</v>
      </c>
      <c r="T1756" s="11" t="str">
        <f>HYPERLINK("http://www.env.gov.bc.ca/esd/distdata/ecosystems/TEI_Scanned_Maps/K14/K14-2655","http://www.env.gov.bc.ca/esd/distdata/ecosystems/TEI_Scanned_Maps/K14/K14-2655")</f>
        <v>http://www.env.gov.bc.ca/esd/distdata/ecosystems/TEI_Scanned_Maps/K14/K14-2655</v>
      </c>
      <c r="U1756" t="s">
        <v>2487</v>
      </c>
      <c r="V1756" s="11" t="str">
        <f>HYPERLINK("http://res.agr.ca/cansis/publications/surveys/bc/","http://res.agr.ca/cansis/publications/surveys/bc/")</f>
        <v>http://res.agr.ca/cansis/publications/surveys/bc/</v>
      </c>
      <c r="W1756" t="s">
        <v>2488</v>
      </c>
      <c r="X1756" s="11" t="str">
        <f>HYPERLINK("http://res.agr.ca/cansis/publications/surveys/bc/","http://res.agr.ca/cansis/publications/surveys/bc/")</f>
        <v>http://res.agr.ca/cansis/publications/surveys/bc/</v>
      </c>
      <c r="Y1756" t="s">
        <v>2495</v>
      </c>
      <c r="Z1756" s="11" t="str">
        <f>HYPERLINK("http://www.em.gov.bc.ca/mining/geolsurv/terrain&amp;soils/frbcguid.htm","http://www.em.gov.bc.ca/mining/geolsurv/terrain&amp;soils/frbcguid.htm")</f>
        <v>http://www.em.gov.bc.ca/mining/geolsurv/terrain&amp;soils/frbcguid.htm</v>
      </c>
      <c r="AA1756" t="s">
        <v>2489</v>
      </c>
      <c r="AB1756" s="11" t="str">
        <f>HYPERLINK("http://www.em.gov.bc.ca/mining/geolsurv/terrain&amp;soils/frbcguid.htm","http://www.em.gov.bc.ca/mining/geolsurv/terrain&amp;soils/frbcguid.htm")</f>
        <v>http://www.em.gov.bc.ca/mining/geolsurv/terrain&amp;soils/frbcguid.htm</v>
      </c>
      <c r="AC1756" t="s">
        <v>3042</v>
      </c>
      <c r="AD1756" s="11" t="str">
        <f>HYPERLINK("http://res.agr.ca/cansis/publications/surveys/bc/","http://res.agr.ca/cansis/publications/surveys/bc/")</f>
        <v>http://res.agr.ca/cansis/publications/surveys/bc/</v>
      </c>
      <c r="AE1756" t="s">
        <v>269</v>
      </c>
      <c r="AF1756" s="11" t="str">
        <f>HYPERLINK("http://www.library.for.gov.bc.ca/#focus","http://www.library.for.gov.bc.ca/#focus")</f>
        <v>http://www.library.for.gov.bc.ca/#focus</v>
      </c>
      <c r="AG1756" t="s">
        <v>63</v>
      </c>
      <c r="AH1756" s="11" t="str">
        <f t="shared" si="130"/>
        <v>mailto: soilterrain@victoria1.gov.bc.ca</v>
      </c>
    </row>
    <row r="1757" spans="1:34">
      <c r="A1757" t="s">
        <v>4074</v>
      </c>
      <c r="B1757" t="s">
        <v>56</v>
      </c>
      <c r="C1757" s="10" t="s">
        <v>954</v>
      </c>
      <c r="D1757" t="s">
        <v>58</v>
      </c>
      <c r="E1757" t="s">
        <v>3205</v>
      </c>
      <c r="F1757" t="s">
        <v>4075</v>
      </c>
      <c r="G1757">
        <v>50000</v>
      </c>
      <c r="H1757">
        <v>1987</v>
      </c>
      <c r="I1757" t="s">
        <v>3207</v>
      </c>
      <c r="J1757" t="s">
        <v>58</v>
      </c>
      <c r="K1757" t="s">
        <v>61</v>
      </c>
      <c r="L1757" t="s">
        <v>61</v>
      </c>
      <c r="M1757" t="s">
        <v>58</v>
      </c>
      <c r="Q1757" t="s">
        <v>58</v>
      </c>
      <c r="R1757" s="11" t="str">
        <f>HYPERLINK("\\imagefiles.bcgov\imagery\scanned_maps\moe_terrain_maps\Scanned_T_maps_all\K14\K14-2657","\\imagefiles.bcgov\imagery\scanned_maps\moe_terrain_maps\Scanned_T_maps_all\K14\K14-2657")</f>
        <v>\\imagefiles.bcgov\imagery\scanned_maps\moe_terrain_maps\Scanned_T_maps_all\K14\K14-2657</v>
      </c>
      <c r="S1757" t="s">
        <v>62</v>
      </c>
      <c r="T1757" s="11" t="str">
        <f>HYPERLINK("http://www.env.gov.bc.ca/esd/distdata/ecosystems/TEI_Scanned_Maps/K14/K14-2657","http://www.env.gov.bc.ca/esd/distdata/ecosystems/TEI_Scanned_Maps/K14/K14-2657")</f>
        <v>http://www.env.gov.bc.ca/esd/distdata/ecosystems/TEI_Scanned_Maps/K14/K14-2657</v>
      </c>
      <c r="U1757" t="s">
        <v>2487</v>
      </c>
      <c r="V1757" s="11" t="str">
        <f>HYPERLINK("http://res.agr.ca/cansis/publications/surveys/bc/","http://res.agr.ca/cansis/publications/surveys/bc/")</f>
        <v>http://res.agr.ca/cansis/publications/surveys/bc/</v>
      </c>
      <c r="W1757" t="s">
        <v>2488</v>
      </c>
      <c r="X1757" s="11" t="str">
        <f>HYPERLINK("http://res.agr.ca/cansis/publications/surveys/bc/","http://res.agr.ca/cansis/publications/surveys/bc/")</f>
        <v>http://res.agr.ca/cansis/publications/surveys/bc/</v>
      </c>
      <c r="Y1757" t="s">
        <v>2495</v>
      </c>
      <c r="Z1757" s="11" t="str">
        <f>HYPERLINK("http://www.em.gov.bc.ca/mining/geolsurv/terrain&amp;soils/frbcguid.htm","http://www.em.gov.bc.ca/mining/geolsurv/terrain&amp;soils/frbcguid.htm")</f>
        <v>http://www.em.gov.bc.ca/mining/geolsurv/terrain&amp;soils/frbcguid.htm</v>
      </c>
      <c r="AA1757" t="s">
        <v>2489</v>
      </c>
      <c r="AB1757" s="11" t="str">
        <f>HYPERLINK("http://www.em.gov.bc.ca/mining/geolsurv/terrain&amp;soils/frbcguid.htm","http://www.em.gov.bc.ca/mining/geolsurv/terrain&amp;soils/frbcguid.htm")</f>
        <v>http://www.em.gov.bc.ca/mining/geolsurv/terrain&amp;soils/frbcguid.htm</v>
      </c>
      <c r="AC1757" t="s">
        <v>3042</v>
      </c>
      <c r="AD1757" s="11" t="str">
        <f>HYPERLINK("http://res.agr.ca/cansis/publications/surveys/bc/","http://res.agr.ca/cansis/publications/surveys/bc/")</f>
        <v>http://res.agr.ca/cansis/publications/surveys/bc/</v>
      </c>
      <c r="AE1757" t="s">
        <v>269</v>
      </c>
      <c r="AF1757" s="11" t="str">
        <f>HYPERLINK("http://www.library.for.gov.bc.ca/#focus","http://www.library.for.gov.bc.ca/#focus")</f>
        <v>http://www.library.for.gov.bc.ca/#focus</v>
      </c>
      <c r="AG1757" t="s">
        <v>63</v>
      </c>
      <c r="AH1757" s="11" t="str">
        <f t="shared" si="130"/>
        <v>mailto: soilterrain@victoria1.gov.bc.ca</v>
      </c>
    </row>
    <row r="1758" spans="1:34">
      <c r="A1758" t="s">
        <v>4076</v>
      </c>
      <c r="B1758" t="s">
        <v>56</v>
      </c>
      <c r="C1758" s="10" t="s">
        <v>954</v>
      </c>
      <c r="D1758" t="s">
        <v>58</v>
      </c>
      <c r="E1758" t="s">
        <v>3837</v>
      </c>
      <c r="F1758" t="s">
        <v>4077</v>
      </c>
      <c r="G1758">
        <v>50000</v>
      </c>
      <c r="H1758">
        <v>1988</v>
      </c>
      <c r="I1758" t="s">
        <v>3217</v>
      </c>
      <c r="J1758" t="s">
        <v>58</v>
      </c>
      <c r="K1758" t="s">
        <v>58</v>
      </c>
      <c r="L1758" t="s">
        <v>61</v>
      </c>
      <c r="M1758" t="s">
        <v>58</v>
      </c>
      <c r="Q1758" t="s">
        <v>58</v>
      </c>
      <c r="R1758" s="11" t="str">
        <f>HYPERLINK("\\imagefiles.bcgov\imagery\scanned_maps\moe_terrain_maps\Scanned_T_maps_all\K14\K14-2658","\\imagefiles.bcgov\imagery\scanned_maps\moe_terrain_maps\Scanned_T_maps_all\K14\K14-2658")</f>
        <v>\\imagefiles.bcgov\imagery\scanned_maps\moe_terrain_maps\Scanned_T_maps_all\K14\K14-2658</v>
      </c>
      <c r="S1758" t="s">
        <v>62</v>
      </c>
      <c r="T1758" s="11" t="str">
        <f>HYPERLINK("http://www.env.gov.bc.ca/esd/distdata/ecosystems/TEI_Scanned_Maps/K14/K14-2658","http://www.env.gov.bc.ca/esd/distdata/ecosystems/TEI_Scanned_Maps/K14/K14-2658")</f>
        <v>http://www.env.gov.bc.ca/esd/distdata/ecosystems/TEI_Scanned_Maps/K14/K14-2658</v>
      </c>
      <c r="U1758" t="s">
        <v>58</v>
      </c>
      <c r="V1758" t="s">
        <v>58</v>
      </c>
      <c r="W1758" t="s">
        <v>58</v>
      </c>
      <c r="X1758" t="s">
        <v>58</v>
      </c>
      <c r="Y1758" t="s">
        <v>58</v>
      </c>
      <c r="Z1758" t="s">
        <v>58</v>
      </c>
      <c r="AA1758" t="s">
        <v>58</v>
      </c>
      <c r="AC1758" t="s">
        <v>58</v>
      </c>
      <c r="AE1758" t="s">
        <v>58</v>
      </c>
      <c r="AG1758" t="s">
        <v>63</v>
      </c>
      <c r="AH1758" s="11" t="str">
        <f t="shared" si="130"/>
        <v>mailto: soilterrain@victoria1.gov.bc.ca</v>
      </c>
    </row>
    <row r="1759" spans="1:34">
      <c r="A1759" t="s">
        <v>4078</v>
      </c>
      <c r="B1759" t="s">
        <v>56</v>
      </c>
      <c r="C1759" s="10" t="s">
        <v>1711</v>
      </c>
      <c r="D1759" t="s">
        <v>58</v>
      </c>
      <c r="E1759" t="s">
        <v>3205</v>
      </c>
      <c r="F1759" t="s">
        <v>4079</v>
      </c>
      <c r="G1759">
        <v>50000</v>
      </c>
      <c r="H1759">
        <v>1988</v>
      </c>
      <c r="I1759" t="s">
        <v>3207</v>
      </c>
      <c r="J1759" t="s">
        <v>58</v>
      </c>
      <c r="K1759" t="s">
        <v>61</v>
      </c>
      <c r="L1759" t="s">
        <v>61</v>
      </c>
      <c r="M1759" t="s">
        <v>58</v>
      </c>
      <c r="Q1759" t="s">
        <v>58</v>
      </c>
      <c r="R1759" s="11" t="str">
        <f>HYPERLINK("\\imagefiles.bcgov\imagery\scanned_maps\moe_terrain_maps\Scanned_T_maps_all\K14\K14-2660","\\imagefiles.bcgov\imagery\scanned_maps\moe_terrain_maps\Scanned_T_maps_all\K14\K14-2660")</f>
        <v>\\imagefiles.bcgov\imagery\scanned_maps\moe_terrain_maps\Scanned_T_maps_all\K14\K14-2660</v>
      </c>
      <c r="S1759" t="s">
        <v>62</v>
      </c>
      <c r="T1759" s="11" t="str">
        <f>HYPERLINK("http://www.env.gov.bc.ca/esd/distdata/ecosystems/TEI_Scanned_Maps/K14/K14-2660","http://www.env.gov.bc.ca/esd/distdata/ecosystems/TEI_Scanned_Maps/K14/K14-2660")</f>
        <v>http://www.env.gov.bc.ca/esd/distdata/ecosystems/TEI_Scanned_Maps/K14/K14-2660</v>
      </c>
      <c r="U1759" t="s">
        <v>2487</v>
      </c>
      <c r="V1759" s="11" t="str">
        <f>HYPERLINK("http://res.agr.ca/cansis/publications/surveys/bc/","http://res.agr.ca/cansis/publications/surveys/bc/")</f>
        <v>http://res.agr.ca/cansis/publications/surveys/bc/</v>
      </c>
      <c r="W1759" t="s">
        <v>2488</v>
      </c>
      <c r="X1759" s="11" t="str">
        <f>HYPERLINK("http://res.agr.ca/cansis/publications/surveys/bc/","http://res.agr.ca/cansis/publications/surveys/bc/")</f>
        <v>http://res.agr.ca/cansis/publications/surveys/bc/</v>
      </c>
      <c r="Y1759" t="s">
        <v>2495</v>
      </c>
      <c r="Z1759" s="11" t="str">
        <f>HYPERLINK("http://www.em.gov.bc.ca/mining/geolsurv/terrain&amp;soils/frbcguid.htm","http://www.em.gov.bc.ca/mining/geolsurv/terrain&amp;soils/frbcguid.htm")</f>
        <v>http://www.em.gov.bc.ca/mining/geolsurv/terrain&amp;soils/frbcguid.htm</v>
      </c>
      <c r="AA1759" t="s">
        <v>2489</v>
      </c>
      <c r="AB1759" s="11" t="str">
        <f>HYPERLINK("http://www.em.gov.bc.ca/mining/geolsurv/terrain&amp;soils/frbcguid.htm","http://www.em.gov.bc.ca/mining/geolsurv/terrain&amp;soils/frbcguid.htm")</f>
        <v>http://www.em.gov.bc.ca/mining/geolsurv/terrain&amp;soils/frbcguid.htm</v>
      </c>
      <c r="AC1759" t="s">
        <v>3042</v>
      </c>
      <c r="AD1759" s="11" t="str">
        <f>HYPERLINK("http://res.agr.ca/cansis/publications/surveys/bc/","http://res.agr.ca/cansis/publications/surveys/bc/")</f>
        <v>http://res.agr.ca/cansis/publications/surveys/bc/</v>
      </c>
      <c r="AE1759" t="s">
        <v>269</v>
      </c>
      <c r="AF1759" s="11" t="str">
        <f>HYPERLINK("http://www.library.for.gov.bc.ca/#focus","http://www.library.for.gov.bc.ca/#focus")</f>
        <v>http://www.library.for.gov.bc.ca/#focus</v>
      </c>
      <c r="AG1759" t="s">
        <v>63</v>
      </c>
      <c r="AH1759" s="11" t="str">
        <f t="shared" si="130"/>
        <v>mailto: soilterrain@victoria1.gov.bc.ca</v>
      </c>
    </row>
    <row r="1760" spans="1:34">
      <c r="A1760" t="s">
        <v>4080</v>
      </c>
      <c r="B1760" t="s">
        <v>56</v>
      </c>
      <c r="C1760" s="10" t="s">
        <v>465</v>
      </c>
      <c r="D1760" t="s">
        <v>58</v>
      </c>
      <c r="E1760" t="s">
        <v>3205</v>
      </c>
      <c r="F1760" t="s">
        <v>4081</v>
      </c>
      <c r="G1760">
        <v>50000</v>
      </c>
      <c r="H1760">
        <v>1987</v>
      </c>
      <c r="I1760" t="s">
        <v>3207</v>
      </c>
      <c r="J1760" t="s">
        <v>58</v>
      </c>
      <c r="K1760" t="s">
        <v>61</v>
      </c>
      <c r="L1760" t="s">
        <v>61</v>
      </c>
      <c r="M1760" t="s">
        <v>58</v>
      </c>
      <c r="Q1760" t="s">
        <v>58</v>
      </c>
      <c r="R1760" s="11" t="str">
        <f>HYPERLINK("\\imagefiles.bcgov\imagery\scanned_maps\moe_terrain_maps\Scanned_T_maps_all\K14\K14-2662","\\imagefiles.bcgov\imagery\scanned_maps\moe_terrain_maps\Scanned_T_maps_all\K14\K14-2662")</f>
        <v>\\imagefiles.bcgov\imagery\scanned_maps\moe_terrain_maps\Scanned_T_maps_all\K14\K14-2662</v>
      </c>
      <c r="S1760" t="s">
        <v>62</v>
      </c>
      <c r="T1760" s="11" t="str">
        <f>HYPERLINK("http://www.env.gov.bc.ca/esd/distdata/ecosystems/TEI_Scanned_Maps/K14/K14-2662","http://www.env.gov.bc.ca/esd/distdata/ecosystems/TEI_Scanned_Maps/K14/K14-2662")</f>
        <v>http://www.env.gov.bc.ca/esd/distdata/ecosystems/TEI_Scanned_Maps/K14/K14-2662</v>
      </c>
      <c r="U1760" t="s">
        <v>2487</v>
      </c>
      <c r="V1760" s="11" t="str">
        <f>HYPERLINK("http://res.agr.ca/cansis/publications/surveys/bc/","http://res.agr.ca/cansis/publications/surveys/bc/")</f>
        <v>http://res.agr.ca/cansis/publications/surveys/bc/</v>
      </c>
      <c r="W1760" t="s">
        <v>2488</v>
      </c>
      <c r="X1760" s="11" t="str">
        <f>HYPERLINK("http://res.agr.ca/cansis/publications/surveys/bc/","http://res.agr.ca/cansis/publications/surveys/bc/")</f>
        <v>http://res.agr.ca/cansis/publications/surveys/bc/</v>
      </c>
      <c r="Y1760" t="s">
        <v>2495</v>
      </c>
      <c r="Z1760" s="11" t="str">
        <f>HYPERLINK("http://www.em.gov.bc.ca/mining/geolsurv/terrain&amp;soils/frbcguid.htm","http://www.em.gov.bc.ca/mining/geolsurv/terrain&amp;soils/frbcguid.htm")</f>
        <v>http://www.em.gov.bc.ca/mining/geolsurv/terrain&amp;soils/frbcguid.htm</v>
      </c>
      <c r="AA1760" t="s">
        <v>2489</v>
      </c>
      <c r="AB1760" s="11" t="str">
        <f>HYPERLINK("http://www.em.gov.bc.ca/mining/geolsurv/terrain&amp;soils/frbcguid.htm","http://www.em.gov.bc.ca/mining/geolsurv/terrain&amp;soils/frbcguid.htm")</f>
        <v>http://www.em.gov.bc.ca/mining/geolsurv/terrain&amp;soils/frbcguid.htm</v>
      </c>
      <c r="AC1760" t="s">
        <v>3042</v>
      </c>
      <c r="AD1760" s="11" t="str">
        <f>HYPERLINK("http://res.agr.ca/cansis/publications/surveys/bc/","http://res.agr.ca/cansis/publications/surveys/bc/")</f>
        <v>http://res.agr.ca/cansis/publications/surveys/bc/</v>
      </c>
      <c r="AE1760" t="s">
        <v>269</v>
      </c>
      <c r="AF1760" s="11" t="str">
        <f>HYPERLINK("http://www.library.for.gov.bc.ca/#focus","http://www.library.for.gov.bc.ca/#focus")</f>
        <v>http://www.library.for.gov.bc.ca/#focus</v>
      </c>
      <c r="AG1760" t="s">
        <v>63</v>
      </c>
      <c r="AH1760" s="11" t="str">
        <f t="shared" si="130"/>
        <v>mailto: soilterrain@victoria1.gov.bc.ca</v>
      </c>
    </row>
    <row r="1761" spans="1:34">
      <c r="A1761" t="s">
        <v>4082</v>
      </c>
      <c r="B1761" t="s">
        <v>56</v>
      </c>
      <c r="C1761" s="10" t="s">
        <v>465</v>
      </c>
      <c r="D1761" t="s">
        <v>58</v>
      </c>
      <c r="E1761" t="s">
        <v>3837</v>
      </c>
      <c r="F1761" t="s">
        <v>4083</v>
      </c>
      <c r="G1761">
        <v>50000</v>
      </c>
      <c r="H1761">
        <v>1987</v>
      </c>
      <c r="I1761" t="s">
        <v>3217</v>
      </c>
      <c r="J1761" t="s">
        <v>58</v>
      </c>
      <c r="K1761" t="s">
        <v>58</v>
      </c>
      <c r="L1761" t="s">
        <v>61</v>
      </c>
      <c r="M1761" t="s">
        <v>58</v>
      </c>
      <c r="Q1761" t="s">
        <v>58</v>
      </c>
      <c r="R1761" s="11" t="str">
        <f>HYPERLINK("\\imagefiles.bcgov\imagery\scanned_maps\moe_terrain_maps\Scanned_T_maps_all\K14\K14-2663","\\imagefiles.bcgov\imagery\scanned_maps\moe_terrain_maps\Scanned_T_maps_all\K14\K14-2663")</f>
        <v>\\imagefiles.bcgov\imagery\scanned_maps\moe_terrain_maps\Scanned_T_maps_all\K14\K14-2663</v>
      </c>
      <c r="S1761" t="s">
        <v>62</v>
      </c>
      <c r="T1761" s="11" t="str">
        <f>HYPERLINK("http://www.env.gov.bc.ca/esd/distdata/ecosystems/TEI_Scanned_Maps/K14/K14-2663","http://www.env.gov.bc.ca/esd/distdata/ecosystems/TEI_Scanned_Maps/K14/K14-2663")</f>
        <v>http://www.env.gov.bc.ca/esd/distdata/ecosystems/TEI_Scanned_Maps/K14/K14-2663</v>
      </c>
      <c r="U1761" t="s">
        <v>58</v>
      </c>
      <c r="V1761" t="s">
        <v>58</v>
      </c>
      <c r="W1761" t="s">
        <v>58</v>
      </c>
      <c r="X1761" t="s">
        <v>58</v>
      </c>
      <c r="Y1761" t="s">
        <v>58</v>
      </c>
      <c r="Z1761" t="s">
        <v>58</v>
      </c>
      <c r="AA1761" t="s">
        <v>58</v>
      </c>
      <c r="AC1761" t="s">
        <v>58</v>
      </c>
      <c r="AE1761" t="s">
        <v>58</v>
      </c>
      <c r="AG1761" t="s">
        <v>63</v>
      </c>
      <c r="AH1761" s="11" t="str">
        <f t="shared" si="130"/>
        <v>mailto: soilterrain@victoria1.gov.bc.ca</v>
      </c>
    </row>
    <row r="1762" spans="1:34">
      <c r="A1762" t="s">
        <v>4084</v>
      </c>
      <c r="B1762" t="s">
        <v>56</v>
      </c>
      <c r="C1762" s="10" t="s">
        <v>1716</v>
      </c>
      <c r="D1762" t="s">
        <v>58</v>
      </c>
      <c r="E1762" t="s">
        <v>3205</v>
      </c>
      <c r="F1762" t="s">
        <v>4085</v>
      </c>
      <c r="G1762">
        <v>50000</v>
      </c>
      <c r="H1762">
        <v>1987</v>
      </c>
      <c r="I1762" t="s">
        <v>3207</v>
      </c>
      <c r="J1762" t="s">
        <v>58</v>
      </c>
      <c r="K1762" t="s">
        <v>61</v>
      </c>
      <c r="L1762" t="s">
        <v>61</v>
      </c>
      <c r="M1762" t="s">
        <v>58</v>
      </c>
      <c r="Q1762" t="s">
        <v>58</v>
      </c>
      <c r="R1762" s="11" t="str">
        <f>HYPERLINK("\\imagefiles.bcgov\imagery\scanned_maps\moe_terrain_maps\Scanned_T_maps_all\K14\K14-2665","\\imagefiles.bcgov\imagery\scanned_maps\moe_terrain_maps\Scanned_T_maps_all\K14\K14-2665")</f>
        <v>\\imagefiles.bcgov\imagery\scanned_maps\moe_terrain_maps\Scanned_T_maps_all\K14\K14-2665</v>
      </c>
      <c r="S1762" t="s">
        <v>62</v>
      </c>
      <c r="T1762" s="11" t="str">
        <f>HYPERLINK("http://www.env.gov.bc.ca/esd/distdata/ecosystems/TEI_Scanned_Maps/K14/K14-2665","http://www.env.gov.bc.ca/esd/distdata/ecosystems/TEI_Scanned_Maps/K14/K14-2665")</f>
        <v>http://www.env.gov.bc.ca/esd/distdata/ecosystems/TEI_Scanned_Maps/K14/K14-2665</v>
      </c>
      <c r="U1762" t="s">
        <v>2487</v>
      </c>
      <c r="V1762" s="11" t="str">
        <f t="shared" ref="V1762:V1773" si="133">HYPERLINK("http://res.agr.ca/cansis/publications/surveys/bc/","http://res.agr.ca/cansis/publications/surveys/bc/")</f>
        <v>http://res.agr.ca/cansis/publications/surveys/bc/</v>
      </c>
      <c r="W1762" t="s">
        <v>2488</v>
      </c>
      <c r="X1762" s="11" t="str">
        <f t="shared" ref="X1762:X1773" si="134">HYPERLINK("http://res.agr.ca/cansis/publications/surveys/bc/","http://res.agr.ca/cansis/publications/surveys/bc/")</f>
        <v>http://res.agr.ca/cansis/publications/surveys/bc/</v>
      </c>
      <c r="Y1762" t="s">
        <v>2495</v>
      </c>
      <c r="Z1762" s="11" t="str">
        <f t="shared" ref="Z1762:Z1773" si="135">HYPERLINK("http://www.em.gov.bc.ca/mining/geolsurv/terrain&amp;soils/frbcguid.htm","http://www.em.gov.bc.ca/mining/geolsurv/terrain&amp;soils/frbcguid.htm")</f>
        <v>http://www.em.gov.bc.ca/mining/geolsurv/terrain&amp;soils/frbcguid.htm</v>
      </c>
      <c r="AA1762" t="s">
        <v>2489</v>
      </c>
      <c r="AB1762" s="11" t="str">
        <f t="shared" ref="AB1762:AB1772" si="136">HYPERLINK("http://www.em.gov.bc.ca/mining/geolsurv/terrain&amp;soils/frbcguid.htm","http://www.em.gov.bc.ca/mining/geolsurv/terrain&amp;soils/frbcguid.htm")</f>
        <v>http://www.em.gov.bc.ca/mining/geolsurv/terrain&amp;soils/frbcguid.htm</v>
      </c>
      <c r="AC1762" t="s">
        <v>3042</v>
      </c>
      <c r="AD1762" s="11" t="str">
        <f t="shared" ref="AD1762:AD1772" si="137">HYPERLINK("http://res.agr.ca/cansis/publications/surveys/bc/","http://res.agr.ca/cansis/publications/surveys/bc/")</f>
        <v>http://res.agr.ca/cansis/publications/surveys/bc/</v>
      </c>
      <c r="AE1762" t="s">
        <v>269</v>
      </c>
      <c r="AF1762" s="11" t="str">
        <f t="shared" ref="AF1762:AF1772" si="138">HYPERLINK("http://www.library.for.gov.bc.ca/#focus","http://www.library.for.gov.bc.ca/#focus")</f>
        <v>http://www.library.for.gov.bc.ca/#focus</v>
      </c>
      <c r="AG1762" t="s">
        <v>63</v>
      </c>
      <c r="AH1762" s="11" t="str">
        <f t="shared" si="130"/>
        <v>mailto: soilterrain@victoria1.gov.bc.ca</v>
      </c>
    </row>
    <row r="1763" spans="1:34">
      <c r="A1763" t="s">
        <v>4086</v>
      </c>
      <c r="B1763" t="s">
        <v>56</v>
      </c>
      <c r="C1763" s="10" t="s">
        <v>1719</v>
      </c>
      <c r="D1763" t="s">
        <v>58</v>
      </c>
      <c r="E1763" t="s">
        <v>3205</v>
      </c>
      <c r="F1763" t="s">
        <v>4087</v>
      </c>
      <c r="G1763">
        <v>50000</v>
      </c>
      <c r="H1763">
        <v>1987</v>
      </c>
      <c r="I1763" t="s">
        <v>3207</v>
      </c>
      <c r="J1763" t="s">
        <v>58</v>
      </c>
      <c r="K1763" t="s">
        <v>61</v>
      </c>
      <c r="L1763" t="s">
        <v>61</v>
      </c>
      <c r="M1763" t="s">
        <v>58</v>
      </c>
      <c r="Q1763" t="s">
        <v>58</v>
      </c>
      <c r="R1763" s="11" t="str">
        <f>HYPERLINK("\\imagefiles.bcgov\imagery\scanned_maps\moe_terrain_maps\Scanned_T_maps_all\K14\K14-2667","\\imagefiles.bcgov\imagery\scanned_maps\moe_terrain_maps\Scanned_T_maps_all\K14\K14-2667")</f>
        <v>\\imagefiles.bcgov\imagery\scanned_maps\moe_terrain_maps\Scanned_T_maps_all\K14\K14-2667</v>
      </c>
      <c r="S1763" t="s">
        <v>62</v>
      </c>
      <c r="T1763" s="11" t="str">
        <f>HYPERLINK("http://www.env.gov.bc.ca/esd/distdata/ecosystems/TEI_Scanned_Maps/K14/K14-2667","http://www.env.gov.bc.ca/esd/distdata/ecosystems/TEI_Scanned_Maps/K14/K14-2667")</f>
        <v>http://www.env.gov.bc.ca/esd/distdata/ecosystems/TEI_Scanned_Maps/K14/K14-2667</v>
      </c>
      <c r="U1763" t="s">
        <v>2487</v>
      </c>
      <c r="V1763" s="11" t="str">
        <f t="shared" si="133"/>
        <v>http://res.agr.ca/cansis/publications/surveys/bc/</v>
      </c>
      <c r="W1763" t="s">
        <v>2488</v>
      </c>
      <c r="X1763" s="11" t="str">
        <f t="shared" si="134"/>
        <v>http://res.agr.ca/cansis/publications/surveys/bc/</v>
      </c>
      <c r="Y1763" t="s">
        <v>2495</v>
      </c>
      <c r="Z1763" s="11" t="str">
        <f t="shared" si="135"/>
        <v>http://www.em.gov.bc.ca/mining/geolsurv/terrain&amp;soils/frbcguid.htm</v>
      </c>
      <c r="AA1763" t="s">
        <v>2489</v>
      </c>
      <c r="AB1763" s="11" t="str">
        <f t="shared" si="136"/>
        <v>http://www.em.gov.bc.ca/mining/geolsurv/terrain&amp;soils/frbcguid.htm</v>
      </c>
      <c r="AC1763" t="s">
        <v>3042</v>
      </c>
      <c r="AD1763" s="11" t="str">
        <f t="shared" si="137"/>
        <v>http://res.agr.ca/cansis/publications/surveys/bc/</v>
      </c>
      <c r="AE1763" t="s">
        <v>269</v>
      </c>
      <c r="AF1763" s="11" t="str">
        <f t="shared" si="138"/>
        <v>http://www.library.for.gov.bc.ca/#focus</v>
      </c>
      <c r="AG1763" t="s">
        <v>63</v>
      </c>
      <c r="AH1763" s="11" t="str">
        <f t="shared" si="130"/>
        <v>mailto: soilterrain@victoria1.gov.bc.ca</v>
      </c>
    </row>
    <row r="1764" spans="1:34">
      <c r="A1764" t="s">
        <v>4088</v>
      </c>
      <c r="B1764" t="s">
        <v>56</v>
      </c>
      <c r="C1764" s="10" t="s">
        <v>957</v>
      </c>
      <c r="D1764" t="s">
        <v>58</v>
      </c>
      <c r="E1764" t="s">
        <v>3205</v>
      </c>
      <c r="F1764" t="s">
        <v>4089</v>
      </c>
      <c r="G1764">
        <v>50000</v>
      </c>
      <c r="H1764">
        <v>1986</v>
      </c>
      <c r="I1764" t="s">
        <v>3207</v>
      </c>
      <c r="J1764" t="s">
        <v>58</v>
      </c>
      <c r="K1764" t="s">
        <v>61</v>
      </c>
      <c r="L1764" t="s">
        <v>61</v>
      </c>
      <c r="M1764" t="s">
        <v>58</v>
      </c>
      <c r="Q1764" t="s">
        <v>58</v>
      </c>
      <c r="R1764" s="11" t="str">
        <f>HYPERLINK("\\imagefiles.bcgov\imagery\scanned_maps\moe_terrain_maps\Scanned_T_maps_all\K14\K14-2669","\\imagefiles.bcgov\imagery\scanned_maps\moe_terrain_maps\Scanned_T_maps_all\K14\K14-2669")</f>
        <v>\\imagefiles.bcgov\imagery\scanned_maps\moe_terrain_maps\Scanned_T_maps_all\K14\K14-2669</v>
      </c>
      <c r="S1764" t="s">
        <v>62</v>
      </c>
      <c r="T1764" s="11" t="str">
        <f>HYPERLINK("http://www.env.gov.bc.ca/esd/distdata/ecosystems/TEI_Scanned_Maps/K14/K14-2669","http://www.env.gov.bc.ca/esd/distdata/ecosystems/TEI_Scanned_Maps/K14/K14-2669")</f>
        <v>http://www.env.gov.bc.ca/esd/distdata/ecosystems/TEI_Scanned_Maps/K14/K14-2669</v>
      </c>
      <c r="U1764" t="s">
        <v>2487</v>
      </c>
      <c r="V1764" s="11" t="str">
        <f t="shared" si="133"/>
        <v>http://res.agr.ca/cansis/publications/surveys/bc/</v>
      </c>
      <c r="W1764" t="s">
        <v>2488</v>
      </c>
      <c r="X1764" s="11" t="str">
        <f t="shared" si="134"/>
        <v>http://res.agr.ca/cansis/publications/surveys/bc/</v>
      </c>
      <c r="Y1764" t="s">
        <v>2495</v>
      </c>
      <c r="Z1764" s="11" t="str">
        <f t="shared" si="135"/>
        <v>http://www.em.gov.bc.ca/mining/geolsurv/terrain&amp;soils/frbcguid.htm</v>
      </c>
      <c r="AA1764" t="s">
        <v>2489</v>
      </c>
      <c r="AB1764" s="11" t="str">
        <f t="shared" si="136"/>
        <v>http://www.em.gov.bc.ca/mining/geolsurv/terrain&amp;soils/frbcguid.htm</v>
      </c>
      <c r="AC1764" t="s">
        <v>3042</v>
      </c>
      <c r="AD1764" s="11" t="str">
        <f t="shared" si="137"/>
        <v>http://res.agr.ca/cansis/publications/surveys/bc/</v>
      </c>
      <c r="AE1764" t="s">
        <v>269</v>
      </c>
      <c r="AF1764" s="11" t="str">
        <f t="shared" si="138"/>
        <v>http://www.library.for.gov.bc.ca/#focus</v>
      </c>
      <c r="AG1764" t="s">
        <v>63</v>
      </c>
      <c r="AH1764" s="11" t="str">
        <f t="shared" si="130"/>
        <v>mailto: soilterrain@victoria1.gov.bc.ca</v>
      </c>
    </row>
    <row r="1765" spans="1:34">
      <c r="A1765" t="s">
        <v>4090</v>
      </c>
      <c r="B1765" t="s">
        <v>56</v>
      </c>
      <c r="C1765" s="10" t="s">
        <v>960</v>
      </c>
      <c r="D1765" t="s">
        <v>58</v>
      </c>
      <c r="E1765" t="s">
        <v>3205</v>
      </c>
      <c r="F1765" t="s">
        <v>4091</v>
      </c>
      <c r="G1765">
        <v>50000</v>
      </c>
      <c r="H1765">
        <v>1987</v>
      </c>
      <c r="I1765" t="s">
        <v>3207</v>
      </c>
      <c r="J1765" t="s">
        <v>58</v>
      </c>
      <c r="K1765" t="s">
        <v>61</v>
      </c>
      <c r="L1765" t="s">
        <v>61</v>
      </c>
      <c r="M1765" t="s">
        <v>58</v>
      </c>
      <c r="Q1765" t="s">
        <v>58</v>
      </c>
      <c r="R1765" s="11" t="str">
        <f>HYPERLINK("\\imagefiles.bcgov\imagery\scanned_maps\moe_terrain_maps\Scanned_T_maps_all\K14\K14-2671","\\imagefiles.bcgov\imagery\scanned_maps\moe_terrain_maps\Scanned_T_maps_all\K14\K14-2671")</f>
        <v>\\imagefiles.bcgov\imagery\scanned_maps\moe_terrain_maps\Scanned_T_maps_all\K14\K14-2671</v>
      </c>
      <c r="S1765" t="s">
        <v>62</v>
      </c>
      <c r="T1765" s="11" t="str">
        <f>HYPERLINK("http://www.env.gov.bc.ca/esd/distdata/ecosystems/TEI_Scanned_Maps/K14/K14-2671","http://www.env.gov.bc.ca/esd/distdata/ecosystems/TEI_Scanned_Maps/K14/K14-2671")</f>
        <v>http://www.env.gov.bc.ca/esd/distdata/ecosystems/TEI_Scanned_Maps/K14/K14-2671</v>
      </c>
      <c r="U1765" t="s">
        <v>2487</v>
      </c>
      <c r="V1765" s="11" t="str">
        <f t="shared" si="133"/>
        <v>http://res.agr.ca/cansis/publications/surveys/bc/</v>
      </c>
      <c r="W1765" t="s">
        <v>2488</v>
      </c>
      <c r="X1765" s="11" t="str">
        <f t="shared" si="134"/>
        <v>http://res.agr.ca/cansis/publications/surveys/bc/</v>
      </c>
      <c r="Y1765" t="s">
        <v>2495</v>
      </c>
      <c r="Z1765" s="11" t="str">
        <f t="shared" si="135"/>
        <v>http://www.em.gov.bc.ca/mining/geolsurv/terrain&amp;soils/frbcguid.htm</v>
      </c>
      <c r="AA1765" t="s">
        <v>2489</v>
      </c>
      <c r="AB1765" s="11" t="str">
        <f t="shared" si="136"/>
        <v>http://www.em.gov.bc.ca/mining/geolsurv/terrain&amp;soils/frbcguid.htm</v>
      </c>
      <c r="AC1765" t="s">
        <v>3042</v>
      </c>
      <c r="AD1765" s="11" t="str">
        <f t="shared" si="137"/>
        <v>http://res.agr.ca/cansis/publications/surveys/bc/</v>
      </c>
      <c r="AE1765" t="s">
        <v>269</v>
      </c>
      <c r="AF1765" s="11" t="str">
        <f t="shared" si="138"/>
        <v>http://www.library.for.gov.bc.ca/#focus</v>
      </c>
      <c r="AG1765" t="s">
        <v>63</v>
      </c>
      <c r="AH1765" s="11" t="str">
        <f t="shared" si="130"/>
        <v>mailto: soilterrain@victoria1.gov.bc.ca</v>
      </c>
    </row>
    <row r="1766" spans="1:34">
      <c r="A1766" t="s">
        <v>4092</v>
      </c>
      <c r="B1766" t="s">
        <v>56</v>
      </c>
      <c r="C1766" s="10" t="s">
        <v>1726</v>
      </c>
      <c r="D1766" t="s">
        <v>58</v>
      </c>
      <c r="E1766" t="s">
        <v>3205</v>
      </c>
      <c r="F1766" t="s">
        <v>4093</v>
      </c>
      <c r="G1766">
        <v>50000</v>
      </c>
      <c r="H1766">
        <v>1988</v>
      </c>
      <c r="I1766" t="s">
        <v>3207</v>
      </c>
      <c r="J1766" t="s">
        <v>58</v>
      </c>
      <c r="K1766" t="s">
        <v>61</v>
      </c>
      <c r="L1766" t="s">
        <v>61</v>
      </c>
      <c r="M1766" t="s">
        <v>58</v>
      </c>
      <c r="Q1766" t="s">
        <v>58</v>
      </c>
      <c r="R1766" s="11" t="str">
        <f>HYPERLINK("\\imagefiles.bcgov\imagery\scanned_maps\moe_terrain_maps\Scanned_T_maps_all\K15\K15-2694","\\imagefiles.bcgov\imagery\scanned_maps\moe_terrain_maps\Scanned_T_maps_all\K15\K15-2694")</f>
        <v>\\imagefiles.bcgov\imagery\scanned_maps\moe_terrain_maps\Scanned_T_maps_all\K15\K15-2694</v>
      </c>
      <c r="S1766" t="s">
        <v>62</v>
      </c>
      <c r="T1766" s="11" t="str">
        <f>HYPERLINK("http://www.env.gov.bc.ca/esd/distdata/ecosystems/TEI_Scanned_Maps/K15/K15-2694","http://www.env.gov.bc.ca/esd/distdata/ecosystems/TEI_Scanned_Maps/K15/K15-2694")</f>
        <v>http://www.env.gov.bc.ca/esd/distdata/ecosystems/TEI_Scanned_Maps/K15/K15-2694</v>
      </c>
      <c r="U1766" t="s">
        <v>2487</v>
      </c>
      <c r="V1766" s="11" t="str">
        <f t="shared" si="133"/>
        <v>http://res.agr.ca/cansis/publications/surveys/bc/</v>
      </c>
      <c r="W1766" t="s">
        <v>2488</v>
      </c>
      <c r="X1766" s="11" t="str">
        <f t="shared" si="134"/>
        <v>http://res.agr.ca/cansis/publications/surveys/bc/</v>
      </c>
      <c r="Y1766" t="s">
        <v>2495</v>
      </c>
      <c r="Z1766" s="11" t="str">
        <f t="shared" si="135"/>
        <v>http://www.em.gov.bc.ca/mining/geolsurv/terrain&amp;soils/frbcguid.htm</v>
      </c>
      <c r="AA1766" t="s">
        <v>2489</v>
      </c>
      <c r="AB1766" s="11" t="str">
        <f t="shared" si="136"/>
        <v>http://www.em.gov.bc.ca/mining/geolsurv/terrain&amp;soils/frbcguid.htm</v>
      </c>
      <c r="AC1766" t="s">
        <v>3042</v>
      </c>
      <c r="AD1766" s="11" t="str">
        <f t="shared" si="137"/>
        <v>http://res.agr.ca/cansis/publications/surveys/bc/</v>
      </c>
      <c r="AE1766" t="s">
        <v>269</v>
      </c>
      <c r="AF1766" s="11" t="str">
        <f t="shared" si="138"/>
        <v>http://www.library.for.gov.bc.ca/#focus</v>
      </c>
      <c r="AG1766" t="s">
        <v>63</v>
      </c>
      <c r="AH1766" s="11" t="str">
        <f t="shared" si="130"/>
        <v>mailto: soilterrain@victoria1.gov.bc.ca</v>
      </c>
    </row>
    <row r="1767" spans="1:34">
      <c r="A1767" t="s">
        <v>4094</v>
      </c>
      <c r="B1767" t="s">
        <v>56</v>
      </c>
      <c r="C1767" s="10" t="s">
        <v>1729</v>
      </c>
      <c r="D1767" t="s">
        <v>58</v>
      </c>
      <c r="E1767" t="s">
        <v>3205</v>
      </c>
      <c r="F1767" t="s">
        <v>4095</v>
      </c>
      <c r="G1767">
        <v>50000</v>
      </c>
      <c r="H1767">
        <v>1988</v>
      </c>
      <c r="I1767" t="s">
        <v>3207</v>
      </c>
      <c r="J1767" t="s">
        <v>58</v>
      </c>
      <c r="K1767" t="s">
        <v>61</v>
      </c>
      <c r="L1767" t="s">
        <v>61</v>
      </c>
      <c r="M1767" t="s">
        <v>58</v>
      </c>
      <c r="Q1767" t="s">
        <v>58</v>
      </c>
      <c r="R1767" s="11" t="str">
        <f>HYPERLINK("\\imagefiles.bcgov\imagery\scanned_maps\moe_terrain_maps\Scanned_T_maps_all\K15\K15-2696","\\imagefiles.bcgov\imagery\scanned_maps\moe_terrain_maps\Scanned_T_maps_all\K15\K15-2696")</f>
        <v>\\imagefiles.bcgov\imagery\scanned_maps\moe_terrain_maps\Scanned_T_maps_all\K15\K15-2696</v>
      </c>
      <c r="S1767" t="s">
        <v>62</v>
      </c>
      <c r="T1767" s="11" t="str">
        <f>HYPERLINK("http://www.env.gov.bc.ca/esd/distdata/ecosystems/TEI_Scanned_Maps/K15/K15-2696","http://www.env.gov.bc.ca/esd/distdata/ecosystems/TEI_Scanned_Maps/K15/K15-2696")</f>
        <v>http://www.env.gov.bc.ca/esd/distdata/ecosystems/TEI_Scanned_Maps/K15/K15-2696</v>
      </c>
      <c r="U1767" t="s">
        <v>2487</v>
      </c>
      <c r="V1767" s="11" t="str">
        <f t="shared" si="133"/>
        <v>http://res.agr.ca/cansis/publications/surveys/bc/</v>
      </c>
      <c r="W1767" t="s">
        <v>2488</v>
      </c>
      <c r="X1767" s="11" t="str">
        <f t="shared" si="134"/>
        <v>http://res.agr.ca/cansis/publications/surveys/bc/</v>
      </c>
      <c r="Y1767" t="s">
        <v>2495</v>
      </c>
      <c r="Z1767" s="11" t="str">
        <f t="shared" si="135"/>
        <v>http://www.em.gov.bc.ca/mining/geolsurv/terrain&amp;soils/frbcguid.htm</v>
      </c>
      <c r="AA1767" t="s">
        <v>2489</v>
      </c>
      <c r="AB1767" s="11" t="str">
        <f t="shared" si="136"/>
        <v>http://www.em.gov.bc.ca/mining/geolsurv/terrain&amp;soils/frbcguid.htm</v>
      </c>
      <c r="AC1767" t="s">
        <v>3042</v>
      </c>
      <c r="AD1767" s="11" t="str">
        <f t="shared" si="137"/>
        <v>http://res.agr.ca/cansis/publications/surveys/bc/</v>
      </c>
      <c r="AE1767" t="s">
        <v>269</v>
      </c>
      <c r="AF1767" s="11" t="str">
        <f t="shared" si="138"/>
        <v>http://www.library.for.gov.bc.ca/#focus</v>
      </c>
      <c r="AG1767" t="s">
        <v>63</v>
      </c>
      <c r="AH1767" s="11" t="str">
        <f t="shared" si="130"/>
        <v>mailto: soilterrain@victoria1.gov.bc.ca</v>
      </c>
    </row>
    <row r="1768" spans="1:34">
      <c r="A1768" t="s">
        <v>4096</v>
      </c>
      <c r="B1768" t="s">
        <v>56</v>
      </c>
      <c r="C1768" s="10" t="s">
        <v>1732</v>
      </c>
      <c r="D1768" t="s">
        <v>58</v>
      </c>
      <c r="E1768" t="s">
        <v>3205</v>
      </c>
      <c r="F1768" t="s">
        <v>4097</v>
      </c>
      <c r="G1768">
        <v>50000</v>
      </c>
      <c r="H1768">
        <v>1987</v>
      </c>
      <c r="I1768" t="s">
        <v>3207</v>
      </c>
      <c r="J1768" t="s">
        <v>58</v>
      </c>
      <c r="K1768" t="s">
        <v>61</v>
      </c>
      <c r="L1768" t="s">
        <v>61</v>
      </c>
      <c r="M1768" t="s">
        <v>58</v>
      </c>
      <c r="Q1768" t="s">
        <v>58</v>
      </c>
      <c r="R1768" s="11" t="str">
        <f>HYPERLINK("\\imagefiles.bcgov\imagery\scanned_maps\moe_terrain_maps\Scanned_T_maps_all\K15\K15-2698","\\imagefiles.bcgov\imagery\scanned_maps\moe_terrain_maps\Scanned_T_maps_all\K15\K15-2698")</f>
        <v>\\imagefiles.bcgov\imagery\scanned_maps\moe_terrain_maps\Scanned_T_maps_all\K15\K15-2698</v>
      </c>
      <c r="S1768" t="s">
        <v>62</v>
      </c>
      <c r="T1768" s="11" t="str">
        <f>HYPERLINK("http://www.env.gov.bc.ca/esd/distdata/ecosystems/TEI_Scanned_Maps/K15/K15-2698","http://www.env.gov.bc.ca/esd/distdata/ecosystems/TEI_Scanned_Maps/K15/K15-2698")</f>
        <v>http://www.env.gov.bc.ca/esd/distdata/ecosystems/TEI_Scanned_Maps/K15/K15-2698</v>
      </c>
      <c r="U1768" t="s">
        <v>2487</v>
      </c>
      <c r="V1768" s="11" t="str">
        <f t="shared" si="133"/>
        <v>http://res.agr.ca/cansis/publications/surveys/bc/</v>
      </c>
      <c r="W1768" t="s">
        <v>2488</v>
      </c>
      <c r="X1768" s="11" t="str">
        <f t="shared" si="134"/>
        <v>http://res.agr.ca/cansis/publications/surveys/bc/</v>
      </c>
      <c r="Y1768" t="s">
        <v>2495</v>
      </c>
      <c r="Z1768" s="11" t="str">
        <f t="shared" si="135"/>
        <v>http://www.em.gov.bc.ca/mining/geolsurv/terrain&amp;soils/frbcguid.htm</v>
      </c>
      <c r="AA1768" t="s">
        <v>2489</v>
      </c>
      <c r="AB1768" s="11" t="str">
        <f t="shared" si="136"/>
        <v>http://www.em.gov.bc.ca/mining/geolsurv/terrain&amp;soils/frbcguid.htm</v>
      </c>
      <c r="AC1768" t="s">
        <v>3042</v>
      </c>
      <c r="AD1768" s="11" t="str">
        <f t="shared" si="137"/>
        <v>http://res.agr.ca/cansis/publications/surveys/bc/</v>
      </c>
      <c r="AE1768" t="s">
        <v>269</v>
      </c>
      <c r="AF1768" s="11" t="str">
        <f t="shared" si="138"/>
        <v>http://www.library.for.gov.bc.ca/#focus</v>
      </c>
      <c r="AG1768" t="s">
        <v>63</v>
      </c>
      <c r="AH1768" s="11" t="str">
        <f t="shared" si="130"/>
        <v>mailto: soilterrain@victoria1.gov.bc.ca</v>
      </c>
    </row>
    <row r="1769" spans="1:34">
      <c r="A1769" t="s">
        <v>4098</v>
      </c>
      <c r="B1769" t="s">
        <v>56</v>
      </c>
      <c r="C1769" s="10" t="s">
        <v>1735</v>
      </c>
      <c r="D1769" t="s">
        <v>58</v>
      </c>
      <c r="E1769" t="s">
        <v>3205</v>
      </c>
      <c r="F1769" t="s">
        <v>4099</v>
      </c>
      <c r="G1769">
        <v>50000</v>
      </c>
      <c r="H1769">
        <v>1987</v>
      </c>
      <c r="I1769" t="s">
        <v>3207</v>
      </c>
      <c r="J1769" t="s">
        <v>58</v>
      </c>
      <c r="K1769" t="s">
        <v>61</v>
      </c>
      <c r="L1769" t="s">
        <v>61</v>
      </c>
      <c r="M1769" t="s">
        <v>58</v>
      </c>
      <c r="Q1769" t="s">
        <v>58</v>
      </c>
      <c r="R1769" s="11" t="str">
        <f>HYPERLINK("\\imagefiles.bcgov\imagery\scanned_maps\moe_terrain_maps\Scanned_T_maps_all\K15\K15-2700","\\imagefiles.bcgov\imagery\scanned_maps\moe_terrain_maps\Scanned_T_maps_all\K15\K15-2700")</f>
        <v>\\imagefiles.bcgov\imagery\scanned_maps\moe_terrain_maps\Scanned_T_maps_all\K15\K15-2700</v>
      </c>
      <c r="S1769" t="s">
        <v>62</v>
      </c>
      <c r="T1769" s="11" t="str">
        <f>HYPERLINK("http://www.env.gov.bc.ca/esd/distdata/ecosystems/TEI_Scanned_Maps/K15/K15-2700","http://www.env.gov.bc.ca/esd/distdata/ecosystems/TEI_Scanned_Maps/K15/K15-2700")</f>
        <v>http://www.env.gov.bc.ca/esd/distdata/ecosystems/TEI_Scanned_Maps/K15/K15-2700</v>
      </c>
      <c r="U1769" t="s">
        <v>2487</v>
      </c>
      <c r="V1769" s="11" t="str">
        <f t="shared" si="133"/>
        <v>http://res.agr.ca/cansis/publications/surveys/bc/</v>
      </c>
      <c r="W1769" t="s">
        <v>2488</v>
      </c>
      <c r="X1769" s="11" t="str">
        <f t="shared" si="134"/>
        <v>http://res.agr.ca/cansis/publications/surveys/bc/</v>
      </c>
      <c r="Y1769" t="s">
        <v>2495</v>
      </c>
      <c r="Z1769" s="11" t="str">
        <f t="shared" si="135"/>
        <v>http://www.em.gov.bc.ca/mining/geolsurv/terrain&amp;soils/frbcguid.htm</v>
      </c>
      <c r="AA1769" t="s">
        <v>2489</v>
      </c>
      <c r="AB1769" s="11" t="str">
        <f t="shared" si="136"/>
        <v>http://www.em.gov.bc.ca/mining/geolsurv/terrain&amp;soils/frbcguid.htm</v>
      </c>
      <c r="AC1769" t="s">
        <v>3042</v>
      </c>
      <c r="AD1769" s="11" t="str">
        <f t="shared" si="137"/>
        <v>http://res.agr.ca/cansis/publications/surveys/bc/</v>
      </c>
      <c r="AE1769" t="s">
        <v>269</v>
      </c>
      <c r="AF1769" s="11" t="str">
        <f t="shared" si="138"/>
        <v>http://www.library.for.gov.bc.ca/#focus</v>
      </c>
      <c r="AG1769" t="s">
        <v>63</v>
      </c>
      <c r="AH1769" s="11" t="str">
        <f t="shared" si="130"/>
        <v>mailto: soilterrain@victoria1.gov.bc.ca</v>
      </c>
    </row>
    <row r="1770" spans="1:34">
      <c r="A1770" t="s">
        <v>4100</v>
      </c>
      <c r="B1770" t="s">
        <v>56</v>
      </c>
      <c r="C1770" s="10" t="s">
        <v>1741</v>
      </c>
      <c r="D1770" t="s">
        <v>58</v>
      </c>
      <c r="E1770" t="s">
        <v>3205</v>
      </c>
      <c r="F1770" t="s">
        <v>4101</v>
      </c>
      <c r="G1770">
        <v>50000</v>
      </c>
      <c r="H1770">
        <v>1987</v>
      </c>
      <c r="I1770" t="s">
        <v>3207</v>
      </c>
      <c r="J1770" t="s">
        <v>58</v>
      </c>
      <c r="K1770" t="s">
        <v>61</v>
      </c>
      <c r="L1770" t="s">
        <v>61</v>
      </c>
      <c r="M1770" t="s">
        <v>58</v>
      </c>
      <c r="Q1770" t="s">
        <v>58</v>
      </c>
      <c r="R1770" s="11" t="str">
        <f>HYPERLINK("\\imagefiles.bcgov\imagery\scanned_maps\moe_terrain_maps\Scanned_T_maps_all\K15\K15-2702","\\imagefiles.bcgov\imagery\scanned_maps\moe_terrain_maps\Scanned_T_maps_all\K15\K15-2702")</f>
        <v>\\imagefiles.bcgov\imagery\scanned_maps\moe_terrain_maps\Scanned_T_maps_all\K15\K15-2702</v>
      </c>
      <c r="S1770" t="s">
        <v>62</v>
      </c>
      <c r="T1770" s="11" t="str">
        <f>HYPERLINK("http://www.env.gov.bc.ca/esd/distdata/ecosystems/TEI_Scanned_Maps/K15/K15-2702","http://www.env.gov.bc.ca/esd/distdata/ecosystems/TEI_Scanned_Maps/K15/K15-2702")</f>
        <v>http://www.env.gov.bc.ca/esd/distdata/ecosystems/TEI_Scanned_Maps/K15/K15-2702</v>
      </c>
      <c r="U1770" t="s">
        <v>2487</v>
      </c>
      <c r="V1770" s="11" t="str">
        <f t="shared" si="133"/>
        <v>http://res.agr.ca/cansis/publications/surveys/bc/</v>
      </c>
      <c r="W1770" t="s">
        <v>2488</v>
      </c>
      <c r="X1770" s="11" t="str">
        <f t="shared" si="134"/>
        <v>http://res.agr.ca/cansis/publications/surveys/bc/</v>
      </c>
      <c r="Y1770" t="s">
        <v>2495</v>
      </c>
      <c r="Z1770" s="11" t="str">
        <f t="shared" si="135"/>
        <v>http://www.em.gov.bc.ca/mining/geolsurv/terrain&amp;soils/frbcguid.htm</v>
      </c>
      <c r="AA1770" t="s">
        <v>2489</v>
      </c>
      <c r="AB1770" s="11" t="str">
        <f t="shared" si="136"/>
        <v>http://www.em.gov.bc.ca/mining/geolsurv/terrain&amp;soils/frbcguid.htm</v>
      </c>
      <c r="AC1770" t="s">
        <v>3042</v>
      </c>
      <c r="AD1770" s="11" t="str">
        <f t="shared" si="137"/>
        <v>http://res.agr.ca/cansis/publications/surveys/bc/</v>
      </c>
      <c r="AE1770" t="s">
        <v>269</v>
      </c>
      <c r="AF1770" s="11" t="str">
        <f t="shared" si="138"/>
        <v>http://www.library.for.gov.bc.ca/#focus</v>
      </c>
      <c r="AG1770" t="s">
        <v>63</v>
      </c>
      <c r="AH1770" s="11" t="str">
        <f t="shared" si="130"/>
        <v>mailto: soilterrain@victoria1.gov.bc.ca</v>
      </c>
    </row>
    <row r="1771" spans="1:34">
      <c r="A1771" t="s">
        <v>4102</v>
      </c>
      <c r="B1771" t="s">
        <v>56</v>
      </c>
      <c r="C1771" s="10" t="s">
        <v>1744</v>
      </c>
      <c r="D1771" t="s">
        <v>58</v>
      </c>
      <c r="E1771" t="s">
        <v>3205</v>
      </c>
      <c r="F1771" t="s">
        <v>4103</v>
      </c>
      <c r="G1771">
        <v>50000</v>
      </c>
      <c r="H1771">
        <v>1987</v>
      </c>
      <c r="I1771" t="s">
        <v>3207</v>
      </c>
      <c r="J1771" t="s">
        <v>58</v>
      </c>
      <c r="K1771" t="s">
        <v>61</v>
      </c>
      <c r="L1771" t="s">
        <v>61</v>
      </c>
      <c r="M1771" t="s">
        <v>58</v>
      </c>
      <c r="Q1771" t="s">
        <v>58</v>
      </c>
      <c r="R1771" s="11" t="str">
        <f>HYPERLINK("\\imagefiles.bcgov\imagery\scanned_maps\moe_terrain_maps\Scanned_T_maps_all\K15\K15-2704","\\imagefiles.bcgov\imagery\scanned_maps\moe_terrain_maps\Scanned_T_maps_all\K15\K15-2704")</f>
        <v>\\imagefiles.bcgov\imagery\scanned_maps\moe_terrain_maps\Scanned_T_maps_all\K15\K15-2704</v>
      </c>
      <c r="S1771" t="s">
        <v>62</v>
      </c>
      <c r="T1771" s="11" t="str">
        <f>HYPERLINK("http://www.env.gov.bc.ca/esd/distdata/ecosystems/TEI_Scanned_Maps/K15/K15-2704","http://www.env.gov.bc.ca/esd/distdata/ecosystems/TEI_Scanned_Maps/K15/K15-2704")</f>
        <v>http://www.env.gov.bc.ca/esd/distdata/ecosystems/TEI_Scanned_Maps/K15/K15-2704</v>
      </c>
      <c r="U1771" t="s">
        <v>2487</v>
      </c>
      <c r="V1771" s="11" t="str">
        <f t="shared" si="133"/>
        <v>http://res.agr.ca/cansis/publications/surveys/bc/</v>
      </c>
      <c r="W1771" t="s">
        <v>2488</v>
      </c>
      <c r="X1771" s="11" t="str">
        <f t="shared" si="134"/>
        <v>http://res.agr.ca/cansis/publications/surveys/bc/</v>
      </c>
      <c r="Y1771" t="s">
        <v>2495</v>
      </c>
      <c r="Z1771" s="11" t="str">
        <f t="shared" si="135"/>
        <v>http://www.em.gov.bc.ca/mining/geolsurv/terrain&amp;soils/frbcguid.htm</v>
      </c>
      <c r="AA1771" t="s">
        <v>2489</v>
      </c>
      <c r="AB1771" s="11" t="str">
        <f t="shared" si="136"/>
        <v>http://www.em.gov.bc.ca/mining/geolsurv/terrain&amp;soils/frbcguid.htm</v>
      </c>
      <c r="AC1771" t="s">
        <v>3042</v>
      </c>
      <c r="AD1771" s="11" t="str">
        <f t="shared" si="137"/>
        <v>http://res.agr.ca/cansis/publications/surveys/bc/</v>
      </c>
      <c r="AE1771" t="s">
        <v>269</v>
      </c>
      <c r="AF1771" s="11" t="str">
        <f t="shared" si="138"/>
        <v>http://www.library.for.gov.bc.ca/#focus</v>
      </c>
      <c r="AG1771" t="s">
        <v>63</v>
      </c>
      <c r="AH1771" s="11" t="str">
        <f t="shared" si="130"/>
        <v>mailto: soilterrain@victoria1.gov.bc.ca</v>
      </c>
    </row>
    <row r="1772" spans="1:34">
      <c r="A1772" t="s">
        <v>4104</v>
      </c>
      <c r="B1772" t="s">
        <v>56</v>
      </c>
      <c r="C1772" s="10" t="s">
        <v>1747</v>
      </c>
      <c r="D1772" t="s">
        <v>58</v>
      </c>
      <c r="E1772" t="s">
        <v>3205</v>
      </c>
      <c r="F1772" t="s">
        <v>4105</v>
      </c>
      <c r="G1772">
        <v>50000</v>
      </c>
      <c r="H1772">
        <v>1987</v>
      </c>
      <c r="I1772" t="s">
        <v>3207</v>
      </c>
      <c r="J1772" t="s">
        <v>58</v>
      </c>
      <c r="K1772" t="s">
        <v>61</v>
      </c>
      <c r="L1772" t="s">
        <v>61</v>
      </c>
      <c r="M1772" t="s">
        <v>58</v>
      </c>
      <c r="Q1772" t="s">
        <v>58</v>
      </c>
      <c r="R1772" s="11" t="str">
        <f>HYPERLINK("\\imagefiles.bcgov\imagery\scanned_maps\moe_terrain_maps\Scanned_T_maps_all\K15\K15-2706","\\imagefiles.bcgov\imagery\scanned_maps\moe_terrain_maps\Scanned_T_maps_all\K15\K15-2706")</f>
        <v>\\imagefiles.bcgov\imagery\scanned_maps\moe_terrain_maps\Scanned_T_maps_all\K15\K15-2706</v>
      </c>
      <c r="S1772" t="s">
        <v>62</v>
      </c>
      <c r="T1772" s="11" t="str">
        <f>HYPERLINK("http://www.env.gov.bc.ca/esd/distdata/ecosystems/TEI_Scanned_Maps/K15/K15-2706","http://www.env.gov.bc.ca/esd/distdata/ecosystems/TEI_Scanned_Maps/K15/K15-2706")</f>
        <v>http://www.env.gov.bc.ca/esd/distdata/ecosystems/TEI_Scanned_Maps/K15/K15-2706</v>
      </c>
      <c r="U1772" t="s">
        <v>2487</v>
      </c>
      <c r="V1772" s="11" t="str">
        <f t="shared" si="133"/>
        <v>http://res.agr.ca/cansis/publications/surveys/bc/</v>
      </c>
      <c r="W1772" t="s">
        <v>2488</v>
      </c>
      <c r="X1772" s="11" t="str">
        <f t="shared" si="134"/>
        <v>http://res.agr.ca/cansis/publications/surveys/bc/</v>
      </c>
      <c r="Y1772" t="s">
        <v>2495</v>
      </c>
      <c r="Z1772" s="11" t="str">
        <f t="shared" si="135"/>
        <v>http://www.em.gov.bc.ca/mining/geolsurv/terrain&amp;soils/frbcguid.htm</v>
      </c>
      <c r="AA1772" t="s">
        <v>2489</v>
      </c>
      <c r="AB1772" s="11" t="str">
        <f t="shared" si="136"/>
        <v>http://www.em.gov.bc.ca/mining/geolsurv/terrain&amp;soils/frbcguid.htm</v>
      </c>
      <c r="AC1772" t="s">
        <v>3042</v>
      </c>
      <c r="AD1772" s="11" t="str">
        <f t="shared" si="137"/>
        <v>http://res.agr.ca/cansis/publications/surveys/bc/</v>
      </c>
      <c r="AE1772" t="s">
        <v>269</v>
      </c>
      <c r="AF1772" s="11" t="str">
        <f t="shared" si="138"/>
        <v>http://www.library.for.gov.bc.ca/#focus</v>
      </c>
      <c r="AG1772" t="s">
        <v>63</v>
      </c>
      <c r="AH1772" s="11" t="str">
        <f t="shared" si="130"/>
        <v>mailto: soilterrain@victoria1.gov.bc.ca</v>
      </c>
    </row>
    <row r="1773" spans="1:34">
      <c r="A1773" t="s">
        <v>4106</v>
      </c>
      <c r="B1773" t="s">
        <v>56</v>
      </c>
      <c r="C1773" s="10" t="s">
        <v>1750</v>
      </c>
      <c r="D1773" t="s">
        <v>58</v>
      </c>
      <c r="E1773" t="s">
        <v>3205</v>
      </c>
      <c r="F1773" t="s">
        <v>4107</v>
      </c>
      <c r="G1773">
        <v>50000</v>
      </c>
      <c r="H1773" t="s">
        <v>187</v>
      </c>
      <c r="I1773" t="s">
        <v>3207</v>
      </c>
      <c r="J1773" t="s">
        <v>58</v>
      </c>
      <c r="K1773" t="s">
        <v>61</v>
      </c>
      <c r="L1773" t="s">
        <v>61</v>
      </c>
      <c r="M1773" t="s">
        <v>58</v>
      </c>
      <c r="Q1773" t="s">
        <v>58</v>
      </c>
      <c r="R1773" s="11" t="str">
        <f>HYPERLINK("\\imagefiles.bcgov\imagery\scanned_maps\moe_terrain_maps\Scanned_T_maps_all\K15\K15-2708","\\imagefiles.bcgov\imagery\scanned_maps\moe_terrain_maps\Scanned_T_maps_all\K15\K15-2708")</f>
        <v>\\imagefiles.bcgov\imagery\scanned_maps\moe_terrain_maps\Scanned_T_maps_all\K15\K15-2708</v>
      </c>
      <c r="S1773" t="s">
        <v>62</v>
      </c>
      <c r="T1773" s="11" t="str">
        <f>HYPERLINK("http://www.env.gov.bc.ca/esd/distdata/ecosystems/TEI_Scanned_Maps/K15/K15-2708","http://www.env.gov.bc.ca/esd/distdata/ecosystems/TEI_Scanned_Maps/K15/K15-2708")</f>
        <v>http://www.env.gov.bc.ca/esd/distdata/ecosystems/TEI_Scanned_Maps/K15/K15-2708</v>
      </c>
      <c r="U1773" t="s">
        <v>2487</v>
      </c>
      <c r="V1773" s="11" t="str">
        <f t="shared" si="133"/>
        <v>http://res.agr.ca/cansis/publications/surveys/bc/</v>
      </c>
      <c r="W1773" t="s">
        <v>2488</v>
      </c>
      <c r="X1773" s="11" t="str">
        <f t="shared" si="134"/>
        <v>http://res.agr.ca/cansis/publications/surveys/bc/</v>
      </c>
      <c r="Y1773" t="s">
        <v>4108</v>
      </c>
      <c r="Z1773" s="11" t="str">
        <f t="shared" si="135"/>
        <v>http://www.em.gov.bc.ca/mining/geolsurv/terrain&amp;soils/frbcguid.htm</v>
      </c>
      <c r="AA1773" t="s">
        <v>2490</v>
      </c>
      <c r="AB1773" s="11" t="str">
        <f>HYPERLINK("http://res.agr.ca/cansis/publications/surveys/bc/","http://res.agr.ca/cansis/publications/surveys/bc/")</f>
        <v>http://res.agr.ca/cansis/publications/surveys/bc/</v>
      </c>
      <c r="AC1773" t="s">
        <v>269</v>
      </c>
      <c r="AD1773" s="11" t="str">
        <f>HYPERLINK("http://www.library.for.gov.bc.ca/#focus","http://www.library.for.gov.bc.ca/#focus")</f>
        <v>http://www.library.for.gov.bc.ca/#focus</v>
      </c>
      <c r="AE1773" t="s">
        <v>3053</v>
      </c>
      <c r="AF1773" s="11" t="str">
        <f>HYPERLINK("http://www.prsss.ca/","http://www.prsss.ca/")</f>
        <v>http://www.prsss.ca/</v>
      </c>
      <c r="AG1773" t="s">
        <v>63</v>
      </c>
      <c r="AH1773" s="11" t="str">
        <f t="shared" si="130"/>
        <v>mailto: soilterrain@victoria1.gov.bc.ca</v>
      </c>
    </row>
    <row r="1774" spans="1:34">
      <c r="A1774" t="s">
        <v>4109</v>
      </c>
      <c r="B1774" t="s">
        <v>56</v>
      </c>
      <c r="C1774" s="10" t="s">
        <v>677</v>
      </c>
      <c r="D1774" t="s">
        <v>58</v>
      </c>
      <c r="E1774" t="s">
        <v>58</v>
      </c>
      <c r="F1774" t="s">
        <v>4110</v>
      </c>
      <c r="G1774">
        <v>50000</v>
      </c>
      <c r="H1774">
        <v>1988</v>
      </c>
      <c r="I1774" t="s">
        <v>58</v>
      </c>
      <c r="J1774" t="s">
        <v>58</v>
      </c>
      <c r="K1774" t="s">
        <v>58</v>
      </c>
      <c r="L1774" t="s">
        <v>61</v>
      </c>
      <c r="M1774" t="s">
        <v>58</v>
      </c>
      <c r="Q1774" t="s">
        <v>58</v>
      </c>
      <c r="R1774" s="11" t="str">
        <f>HYPERLINK("\\imagefiles.bcgov\imagery\scanned_maps\moe_terrain_maps\Scanned_T_maps_all\K15\K15-2738","\\imagefiles.bcgov\imagery\scanned_maps\moe_terrain_maps\Scanned_T_maps_all\K15\K15-2738")</f>
        <v>\\imagefiles.bcgov\imagery\scanned_maps\moe_terrain_maps\Scanned_T_maps_all\K15\K15-2738</v>
      </c>
      <c r="S1774" t="s">
        <v>62</v>
      </c>
      <c r="T1774" s="11" t="str">
        <f>HYPERLINK("http://www.env.gov.bc.ca/esd/distdata/ecosystems/TEI_Scanned_Maps/K15/K15-2738","http://www.env.gov.bc.ca/esd/distdata/ecosystems/TEI_Scanned_Maps/K15/K15-2738")</f>
        <v>http://www.env.gov.bc.ca/esd/distdata/ecosystems/TEI_Scanned_Maps/K15/K15-2738</v>
      </c>
      <c r="U1774" t="s">
        <v>58</v>
      </c>
      <c r="V1774" t="s">
        <v>58</v>
      </c>
      <c r="W1774" t="s">
        <v>58</v>
      </c>
      <c r="X1774" t="s">
        <v>58</v>
      </c>
      <c r="Y1774" t="s">
        <v>58</v>
      </c>
      <c r="Z1774" t="s">
        <v>58</v>
      </c>
      <c r="AA1774" t="s">
        <v>58</v>
      </c>
      <c r="AC1774" t="s">
        <v>58</v>
      </c>
      <c r="AE1774" t="s">
        <v>58</v>
      </c>
      <c r="AG1774" t="s">
        <v>63</v>
      </c>
      <c r="AH1774" s="11" t="str">
        <f t="shared" si="130"/>
        <v>mailto: soilterrain@victoria1.gov.bc.ca</v>
      </c>
    </row>
    <row r="1775" spans="1:34">
      <c r="A1775" t="s">
        <v>4111</v>
      </c>
      <c r="B1775" t="s">
        <v>56</v>
      </c>
      <c r="C1775" s="10" t="s">
        <v>1779</v>
      </c>
      <c r="D1775" t="s">
        <v>58</v>
      </c>
      <c r="E1775" t="s">
        <v>58</v>
      </c>
      <c r="F1775" t="s">
        <v>4112</v>
      </c>
      <c r="G1775">
        <v>50000</v>
      </c>
      <c r="H1775">
        <v>1988</v>
      </c>
      <c r="I1775" t="s">
        <v>58</v>
      </c>
      <c r="J1775" t="s">
        <v>58</v>
      </c>
      <c r="K1775" t="s">
        <v>58</v>
      </c>
      <c r="L1775" t="s">
        <v>61</v>
      </c>
      <c r="M1775" t="s">
        <v>58</v>
      </c>
      <c r="Q1775" t="s">
        <v>58</v>
      </c>
      <c r="R1775" s="11" t="str">
        <f>HYPERLINK("\\imagefiles.bcgov\imagery\scanned_maps\moe_terrain_maps\Scanned_T_maps_all\K15\K15-2740","\\imagefiles.bcgov\imagery\scanned_maps\moe_terrain_maps\Scanned_T_maps_all\K15\K15-2740")</f>
        <v>\\imagefiles.bcgov\imagery\scanned_maps\moe_terrain_maps\Scanned_T_maps_all\K15\K15-2740</v>
      </c>
      <c r="S1775" t="s">
        <v>62</v>
      </c>
      <c r="T1775" s="11" t="str">
        <f>HYPERLINK("http://www.env.gov.bc.ca/esd/distdata/ecosystems/TEI_Scanned_Maps/K15/K15-2740","http://www.env.gov.bc.ca/esd/distdata/ecosystems/TEI_Scanned_Maps/K15/K15-2740")</f>
        <v>http://www.env.gov.bc.ca/esd/distdata/ecosystems/TEI_Scanned_Maps/K15/K15-2740</v>
      </c>
      <c r="U1775" t="s">
        <v>58</v>
      </c>
      <c r="V1775" t="s">
        <v>58</v>
      </c>
      <c r="W1775" t="s">
        <v>58</v>
      </c>
      <c r="X1775" t="s">
        <v>58</v>
      </c>
      <c r="Y1775" t="s">
        <v>58</v>
      </c>
      <c r="Z1775" t="s">
        <v>58</v>
      </c>
      <c r="AA1775" t="s">
        <v>58</v>
      </c>
      <c r="AC1775" t="s">
        <v>58</v>
      </c>
      <c r="AE1775" t="s">
        <v>58</v>
      </c>
      <c r="AG1775" t="s">
        <v>63</v>
      </c>
      <c r="AH1775" s="11" t="str">
        <f t="shared" si="130"/>
        <v>mailto: soilterrain@victoria1.gov.bc.ca</v>
      </c>
    </row>
    <row r="1776" spans="1:34">
      <c r="A1776" t="s">
        <v>4113</v>
      </c>
      <c r="B1776" t="s">
        <v>56</v>
      </c>
      <c r="C1776" s="10" t="s">
        <v>1782</v>
      </c>
      <c r="D1776" t="s">
        <v>58</v>
      </c>
      <c r="E1776" t="s">
        <v>58</v>
      </c>
      <c r="F1776" t="s">
        <v>4114</v>
      </c>
      <c r="G1776">
        <v>50000</v>
      </c>
      <c r="H1776">
        <v>1987</v>
      </c>
      <c r="I1776" t="s">
        <v>58</v>
      </c>
      <c r="J1776" t="s">
        <v>58</v>
      </c>
      <c r="K1776" t="s">
        <v>58</v>
      </c>
      <c r="L1776" t="s">
        <v>61</v>
      </c>
      <c r="M1776" t="s">
        <v>58</v>
      </c>
      <c r="Q1776" t="s">
        <v>58</v>
      </c>
      <c r="R1776" s="11" t="str">
        <f>HYPERLINK("\\imagefiles.bcgov\imagery\scanned_maps\moe_terrain_maps\Scanned_T_maps_all\K15\K15-2742","\\imagefiles.bcgov\imagery\scanned_maps\moe_terrain_maps\Scanned_T_maps_all\K15\K15-2742")</f>
        <v>\\imagefiles.bcgov\imagery\scanned_maps\moe_terrain_maps\Scanned_T_maps_all\K15\K15-2742</v>
      </c>
      <c r="S1776" t="s">
        <v>62</v>
      </c>
      <c r="T1776" s="11" t="str">
        <f>HYPERLINK("http://www.env.gov.bc.ca/esd/distdata/ecosystems/TEI_Scanned_Maps/K15/K15-2742","http://www.env.gov.bc.ca/esd/distdata/ecosystems/TEI_Scanned_Maps/K15/K15-2742")</f>
        <v>http://www.env.gov.bc.ca/esd/distdata/ecosystems/TEI_Scanned_Maps/K15/K15-2742</v>
      </c>
      <c r="U1776" t="s">
        <v>58</v>
      </c>
      <c r="V1776" t="s">
        <v>58</v>
      </c>
      <c r="W1776" t="s">
        <v>58</v>
      </c>
      <c r="X1776" t="s">
        <v>58</v>
      </c>
      <c r="Y1776" t="s">
        <v>58</v>
      </c>
      <c r="Z1776" t="s">
        <v>58</v>
      </c>
      <c r="AA1776" t="s">
        <v>58</v>
      </c>
      <c r="AC1776" t="s">
        <v>58</v>
      </c>
      <c r="AE1776" t="s">
        <v>58</v>
      </c>
      <c r="AG1776" t="s">
        <v>63</v>
      </c>
      <c r="AH1776" s="11" t="str">
        <f t="shared" si="130"/>
        <v>mailto: soilterrain@victoria1.gov.bc.ca</v>
      </c>
    </row>
    <row r="1777" spans="1:34">
      <c r="A1777" t="s">
        <v>4115</v>
      </c>
      <c r="B1777" t="s">
        <v>56</v>
      </c>
      <c r="C1777" s="10" t="s">
        <v>1785</v>
      </c>
      <c r="D1777" t="s">
        <v>58</v>
      </c>
      <c r="E1777" t="s">
        <v>58</v>
      </c>
      <c r="F1777" t="s">
        <v>4116</v>
      </c>
      <c r="G1777">
        <v>50000</v>
      </c>
      <c r="H1777">
        <v>1987</v>
      </c>
      <c r="I1777" t="s">
        <v>58</v>
      </c>
      <c r="J1777" t="s">
        <v>58</v>
      </c>
      <c r="K1777" t="s">
        <v>58</v>
      </c>
      <c r="L1777" t="s">
        <v>61</v>
      </c>
      <c r="M1777" t="s">
        <v>58</v>
      </c>
      <c r="Q1777" t="s">
        <v>58</v>
      </c>
      <c r="R1777" s="11" t="str">
        <f>HYPERLINK("\\imagefiles.bcgov\imagery\scanned_maps\moe_terrain_maps\Scanned_T_maps_all\K15\K15-2744","\\imagefiles.bcgov\imagery\scanned_maps\moe_terrain_maps\Scanned_T_maps_all\K15\K15-2744")</f>
        <v>\\imagefiles.bcgov\imagery\scanned_maps\moe_terrain_maps\Scanned_T_maps_all\K15\K15-2744</v>
      </c>
      <c r="S1777" t="s">
        <v>62</v>
      </c>
      <c r="T1777" s="11" t="str">
        <f>HYPERLINK("http://www.env.gov.bc.ca/esd/distdata/ecosystems/TEI_Scanned_Maps/K15/K15-2744","http://www.env.gov.bc.ca/esd/distdata/ecosystems/TEI_Scanned_Maps/K15/K15-2744")</f>
        <v>http://www.env.gov.bc.ca/esd/distdata/ecosystems/TEI_Scanned_Maps/K15/K15-2744</v>
      </c>
      <c r="U1777" t="s">
        <v>58</v>
      </c>
      <c r="V1777" t="s">
        <v>58</v>
      </c>
      <c r="W1777" t="s">
        <v>58</v>
      </c>
      <c r="X1777" t="s">
        <v>58</v>
      </c>
      <c r="Y1777" t="s">
        <v>58</v>
      </c>
      <c r="Z1777" t="s">
        <v>58</v>
      </c>
      <c r="AA1777" t="s">
        <v>58</v>
      </c>
      <c r="AC1777" t="s">
        <v>58</v>
      </c>
      <c r="AE1777" t="s">
        <v>58</v>
      </c>
      <c r="AG1777" t="s">
        <v>63</v>
      </c>
      <c r="AH1777" s="11" t="str">
        <f t="shared" si="130"/>
        <v>mailto: soilterrain@victoria1.gov.bc.ca</v>
      </c>
    </row>
    <row r="1778" spans="1:34">
      <c r="A1778" t="s">
        <v>4117</v>
      </c>
      <c r="B1778" t="s">
        <v>56</v>
      </c>
      <c r="C1778" s="10" t="s">
        <v>1788</v>
      </c>
      <c r="D1778" t="s">
        <v>58</v>
      </c>
      <c r="E1778" t="s">
        <v>3230</v>
      </c>
      <c r="F1778" t="s">
        <v>4118</v>
      </c>
      <c r="G1778">
        <v>50000</v>
      </c>
      <c r="H1778">
        <v>1988</v>
      </c>
      <c r="I1778" t="s">
        <v>3232</v>
      </c>
      <c r="J1778" t="s">
        <v>58</v>
      </c>
      <c r="K1778" t="s">
        <v>61</v>
      </c>
      <c r="L1778" t="s">
        <v>61</v>
      </c>
      <c r="M1778" t="s">
        <v>58</v>
      </c>
      <c r="Q1778" t="s">
        <v>58</v>
      </c>
      <c r="R1778" s="11" t="str">
        <f>HYPERLINK("\\imagefiles.bcgov\imagery\scanned_maps\moe_terrain_maps\Scanned_T_maps_all\K15\K15-2746","\\imagefiles.bcgov\imagery\scanned_maps\moe_terrain_maps\Scanned_T_maps_all\K15\K15-2746")</f>
        <v>\\imagefiles.bcgov\imagery\scanned_maps\moe_terrain_maps\Scanned_T_maps_all\K15\K15-2746</v>
      </c>
      <c r="S1778" t="s">
        <v>62</v>
      </c>
      <c r="T1778" s="11" t="str">
        <f>HYPERLINK("http://www.env.gov.bc.ca/esd/distdata/ecosystems/TEI_Scanned_Maps/K15/K15-2746","http://www.env.gov.bc.ca/esd/distdata/ecosystems/TEI_Scanned_Maps/K15/K15-2746")</f>
        <v>http://www.env.gov.bc.ca/esd/distdata/ecosystems/TEI_Scanned_Maps/K15/K15-2746</v>
      </c>
      <c r="U1778" t="s">
        <v>2495</v>
      </c>
      <c r="V1778" s="11" t="str">
        <f>HYPERLINK("http://www.em.gov.bc.ca/mining/geolsurv/terrain&amp;soils/frbcguid.htm","http://www.em.gov.bc.ca/mining/geolsurv/terrain&amp;soils/frbcguid.htm")</f>
        <v>http://www.em.gov.bc.ca/mining/geolsurv/terrain&amp;soils/frbcguid.htm</v>
      </c>
      <c r="W1778" t="s">
        <v>58</v>
      </c>
      <c r="X1778" t="s">
        <v>58</v>
      </c>
      <c r="Y1778" t="s">
        <v>58</v>
      </c>
      <c r="Z1778" t="s">
        <v>58</v>
      </c>
      <c r="AA1778" t="s">
        <v>58</v>
      </c>
      <c r="AC1778" t="s">
        <v>58</v>
      </c>
      <c r="AE1778" t="s">
        <v>58</v>
      </c>
      <c r="AG1778" t="s">
        <v>63</v>
      </c>
      <c r="AH1778" s="11" t="str">
        <f t="shared" si="130"/>
        <v>mailto: soilterrain@victoria1.gov.bc.ca</v>
      </c>
    </row>
    <row r="1779" spans="1:34">
      <c r="A1779" t="s">
        <v>4119</v>
      </c>
      <c r="B1779" t="s">
        <v>56</v>
      </c>
      <c r="C1779" s="10" t="s">
        <v>1791</v>
      </c>
      <c r="D1779" t="s">
        <v>58</v>
      </c>
      <c r="E1779" t="s">
        <v>3230</v>
      </c>
      <c r="F1779" t="s">
        <v>4120</v>
      </c>
      <c r="G1779">
        <v>50000</v>
      </c>
      <c r="H1779">
        <v>1988</v>
      </c>
      <c r="I1779" t="s">
        <v>3232</v>
      </c>
      <c r="J1779" t="s">
        <v>58</v>
      </c>
      <c r="K1779" t="s">
        <v>61</v>
      </c>
      <c r="L1779" t="s">
        <v>61</v>
      </c>
      <c r="M1779" t="s">
        <v>58</v>
      </c>
      <c r="Q1779" t="s">
        <v>58</v>
      </c>
      <c r="R1779" s="11" t="str">
        <f>HYPERLINK("\\imagefiles.bcgov\imagery\scanned_maps\moe_terrain_maps\Scanned_T_maps_all\K15\K15-2748","\\imagefiles.bcgov\imagery\scanned_maps\moe_terrain_maps\Scanned_T_maps_all\K15\K15-2748")</f>
        <v>\\imagefiles.bcgov\imagery\scanned_maps\moe_terrain_maps\Scanned_T_maps_all\K15\K15-2748</v>
      </c>
      <c r="S1779" t="s">
        <v>62</v>
      </c>
      <c r="T1779" s="11" t="str">
        <f>HYPERLINK("http://www.env.gov.bc.ca/esd/distdata/ecosystems/TEI_Scanned_Maps/K15/K15-2748","http://www.env.gov.bc.ca/esd/distdata/ecosystems/TEI_Scanned_Maps/K15/K15-2748")</f>
        <v>http://www.env.gov.bc.ca/esd/distdata/ecosystems/TEI_Scanned_Maps/K15/K15-2748</v>
      </c>
      <c r="U1779" t="s">
        <v>2495</v>
      </c>
      <c r="V1779" s="11" t="str">
        <f>HYPERLINK("http://www.em.gov.bc.ca/mining/geolsurv/terrain&amp;soils/frbcguid.htm","http://www.em.gov.bc.ca/mining/geolsurv/terrain&amp;soils/frbcguid.htm")</f>
        <v>http://www.em.gov.bc.ca/mining/geolsurv/terrain&amp;soils/frbcguid.htm</v>
      </c>
      <c r="W1779" t="s">
        <v>58</v>
      </c>
      <c r="X1779" t="s">
        <v>58</v>
      </c>
      <c r="Y1779" t="s">
        <v>58</v>
      </c>
      <c r="Z1779" t="s">
        <v>58</v>
      </c>
      <c r="AA1779" t="s">
        <v>58</v>
      </c>
      <c r="AC1779" t="s">
        <v>58</v>
      </c>
      <c r="AE1779" t="s">
        <v>58</v>
      </c>
      <c r="AG1779" t="s">
        <v>63</v>
      </c>
      <c r="AH1779" s="11" t="str">
        <f t="shared" si="130"/>
        <v>mailto: soilterrain@victoria1.gov.bc.ca</v>
      </c>
    </row>
    <row r="1780" spans="1:34">
      <c r="A1780" t="s">
        <v>4121</v>
      </c>
      <c r="B1780" t="s">
        <v>56</v>
      </c>
      <c r="C1780" s="10" t="s">
        <v>1803</v>
      </c>
      <c r="D1780" t="s">
        <v>58</v>
      </c>
      <c r="E1780" t="s">
        <v>3236</v>
      </c>
      <c r="F1780" t="s">
        <v>3829</v>
      </c>
      <c r="G1780">
        <v>50000</v>
      </c>
      <c r="H1780">
        <v>1988</v>
      </c>
      <c r="I1780" t="s">
        <v>3238</v>
      </c>
      <c r="J1780" t="s">
        <v>58</v>
      </c>
      <c r="K1780" t="s">
        <v>58</v>
      </c>
      <c r="L1780" t="s">
        <v>61</v>
      </c>
      <c r="M1780" t="s">
        <v>58</v>
      </c>
      <c r="Q1780" t="s">
        <v>58</v>
      </c>
      <c r="R1780" s="11" t="str">
        <f>HYPERLINK("\\imagefiles.bcgov\imagery\scanned_maps\moe_terrain_maps\Scanned_T_maps_all\K15\K15-2774","\\imagefiles.bcgov\imagery\scanned_maps\moe_terrain_maps\Scanned_T_maps_all\K15\K15-2774")</f>
        <v>\\imagefiles.bcgov\imagery\scanned_maps\moe_terrain_maps\Scanned_T_maps_all\K15\K15-2774</v>
      </c>
      <c r="S1780" t="s">
        <v>62</v>
      </c>
      <c r="T1780" s="11" t="str">
        <f>HYPERLINK("http://www.env.gov.bc.ca/esd/distdata/ecosystems/TEI_Scanned_Maps/K15/K15-2774","http://www.env.gov.bc.ca/esd/distdata/ecosystems/TEI_Scanned_Maps/K15/K15-2774")</f>
        <v>http://www.env.gov.bc.ca/esd/distdata/ecosystems/TEI_Scanned_Maps/K15/K15-2774</v>
      </c>
      <c r="U1780" t="s">
        <v>58</v>
      </c>
      <c r="V1780" t="s">
        <v>58</v>
      </c>
      <c r="W1780" t="s">
        <v>58</v>
      </c>
      <c r="X1780" t="s">
        <v>58</v>
      </c>
      <c r="Y1780" t="s">
        <v>58</v>
      </c>
      <c r="Z1780" t="s">
        <v>58</v>
      </c>
      <c r="AA1780" t="s">
        <v>58</v>
      </c>
      <c r="AC1780" t="s">
        <v>58</v>
      </c>
      <c r="AE1780" t="s">
        <v>58</v>
      </c>
      <c r="AG1780" t="s">
        <v>63</v>
      </c>
      <c r="AH1780" s="11" t="str">
        <f t="shared" si="130"/>
        <v>mailto: soilterrain@victoria1.gov.bc.ca</v>
      </c>
    </row>
    <row r="1781" spans="1:34">
      <c r="A1781" t="s">
        <v>4122</v>
      </c>
      <c r="B1781" t="s">
        <v>56</v>
      </c>
      <c r="C1781" s="10" t="s">
        <v>1806</v>
      </c>
      <c r="D1781" t="s">
        <v>58</v>
      </c>
      <c r="E1781" t="s">
        <v>3236</v>
      </c>
      <c r="F1781" t="s">
        <v>3829</v>
      </c>
      <c r="G1781">
        <v>50000</v>
      </c>
      <c r="H1781">
        <v>1987</v>
      </c>
      <c r="I1781" t="s">
        <v>3238</v>
      </c>
      <c r="J1781" t="s">
        <v>58</v>
      </c>
      <c r="K1781" t="s">
        <v>58</v>
      </c>
      <c r="L1781" t="s">
        <v>61</v>
      </c>
      <c r="M1781" t="s">
        <v>58</v>
      </c>
      <c r="Q1781" t="s">
        <v>58</v>
      </c>
      <c r="R1781" s="11" t="str">
        <f>HYPERLINK("\\imagefiles.bcgov\imagery\scanned_maps\moe_terrain_maps\Scanned_T_maps_all\K15\K15-2776","\\imagefiles.bcgov\imagery\scanned_maps\moe_terrain_maps\Scanned_T_maps_all\K15\K15-2776")</f>
        <v>\\imagefiles.bcgov\imagery\scanned_maps\moe_terrain_maps\Scanned_T_maps_all\K15\K15-2776</v>
      </c>
      <c r="S1781" t="s">
        <v>62</v>
      </c>
      <c r="T1781" s="11" t="str">
        <f>HYPERLINK("http://www.env.gov.bc.ca/esd/distdata/ecosystems/TEI_Scanned_Maps/K15/K15-2776","http://www.env.gov.bc.ca/esd/distdata/ecosystems/TEI_Scanned_Maps/K15/K15-2776")</f>
        <v>http://www.env.gov.bc.ca/esd/distdata/ecosystems/TEI_Scanned_Maps/K15/K15-2776</v>
      </c>
      <c r="U1781" t="s">
        <v>58</v>
      </c>
      <c r="V1781" t="s">
        <v>58</v>
      </c>
      <c r="W1781" t="s">
        <v>58</v>
      </c>
      <c r="X1781" t="s">
        <v>58</v>
      </c>
      <c r="Y1781" t="s">
        <v>58</v>
      </c>
      <c r="Z1781" t="s">
        <v>58</v>
      </c>
      <c r="AA1781" t="s">
        <v>58</v>
      </c>
      <c r="AC1781" t="s">
        <v>58</v>
      </c>
      <c r="AE1781" t="s">
        <v>58</v>
      </c>
      <c r="AG1781" t="s">
        <v>63</v>
      </c>
      <c r="AH1781" s="11" t="str">
        <f t="shared" si="130"/>
        <v>mailto: soilterrain@victoria1.gov.bc.ca</v>
      </c>
    </row>
    <row r="1782" spans="1:34">
      <c r="A1782" t="s">
        <v>4123</v>
      </c>
      <c r="B1782" t="s">
        <v>56</v>
      </c>
      <c r="C1782" s="10" t="s">
        <v>1809</v>
      </c>
      <c r="D1782" t="s">
        <v>58</v>
      </c>
      <c r="E1782" t="s">
        <v>3236</v>
      </c>
      <c r="F1782" t="s">
        <v>3829</v>
      </c>
      <c r="G1782">
        <v>50000</v>
      </c>
      <c r="H1782">
        <v>1988</v>
      </c>
      <c r="I1782" t="s">
        <v>3238</v>
      </c>
      <c r="J1782" t="s">
        <v>58</v>
      </c>
      <c r="K1782" t="s">
        <v>58</v>
      </c>
      <c r="L1782" t="s">
        <v>61</v>
      </c>
      <c r="M1782" t="s">
        <v>58</v>
      </c>
      <c r="Q1782" t="s">
        <v>58</v>
      </c>
      <c r="R1782" s="11" t="str">
        <f>HYPERLINK("\\imagefiles.bcgov\imagery\scanned_maps\moe_terrain_maps\Scanned_T_maps_all\K15\K15-2778","\\imagefiles.bcgov\imagery\scanned_maps\moe_terrain_maps\Scanned_T_maps_all\K15\K15-2778")</f>
        <v>\\imagefiles.bcgov\imagery\scanned_maps\moe_terrain_maps\Scanned_T_maps_all\K15\K15-2778</v>
      </c>
      <c r="S1782" t="s">
        <v>62</v>
      </c>
      <c r="T1782" s="11" t="str">
        <f>HYPERLINK("http://www.env.gov.bc.ca/esd/distdata/ecosystems/TEI_Scanned_Maps/K15/K15-2778","http://www.env.gov.bc.ca/esd/distdata/ecosystems/TEI_Scanned_Maps/K15/K15-2778")</f>
        <v>http://www.env.gov.bc.ca/esd/distdata/ecosystems/TEI_Scanned_Maps/K15/K15-2778</v>
      </c>
      <c r="U1782" t="s">
        <v>58</v>
      </c>
      <c r="V1782" t="s">
        <v>58</v>
      </c>
      <c r="W1782" t="s">
        <v>58</v>
      </c>
      <c r="X1782" t="s">
        <v>58</v>
      </c>
      <c r="Y1782" t="s">
        <v>58</v>
      </c>
      <c r="Z1782" t="s">
        <v>58</v>
      </c>
      <c r="AA1782" t="s">
        <v>58</v>
      </c>
      <c r="AC1782" t="s">
        <v>58</v>
      </c>
      <c r="AE1782" t="s">
        <v>58</v>
      </c>
      <c r="AG1782" t="s">
        <v>63</v>
      </c>
      <c r="AH1782" s="11" t="str">
        <f t="shared" si="130"/>
        <v>mailto: soilterrain@victoria1.gov.bc.ca</v>
      </c>
    </row>
    <row r="1783" spans="1:34">
      <c r="A1783" t="s">
        <v>4124</v>
      </c>
      <c r="B1783" t="s">
        <v>56</v>
      </c>
      <c r="C1783" s="10" t="s">
        <v>522</v>
      </c>
      <c r="D1783" t="s">
        <v>58</v>
      </c>
      <c r="E1783" t="s">
        <v>3236</v>
      </c>
      <c r="F1783" t="s">
        <v>3829</v>
      </c>
      <c r="G1783">
        <v>50000</v>
      </c>
      <c r="H1783">
        <v>1988</v>
      </c>
      <c r="I1783" t="s">
        <v>3238</v>
      </c>
      <c r="J1783" t="s">
        <v>58</v>
      </c>
      <c r="K1783" t="s">
        <v>58</v>
      </c>
      <c r="L1783" t="s">
        <v>61</v>
      </c>
      <c r="M1783" t="s">
        <v>58</v>
      </c>
      <c r="Q1783" t="s">
        <v>58</v>
      </c>
      <c r="R1783" s="11" t="str">
        <f>HYPERLINK("\\imagefiles.bcgov\imagery\scanned_maps\moe_terrain_maps\Scanned_T_maps_all\K15\K15-2780","\\imagefiles.bcgov\imagery\scanned_maps\moe_terrain_maps\Scanned_T_maps_all\K15\K15-2780")</f>
        <v>\\imagefiles.bcgov\imagery\scanned_maps\moe_terrain_maps\Scanned_T_maps_all\K15\K15-2780</v>
      </c>
      <c r="S1783" t="s">
        <v>62</v>
      </c>
      <c r="T1783" s="11" t="str">
        <f>HYPERLINK("http://www.env.gov.bc.ca/esd/distdata/ecosystems/TEI_Scanned_Maps/K15/K15-2780","http://www.env.gov.bc.ca/esd/distdata/ecosystems/TEI_Scanned_Maps/K15/K15-2780")</f>
        <v>http://www.env.gov.bc.ca/esd/distdata/ecosystems/TEI_Scanned_Maps/K15/K15-2780</v>
      </c>
      <c r="U1783" t="s">
        <v>58</v>
      </c>
      <c r="V1783" t="s">
        <v>58</v>
      </c>
      <c r="W1783" t="s">
        <v>58</v>
      </c>
      <c r="X1783" t="s">
        <v>58</v>
      </c>
      <c r="Y1783" t="s">
        <v>58</v>
      </c>
      <c r="Z1783" t="s">
        <v>58</v>
      </c>
      <c r="AA1783" t="s">
        <v>58</v>
      </c>
      <c r="AC1783" t="s">
        <v>58</v>
      </c>
      <c r="AE1783" t="s">
        <v>58</v>
      </c>
      <c r="AG1783" t="s">
        <v>63</v>
      </c>
      <c r="AH1783" s="11" t="str">
        <f t="shared" si="130"/>
        <v>mailto: soilterrain@victoria1.gov.bc.ca</v>
      </c>
    </row>
    <row r="1784" spans="1:34">
      <c r="A1784" t="s">
        <v>4125</v>
      </c>
      <c r="B1784" t="s">
        <v>56</v>
      </c>
      <c r="C1784" s="10" t="s">
        <v>525</v>
      </c>
      <c r="D1784" t="s">
        <v>58</v>
      </c>
      <c r="E1784" t="s">
        <v>3236</v>
      </c>
      <c r="F1784" t="s">
        <v>3829</v>
      </c>
      <c r="G1784">
        <v>50000</v>
      </c>
      <c r="H1784">
        <v>1988</v>
      </c>
      <c r="I1784" t="s">
        <v>3238</v>
      </c>
      <c r="J1784" t="s">
        <v>58</v>
      </c>
      <c r="K1784" t="s">
        <v>58</v>
      </c>
      <c r="L1784" t="s">
        <v>61</v>
      </c>
      <c r="M1784" t="s">
        <v>58</v>
      </c>
      <c r="Q1784" t="s">
        <v>58</v>
      </c>
      <c r="R1784" s="11" t="str">
        <f>HYPERLINK("\\imagefiles.bcgov\imagery\scanned_maps\moe_terrain_maps\Scanned_T_maps_all\K15\K15-2782","\\imagefiles.bcgov\imagery\scanned_maps\moe_terrain_maps\Scanned_T_maps_all\K15\K15-2782")</f>
        <v>\\imagefiles.bcgov\imagery\scanned_maps\moe_terrain_maps\Scanned_T_maps_all\K15\K15-2782</v>
      </c>
      <c r="S1784" t="s">
        <v>62</v>
      </c>
      <c r="T1784" s="11" t="str">
        <f>HYPERLINK("http://www.env.gov.bc.ca/esd/distdata/ecosystems/TEI_Scanned_Maps/K15/K15-2782","http://www.env.gov.bc.ca/esd/distdata/ecosystems/TEI_Scanned_Maps/K15/K15-2782")</f>
        <v>http://www.env.gov.bc.ca/esd/distdata/ecosystems/TEI_Scanned_Maps/K15/K15-2782</v>
      </c>
      <c r="U1784" t="s">
        <v>58</v>
      </c>
      <c r="V1784" t="s">
        <v>58</v>
      </c>
      <c r="W1784" t="s">
        <v>58</v>
      </c>
      <c r="X1784" t="s">
        <v>58</v>
      </c>
      <c r="Y1784" t="s">
        <v>58</v>
      </c>
      <c r="Z1784" t="s">
        <v>58</v>
      </c>
      <c r="AA1784" t="s">
        <v>58</v>
      </c>
      <c r="AC1784" t="s">
        <v>58</v>
      </c>
      <c r="AE1784" t="s">
        <v>58</v>
      </c>
      <c r="AG1784" t="s">
        <v>63</v>
      </c>
      <c r="AH1784" s="11" t="str">
        <f t="shared" si="130"/>
        <v>mailto: soilterrain@victoria1.gov.bc.ca</v>
      </c>
    </row>
    <row r="1785" spans="1:34">
      <c r="A1785" t="s">
        <v>4126</v>
      </c>
      <c r="B1785" t="s">
        <v>56</v>
      </c>
      <c r="C1785" s="10" t="s">
        <v>528</v>
      </c>
      <c r="D1785" t="s">
        <v>58</v>
      </c>
      <c r="E1785" t="s">
        <v>3236</v>
      </c>
      <c r="F1785" t="s">
        <v>3829</v>
      </c>
      <c r="G1785">
        <v>50000</v>
      </c>
      <c r="H1785">
        <v>1986</v>
      </c>
      <c r="I1785" t="s">
        <v>3238</v>
      </c>
      <c r="J1785" t="s">
        <v>58</v>
      </c>
      <c r="K1785" t="s">
        <v>58</v>
      </c>
      <c r="L1785" t="s">
        <v>61</v>
      </c>
      <c r="M1785" t="s">
        <v>58</v>
      </c>
      <c r="Q1785" t="s">
        <v>58</v>
      </c>
      <c r="R1785" s="11" t="str">
        <f>HYPERLINK("\\imagefiles.bcgov\imagery\scanned_maps\moe_terrain_maps\Scanned_T_maps_all\K15\K15-2784","\\imagefiles.bcgov\imagery\scanned_maps\moe_terrain_maps\Scanned_T_maps_all\K15\K15-2784")</f>
        <v>\\imagefiles.bcgov\imagery\scanned_maps\moe_terrain_maps\Scanned_T_maps_all\K15\K15-2784</v>
      </c>
      <c r="S1785" t="s">
        <v>62</v>
      </c>
      <c r="T1785" s="11" t="str">
        <f>HYPERLINK("http://www.env.gov.bc.ca/esd/distdata/ecosystems/TEI_Scanned_Maps/K15/K15-2784","http://www.env.gov.bc.ca/esd/distdata/ecosystems/TEI_Scanned_Maps/K15/K15-2784")</f>
        <v>http://www.env.gov.bc.ca/esd/distdata/ecosystems/TEI_Scanned_Maps/K15/K15-2784</v>
      </c>
      <c r="U1785" t="s">
        <v>58</v>
      </c>
      <c r="V1785" t="s">
        <v>58</v>
      </c>
      <c r="W1785" t="s">
        <v>58</v>
      </c>
      <c r="X1785" t="s">
        <v>58</v>
      </c>
      <c r="Y1785" t="s">
        <v>58</v>
      </c>
      <c r="Z1785" t="s">
        <v>58</v>
      </c>
      <c r="AA1785" t="s">
        <v>58</v>
      </c>
      <c r="AC1785" t="s">
        <v>58</v>
      </c>
      <c r="AE1785" t="s">
        <v>58</v>
      </c>
      <c r="AG1785" t="s">
        <v>63</v>
      </c>
      <c r="AH1785" s="11" t="str">
        <f t="shared" si="130"/>
        <v>mailto: soilterrain@victoria1.gov.bc.ca</v>
      </c>
    </row>
    <row r="1786" spans="1:34">
      <c r="A1786" t="s">
        <v>4127</v>
      </c>
      <c r="B1786" t="s">
        <v>56</v>
      </c>
      <c r="C1786" s="10" t="s">
        <v>531</v>
      </c>
      <c r="D1786" t="s">
        <v>58</v>
      </c>
      <c r="E1786" t="s">
        <v>3236</v>
      </c>
      <c r="F1786" t="s">
        <v>3829</v>
      </c>
      <c r="G1786">
        <v>50000</v>
      </c>
      <c r="H1786">
        <v>1988</v>
      </c>
      <c r="I1786" t="s">
        <v>3238</v>
      </c>
      <c r="J1786" t="s">
        <v>58</v>
      </c>
      <c r="K1786" t="s">
        <v>58</v>
      </c>
      <c r="L1786" t="s">
        <v>61</v>
      </c>
      <c r="M1786" t="s">
        <v>58</v>
      </c>
      <c r="Q1786" t="s">
        <v>58</v>
      </c>
      <c r="R1786" s="11" t="str">
        <f>HYPERLINK("\\imagefiles.bcgov\imagery\scanned_maps\moe_terrain_maps\Scanned_T_maps_all\K15\K15-2786","\\imagefiles.bcgov\imagery\scanned_maps\moe_terrain_maps\Scanned_T_maps_all\K15\K15-2786")</f>
        <v>\\imagefiles.bcgov\imagery\scanned_maps\moe_terrain_maps\Scanned_T_maps_all\K15\K15-2786</v>
      </c>
      <c r="S1786" t="s">
        <v>62</v>
      </c>
      <c r="T1786" s="11" t="str">
        <f>HYPERLINK("http://www.env.gov.bc.ca/esd/distdata/ecosystems/TEI_Scanned_Maps/K15/K15-2786","http://www.env.gov.bc.ca/esd/distdata/ecosystems/TEI_Scanned_Maps/K15/K15-2786")</f>
        <v>http://www.env.gov.bc.ca/esd/distdata/ecosystems/TEI_Scanned_Maps/K15/K15-2786</v>
      </c>
      <c r="U1786" t="s">
        <v>58</v>
      </c>
      <c r="V1786" t="s">
        <v>58</v>
      </c>
      <c r="W1786" t="s">
        <v>58</v>
      </c>
      <c r="X1786" t="s">
        <v>58</v>
      </c>
      <c r="Y1786" t="s">
        <v>58</v>
      </c>
      <c r="Z1786" t="s">
        <v>58</v>
      </c>
      <c r="AA1786" t="s">
        <v>58</v>
      </c>
      <c r="AC1786" t="s">
        <v>58</v>
      </c>
      <c r="AE1786" t="s">
        <v>58</v>
      </c>
      <c r="AG1786" t="s">
        <v>63</v>
      </c>
      <c r="AH1786" s="11" t="str">
        <f t="shared" si="130"/>
        <v>mailto: soilterrain@victoria1.gov.bc.ca</v>
      </c>
    </row>
    <row r="1787" spans="1:34">
      <c r="A1787" t="s">
        <v>4128</v>
      </c>
      <c r="B1787" t="s">
        <v>56</v>
      </c>
      <c r="C1787" s="10" t="s">
        <v>1818</v>
      </c>
      <c r="D1787" t="s">
        <v>58</v>
      </c>
      <c r="E1787" t="s">
        <v>3241</v>
      </c>
      <c r="F1787" t="s">
        <v>4129</v>
      </c>
      <c r="G1787">
        <v>50000</v>
      </c>
      <c r="H1787">
        <v>1988</v>
      </c>
      <c r="I1787" t="s">
        <v>3243</v>
      </c>
      <c r="J1787" t="s">
        <v>58</v>
      </c>
      <c r="K1787" t="s">
        <v>58</v>
      </c>
      <c r="L1787" t="s">
        <v>61</v>
      </c>
      <c r="M1787" t="s">
        <v>58</v>
      </c>
      <c r="Q1787" t="s">
        <v>58</v>
      </c>
      <c r="R1787" s="11" t="str">
        <f>HYPERLINK("\\imagefiles.bcgov\imagery\scanned_maps\moe_terrain_maps\Scanned_T_maps_all\K15\K15-2797","\\imagefiles.bcgov\imagery\scanned_maps\moe_terrain_maps\Scanned_T_maps_all\K15\K15-2797")</f>
        <v>\\imagefiles.bcgov\imagery\scanned_maps\moe_terrain_maps\Scanned_T_maps_all\K15\K15-2797</v>
      </c>
      <c r="S1787" t="s">
        <v>62</v>
      </c>
      <c r="T1787" s="11" t="str">
        <f>HYPERLINK("http://www.env.gov.bc.ca/esd/distdata/ecosystems/TEI_Scanned_Maps/K15/K15-2797","http://www.env.gov.bc.ca/esd/distdata/ecosystems/TEI_Scanned_Maps/K15/K15-2797")</f>
        <v>http://www.env.gov.bc.ca/esd/distdata/ecosystems/TEI_Scanned_Maps/K15/K15-2797</v>
      </c>
      <c r="U1787" t="s">
        <v>2495</v>
      </c>
      <c r="V1787" s="11" t="str">
        <f t="shared" ref="V1787:V1801" si="139">HYPERLINK("http://www.em.gov.bc.ca/mining/geolsurv/terrain&amp;soils/frbcguid.htm","http://www.em.gov.bc.ca/mining/geolsurv/terrain&amp;soils/frbcguid.htm")</f>
        <v>http://www.em.gov.bc.ca/mining/geolsurv/terrain&amp;soils/frbcguid.htm</v>
      </c>
      <c r="W1787" t="s">
        <v>269</v>
      </c>
      <c r="X1787" s="11" t="str">
        <f t="shared" ref="X1787:X1798" si="140">HYPERLINK("http://www.library.for.gov.bc.ca/#focus","http://www.library.for.gov.bc.ca/#focus")</f>
        <v>http://www.library.for.gov.bc.ca/#focus</v>
      </c>
      <c r="Y1787" t="s">
        <v>58</v>
      </c>
      <c r="Z1787" t="s">
        <v>58</v>
      </c>
      <c r="AA1787" t="s">
        <v>58</v>
      </c>
      <c r="AC1787" t="s">
        <v>58</v>
      </c>
      <c r="AE1787" t="s">
        <v>58</v>
      </c>
      <c r="AG1787" t="s">
        <v>63</v>
      </c>
      <c r="AH1787" s="11" t="str">
        <f t="shared" si="130"/>
        <v>mailto: soilterrain@victoria1.gov.bc.ca</v>
      </c>
    </row>
    <row r="1788" spans="1:34">
      <c r="A1788" t="s">
        <v>4130</v>
      </c>
      <c r="B1788" t="s">
        <v>56</v>
      </c>
      <c r="C1788" s="10" t="s">
        <v>1821</v>
      </c>
      <c r="D1788" t="s">
        <v>58</v>
      </c>
      <c r="E1788" t="s">
        <v>3241</v>
      </c>
      <c r="F1788" t="s">
        <v>4131</v>
      </c>
      <c r="G1788">
        <v>50000</v>
      </c>
      <c r="H1788">
        <v>1988</v>
      </c>
      <c r="I1788" t="s">
        <v>3243</v>
      </c>
      <c r="J1788" t="s">
        <v>58</v>
      </c>
      <c r="K1788" t="s">
        <v>58</v>
      </c>
      <c r="L1788" t="s">
        <v>61</v>
      </c>
      <c r="M1788" t="s">
        <v>58</v>
      </c>
      <c r="Q1788" t="s">
        <v>58</v>
      </c>
      <c r="R1788" s="11" t="str">
        <f>HYPERLINK("\\imagefiles.bcgov\imagery\scanned_maps\moe_terrain_maps\Scanned_T_maps_all\K15\K15-2799","\\imagefiles.bcgov\imagery\scanned_maps\moe_terrain_maps\Scanned_T_maps_all\K15\K15-2799")</f>
        <v>\\imagefiles.bcgov\imagery\scanned_maps\moe_terrain_maps\Scanned_T_maps_all\K15\K15-2799</v>
      </c>
      <c r="S1788" t="s">
        <v>62</v>
      </c>
      <c r="T1788" s="11" t="str">
        <f>HYPERLINK("http://www.env.gov.bc.ca/esd/distdata/ecosystems/TEI_Scanned_Maps/K15/K15-2799","http://www.env.gov.bc.ca/esd/distdata/ecosystems/TEI_Scanned_Maps/K15/K15-2799")</f>
        <v>http://www.env.gov.bc.ca/esd/distdata/ecosystems/TEI_Scanned_Maps/K15/K15-2799</v>
      </c>
      <c r="U1788" t="s">
        <v>2495</v>
      </c>
      <c r="V1788" s="11" t="str">
        <f t="shared" si="139"/>
        <v>http://www.em.gov.bc.ca/mining/geolsurv/terrain&amp;soils/frbcguid.htm</v>
      </c>
      <c r="W1788" t="s">
        <v>269</v>
      </c>
      <c r="X1788" s="11" t="str">
        <f t="shared" si="140"/>
        <v>http://www.library.for.gov.bc.ca/#focus</v>
      </c>
      <c r="Y1788" t="s">
        <v>58</v>
      </c>
      <c r="Z1788" t="s">
        <v>58</v>
      </c>
      <c r="AA1788" t="s">
        <v>58</v>
      </c>
      <c r="AC1788" t="s">
        <v>58</v>
      </c>
      <c r="AE1788" t="s">
        <v>58</v>
      </c>
      <c r="AG1788" t="s">
        <v>63</v>
      </c>
      <c r="AH1788" s="11" t="str">
        <f t="shared" si="130"/>
        <v>mailto: soilterrain@victoria1.gov.bc.ca</v>
      </c>
    </row>
    <row r="1789" spans="1:34">
      <c r="A1789" t="s">
        <v>4132</v>
      </c>
      <c r="B1789" t="s">
        <v>56</v>
      </c>
      <c r="C1789" s="10" t="s">
        <v>1827</v>
      </c>
      <c r="D1789" t="s">
        <v>58</v>
      </c>
      <c r="E1789" t="s">
        <v>3241</v>
      </c>
      <c r="F1789" t="s">
        <v>4133</v>
      </c>
      <c r="G1789">
        <v>50000</v>
      </c>
      <c r="H1789">
        <v>1987</v>
      </c>
      <c r="I1789" t="s">
        <v>3243</v>
      </c>
      <c r="J1789" t="s">
        <v>58</v>
      </c>
      <c r="K1789" t="s">
        <v>58</v>
      </c>
      <c r="L1789" t="s">
        <v>61</v>
      </c>
      <c r="M1789" t="s">
        <v>58</v>
      </c>
      <c r="Q1789" t="s">
        <v>58</v>
      </c>
      <c r="R1789" s="11" t="str">
        <f>HYPERLINK("\\imagefiles.bcgov\imagery\scanned_maps\moe_terrain_maps\Scanned_T_maps_all\K15\K15-2801","\\imagefiles.bcgov\imagery\scanned_maps\moe_terrain_maps\Scanned_T_maps_all\K15\K15-2801")</f>
        <v>\\imagefiles.bcgov\imagery\scanned_maps\moe_terrain_maps\Scanned_T_maps_all\K15\K15-2801</v>
      </c>
      <c r="S1789" t="s">
        <v>62</v>
      </c>
      <c r="T1789" s="11" t="str">
        <f>HYPERLINK("http://www.env.gov.bc.ca/esd/distdata/ecosystems/TEI_Scanned_Maps/K15/K15-2801","http://www.env.gov.bc.ca/esd/distdata/ecosystems/TEI_Scanned_Maps/K15/K15-2801")</f>
        <v>http://www.env.gov.bc.ca/esd/distdata/ecosystems/TEI_Scanned_Maps/K15/K15-2801</v>
      </c>
      <c r="U1789" t="s">
        <v>2495</v>
      </c>
      <c r="V1789" s="11" t="str">
        <f t="shared" si="139"/>
        <v>http://www.em.gov.bc.ca/mining/geolsurv/terrain&amp;soils/frbcguid.htm</v>
      </c>
      <c r="W1789" t="s">
        <v>269</v>
      </c>
      <c r="X1789" s="11" t="str">
        <f t="shared" si="140"/>
        <v>http://www.library.for.gov.bc.ca/#focus</v>
      </c>
      <c r="Y1789" t="s">
        <v>58</v>
      </c>
      <c r="Z1789" t="s">
        <v>58</v>
      </c>
      <c r="AA1789" t="s">
        <v>58</v>
      </c>
      <c r="AC1789" t="s">
        <v>58</v>
      </c>
      <c r="AE1789" t="s">
        <v>58</v>
      </c>
      <c r="AG1789" t="s">
        <v>63</v>
      </c>
      <c r="AH1789" s="11" t="str">
        <f t="shared" si="130"/>
        <v>mailto: soilterrain@victoria1.gov.bc.ca</v>
      </c>
    </row>
    <row r="1790" spans="1:34">
      <c r="A1790" t="s">
        <v>4134</v>
      </c>
      <c r="B1790" t="s">
        <v>56</v>
      </c>
      <c r="C1790" s="10" t="s">
        <v>1830</v>
      </c>
      <c r="D1790" t="s">
        <v>58</v>
      </c>
      <c r="E1790" t="s">
        <v>3241</v>
      </c>
      <c r="F1790" t="s">
        <v>4135</v>
      </c>
      <c r="G1790">
        <v>50000</v>
      </c>
      <c r="H1790">
        <v>1988</v>
      </c>
      <c r="I1790" t="s">
        <v>3243</v>
      </c>
      <c r="J1790" t="s">
        <v>58</v>
      </c>
      <c r="K1790" t="s">
        <v>58</v>
      </c>
      <c r="L1790" t="s">
        <v>61</v>
      </c>
      <c r="M1790" t="s">
        <v>58</v>
      </c>
      <c r="Q1790" t="s">
        <v>58</v>
      </c>
      <c r="R1790" s="11" t="str">
        <f>HYPERLINK("\\imagefiles.bcgov\imagery\scanned_maps\moe_terrain_maps\Scanned_T_maps_all\K15\K15-2803","\\imagefiles.bcgov\imagery\scanned_maps\moe_terrain_maps\Scanned_T_maps_all\K15\K15-2803")</f>
        <v>\\imagefiles.bcgov\imagery\scanned_maps\moe_terrain_maps\Scanned_T_maps_all\K15\K15-2803</v>
      </c>
      <c r="S1790" t="s">
        <v>62</v>
      </c>
      <c r="T1790" s="11" t="str">
        <f>HYPERLINK("http://www.env.gov.bc.ca/esd/distdata/ecosystems/TEI_Scanned_Maps/K15/K15-2803","http://www.env.gov.bc.ca/esd/distdata/ecosystems/TEI_Scanned_Maps/K15/K15-2803")</f>
        <v>http://www.env.gov.bc.ca/esd/distdata/ecosystems/TEI_Scanned_Maps/K15/K15-2803</v>
      </c>
      <c r="U1790" t="s">
        <v>2495</v>
      </c>
      <c r="V1790" s="11" t="str">
        <f t="shared" si="139"/>
        <v>http://www.em.gov.bc.ca/mining/geolsurv/terrain&amp;soils/frbcguid.htm</v>
      </c>
      <c r="W1790" t="s">
        <v>269</v>
      </c>
      <c r="X1790" s="11" t="str">
        <f t="shared" si="140"/>
        <v>http://www.library.for.gov.bc.ca/#focus</v>
      </c>
      <c r="Y1790" t="s">
        <v>58</v>
      </c>
      <c r="Z1790" t="s">
        <v>58</v>
      </c>
      <c r="AA1790" t="s">
        <v>58</v>
      </c>
      <c r="AC1790" t="s">
        <v>58</v>
      </c>
      <c r="AE1790" t="s">
        <v>58</v>
      </c>
      <c r="AG1790" t="s">
        <v>63</v>
      </c>
      <c r="AH1790" s="11" t="str">
        <f t="shared" si="130"/>
        <v>mailto: soilterrain@victoria1.gov.bc.ca</v>
      </c>
    </row>
    <row r="1791" spans="1:34">
      <c r="A1791" t="s">
        <v>4136</v>
      </c>
      <c r="B1791" t="s">
        <v>56</v>
      </c>
      <c r="C1791" s="10" t="s">
        <v>1839</v>
      </c>
      <c r="D1791" t="s">
        <v>58</v>
      </c>
      <c r="E1791" t="s">
        <v>3241</v>
      </c>
      <c r="F1791" t="s">
        <v>4137</v>
      </c>
      <c r="G1791">
        <v>50000</v>
      </c>
      <c r="H1791">
        <v>1988</v>
      </c>
      <c r="I1791" t="s">
        <v>3243</v>
      </c>
      <c r="J1791" t="s">
        <v>58</v>
      </c>
      <c r="K1791" t="s">
        <v>58</v>
      </c>
      <c r="L1791" t="s">
        <v>61</v>
      </c>
      <c r="M1791" t="s">
        <v>58</v>
      </c>
      <c r="Q1791" t="s">
        <v>58</v>
      </c>
      <c r="R1791" s="11" t="str">
        <f>HYPERLINK("\\imagefiles.bcgov\imagery\scanned_maps\moe_terrain_maps\Scanned_T_maps_all\K15\K15-2811","\\imagefiles.bcgov\imagery\scanned_maps\moe_terrain_maps\Scanned_T_maps_all\K15\K15-2811")</f>
        <v>\\imagefiles.bcgov\imagery\scanned_maps\moe_terrain_maps\Scanned_T_maps_all\K15\K15-2811</v>
      </c>
      <c r="S1791" t="s">
        <v>62</v>
      </c>
      <c r="T1791" s="11" t="str">
        <f>HYPERLINK("http://www.env.gov.bc.ca/esd/distdata/ecosystems/TEI_Scanned_Maps/K15/K15-2811","http://www.env.gov.bc.ca/esd/distdata/ecosystems/TEI_Scanned_Maps/K15/K15-2811")</f>
        <v>http://www.env.gov.bc.ca/esd/distdata/ecosystems/TEI_Scanned_Maps/K15/K15-2811</v>
      </c>
      <c r="U1791" t="s">
        <v>2495</v>
      </c>
      <c r="V1791" s="11" t="str">
        <f t="shared" si="139"/>
        <v>http://www.em.gov.bc.ca/mining/geolsurv/terrain&amp;soils/frbcguid.htm</v>
      </c>
      <c r="W1791" t="s">
        <v>269</v>
      </c>
      <c r="X1791" s="11" t="str">
        <f t="shared" si="140"/>
        <v>http://www.library.for.gov.bc.ca/#focus</v>
      </c>
      <c r="Y1791" t="s">
        <v>58</v>
      </c>
      <c r="Z1791" t="s">
        <v>58</v>
      </c>
      <c r="AA1791" t="s">
        <v>58</v>
      </c>
      <c r="AC1791" t="s">
        <v>58</v>
      </c>
      <c r="AE1791" t="s">
        <v>58</v>
      </c>
      <c r="AG1791" t="s">
        <v>63</v>
      </c>
      <c r="AH1791" s="11" t="str">
        <f t="shared" si="130"/>
        <v>mailto: soilterrain@victoria1.gov.bc.ca</v>
      </c>
    </row>
    <row r="1792" spans="1:34">
      <c r="A1792" t="s">
        <v>4138</v>
      </c>
      <c r="B1792" t="s">
        <v>56</v>
      </c>
      <c r="C1792" s="10" t="s">
        <v>1842</v>
      </c>
      <c r="D1792" t="s">
        <v>58</v>
      </c>
      <c r="E1792" t="s">
        <v>3241</v>
      </c>
      <c r="F1792" t="s">
        <v>4139</v>
      </c>
      <c r="G1792">
        <v>50000</v>
      </c>
      <c r="H1792">
        <v>1988</v>
      </c>
      <c r="I1792" t="s">
        <v>3243</v>
      </c>
      <c r="J1792" t="s">
        <v>58</v>
      </c>
      <c r="K1792" t="s">
        <v>58</v>
      </c>
      <c r="L1792" t="s">
        <v>61</v>
      </c>
      <c r="M1792" t="s">
        <v>58</v>
      </c>
      <c r="Q1792" t="s">
        <v>58</v>
      </c>
      <c r="R1792" s="11" t="str">
        <f>HYPERLINK("\\imagefiles.bcgov\imagery\scanned_maps\moe_terrain_maps\Scanned_T_maps_all\K15\K15-2813","\\imagefiles.bcgov\imagery\scanned_maps\moe_terrain_maps\Scanned_T_maps_all\K15\K15-2813")</f>
        <v>\\imagefiles.bcgov\imagery\scanned_maps\moe_terrain_maps\Scanned_T_maps_all\K15\K15-2813</v>
      </c>
      <c r="S1792" t="s">
        <v>62</v>
      </c>
      <c r="T1792" s="11" t="str">
        <f>HYPERLINK("http://www.env.gov.bc.ca/esd/distdata/ecosystems/TEI_Scanned_Maps/K15/K15-2813","http://www.env.gov.bc.ca/esd/distdata/ecosystems/TEI_Scanned_Maps/K15/K15-2813")</f>
        <v>http://www.env.gov.bc.ca/esd/distdata/ecosystems/TEI_Scanned_Maps/K15/K15-2813</v>
      </c>
      <c r="U1792" t="s">
        <v>2495</v>
      </c>
      <c r="V1792" s="11" t="str">
        <f t="shared" si="139"/>
        <v>http://www.em.gov.bc.ca/mining/geolsurv/terrain&amp;soils/frbcguid.htm</v>
      </c>
      <c r="W1792" t="s">
        <v>269</v>
      </c>
      <c r="X1792" s="11" t="str">
        <f t="shared" si="140"/>
        <v>http://www.library.for.gov.bc.ca/#focus</v>
      </c>
      <c r="Y1792" t="s">
        <v>58</v>
      </c>
      <c r="Z1792" t="s">
        <v>58</v>
      </c>
      <c r="AA1792" t="s">
        <v>58</v>
      </c>
      <c r="AC1792" t="s">
        <v>58</v>
      </c>
      <c r="AE1792" t="s">
        <v>58</v>
      </c>
      <c r="AG1792" t="s">
        <v>63</v>
      </c>
      <c r="AH1792" s="11" t="str">
        <f t="shared" si="130"/>
        <v>mailto: soilterrain@victoria1.gov.bc.ca</v>
      </c>
    </row>
    <row r="1793" spans="1:34">
      <c r="A1793" t="s">
        <v>4140</v>
      </c>
      <c r="B1793" t="s">
        <v>56</v>
      </c>
      <c r="C1793" s="10" t="s">
        <v>1845</v>
      </c>
      <c r="D1793" t="s">
        <v>58</v>
      </c>
      <c r="E1793" t="s">
        <v>3241</v>
      </c>
      <c r="F1793" t="s">
        <v>4141</v>
      </c>
      <c r="G1793">
        <v>50000</v>
      </c>
      <c r="H1793">
        <v>1986</v>
      </c>
      <c r="I1793" t="s">
        <v>3243</v>
      </c>
      <c r="J1793" t="s">
        <v>58</v>
      </c>
      <c r="K1793" t="s">
        <v>58</v>
      </c>
      <c r="L1793" t="s">
        <v>61</v>
      </c>
      <c r="M1793" t="s">
        <v>58</v>
      </c>
      <c r="Q1793" t="s">
        <v>58</v>
      </c>
      <c r="R1793" s="11" t="str">
        <f>HYPERLINK("\\imagefiles.bcgov\imagery\scanned_maps\moe_terrain_maps\Scanned_T_maps_all\K15\K15-2815","\\imagefiles.bcgov\imagery\scanned_maps\moe_terrain_maps\Scanned_T_maps_all\K15\K15-2815")</f>
        <v>\\imagefiles.bcgov\imagery\scanned_maps\moe_terrain_maps\Scanned_T_maps_all\K15\K15-2815</v>
      </c>
      <c r="S1793" t="s">
        <v>62</v>
      </c>
      <c r="T1793" s="11" t="str">
        <f>HYPERLINK("http://www.env.gov.bc.ca/esd/distdata/ecosystems/TEI_Scanned_Maps/K15/K15-2815","http://www.env.gov.bc.ca/esd/distdata/ecosystems/TEI_Scanned_Maps/K15/K15-2815")</f>
        <v>http://www.env.gov.bc.ca/esd/distdata/ecosystems/TEI_Scanned_Maps/K15/K15-2815</v>
      </c>
      <c r="U1793" t="s">
        <v>2495</v>
      </c>
      <c r="V1793" s="11" t="str">
        <f t="shared" si="139"/>
        <v>http://www.em.gov.bc.ca/mining/geolsurv/terrain&amp;soils/frbcguid.htm</v>
      </c>
      <c r="W1793" t="s">
        <v>269</v>
      </c>
      <c r="X1793" s="11" t="str">
        <f t="shared" si="140"/>
        <v>http://www.library.for.gov.bc.ca/#focus</v>
      </c>
      <c r="Y1793" t="s">
        <v>58</v>
      </c>
      <c r="Z1793" t="s">
        <v>58</v>
      </c>
      <c r="AA1793" t="s">
        <v>58</v>
      </c>
      <c r="AC1793" t="s">
        <v>58</v>
      </c>
      <c r="AE1793" t="s">
        <v>58</v>
      </c>
      <c r="AG1793" t="s">
        <v>63</v>
      </c>
      <c r="AH1793" s="11" t="str">
        <f t="shared" si="130"/>
        <v>mailto: soilterrain@victoria1.gov.bc.ca</v>
      </c>
    </row>
    <row r="1794" spans="1:34">
      <c r="A1794" t="s">
        <v>4142</v>
      </c>
      <c r="B1794" t="s">
        <v>56</v>
      </c>
      <c r="C1794" s="10" t="s">
        <v>1848</v>
      </c>
      <c r="D1794" t="s">
        <v>58</v>
      </c>
      <c r="E1794" t="s">
        <v>3241</v>
      </c>
      <c r="F1794" t="s">
        <v>4143</v>
      </c>
      <c r="G1794">
        <v>50000</v>
      </c>
      <c r="H1794">
        <v>1988</v>
      </c>
      <c r="I1794" t="s">
        <v>3243</v>
      </c>
      <c r="J1794" t="s">
        <v>58</v>
      </c>
      <c r="K1794" t="s">
        <v>58</v>
      </c>
      <c r="L1794" t="s">
        <v>61</v>
      </c>
      <c r="M1794" t="s">
        <v>58</v>
      </c>
      <c r="Q1794" t="s">
        <v>58</v>
      </c>
      <c r="R1794" s="11" t="str">
        <f>HYPERLINK("\\imagefiles.bcgov\imagery\scanned_maps\moe_terrain_maps\Scanned_T_maps_all\K15\K15-2817","\\imagefiles.bcgov\imagery\scanned_maps\moe_terrain_maps\Scanned_T_maps_all\K15\K15-2817")</f>
        <v>\\imagefiles.bcgov\imagery\scanned_maps\moe_terrain_maps\Scanned_T_maps_all\K15\K15-2817</v>
      </c>
      <c r="S1794" t="s">
        <v>62</v>
      </c>
      <c r="T1794" s="11" t="str">
        <f>HYPERLINK("http://www.env.gov.bc.ca/esd/distdata/ecosystems/TEI_Scanned_Maps/K15/K15-2817","http://www.env.gov.bc.ca/esd/distdata/ecosystems/TEI_Scanned_Maps/K15/K15-2817")</f>
        <v>http://www.env.gov.bc.ca/esd/distdata/ecosystems/TEI_Scanned_Maps/K15/K15-2817</v>
      </c>
      <c r="U1794" t="s">
        <v>2495</v>
      </c>
      <c r="V1794" s="11" t="str">
        <f t="shared" si="139"/>
        <v>http://www.em.gov.bc.ca/mining/geolsurv/terrain&amp;soils/frbcguid.htm</v>
      </c>
      <c r="W1794" t="s">
        <v>269</v>
      </c>
      <c r="X1794" s="11" t="str">
        <f t="shared" si="140"/>
        <v>http://www.library.for.gov.bc.ca/#focus</v>
      </c>
      <c r="Y1794" t="s">
        <v>58</v>
      </c>
      <c r="Z1794" t="s">
        <v>58</v>
      </c>
      <c r="AA1794" t="s">
        <v>58</v>
      </c>
      <c r="AC1794" t="s">
        <v>58</v>
      </c>
      <c r="AE1794" t="s">
        <v>58</v>
      </c>
      <c r="AG1794" t="s">
        <v>63</v>
      </c>
      <c r="AH1794" s="11" t="str">
        <f t="shared" ref="AH1794:AH1857" si="141">HYPERLINK("mailto: soilterrain@victoria1.gov.bc.ca","mailto: soilterrain@victoria1.gov.bc.ca")</f>
        <v>mailto: soilterrain@victoria1.gov.bc.ca</v>
      </c>
    </row>
    <row r="1795" spans="1:34">
      <c r="A1795" t="s">
        <v>4144</v>
      </c>
      <c r="B1795" t="s">
        <v>56</v>
      </c>
      <c r="C1795" s="10" t="s">
        <v>1851</v>
      </c>
      <c r="D1795" t="s">
        <v>58</v>
      </c>
      <c r="E1795" t="s">
        <v>3241</v>
      </c>
      <c r="F1795" t="s">
        <v>4145</v>
      </c>
      <c r="G1795">
        <v>50000</v>
      </c>
      <c r="H1795">
        <v>1988</v>
      </c>
      <c r="I1795" t="s">
        <v>3243</v>
      </c>
      <c r="J1795" t="s">
        <v>58</v>
      </c>
      <c r="K1795" t="s">
        <v>58</v>
      </c>
      <c r="L1795" t="s">
        <v>61</v>
      </c>
      <c r="M1795" t="s">
        <v>58</v>
      </c>
      <c r="Q1795" t="s">
        <v>58</v>
      </c>
      <c r="R1795" s="11" t="str">
        <f>HYPERLINK("\\imagefiles.bcgov\imagery\scanned_maps\moe_terrain_maps\Scanned_T_maps_all\K15\K15-2819","\\imagefiles.bcgov\imagery\scanned_maps\moe_terrain_maps\Scanned_T_maps_all\K15\K15-2819")</f>
        <v>\\imagefiles.bcgov\imagery\scanned_maps\moe_terrain_maps\Scanned_T_maps_all\K15\K15-2819</v>
      </c>
      <c r="S1795" t="s">
        <v>62</v>
      </c>
      <c r="T1795" s="11" t="str">
        <f>HYPERLINK("http://www.env.gov.bc.ca/esd/distdata/ecosystems/TEI_Scanned_Maps/K15/K15-2819","http://www.env.gov.bc.ca/esd/distdata/ecosystems/TEI_Scanned_Maps/K15/K15-2819")</f>
        <v>http://www.env.gov.bc.ca/esd/distdata/ecosystems/TEI_Scanned_Maps/K15/K15-2819</v>
      </c>
      <c r="U1795" t="s">
        <v>2495</v>
      </c>
      <c r="V1795" s="11" t="str">
        <f t="shared" si="139"/>
        <v>http://www.em.gov.bc.ca/mining/geolsurv/terrain&amp;soils/frbcguid.htm</v>
      </c>
      <c r="W1795" t="s">
        <v>269</v>
      </c>
      <c r="X1795" s="11" t="str">
        <f t="shared" si="140"/>
        <v>http://www.library.for.gov.bc.ca/#focus</v>
      </c>
      <c r="Y1795" t="s">
        <v>58</v>
      </c>
      <c r="Z1795" t="s">
        <v>58</v>
      </c>
      <c r="AA1795" t="s">
        <v>58</v>
      </c>
      <c r="AC1795" t="s">
        <v>58</v>
      </c>
      <c r="AE1795" t="s">
        <v>58</v>
      </c>
      <c r="AG1795" t="s">
        <v>63</v>
      </c>
      <c r="AH1795" s="11" t="str">
        <f t="shared" si="141"/>
        <v>mailto: soilterrain@victoria1.gov.bc.ca</v>
      </c>
    </row>
    <row r="1796" spans="1:34">
      <c r="A1796" t="s">
        <v>4146</v>
      </c>
      <c r="B1796" t="s">
        <v>56</v>
      </c>
      <c r="C1796" s="10" t="s">
        <v>1854</v>
      </c>
      <c r="D1796" t="s">
        <v>58</v>
      </c>
      <c r="E1796" t="s">
        <v>3241</v>
      </c>
      <c r="F1796" t="s">
        <v>4147</v>
      </c>
      <c r="G1796">
        <v>50000</v>
      </c>
      <c r="H1796">
        <v>1988</v>
      </c>
      <c r="I1796" t="s">
        <v>3243</v>
      </c>
      <c r="J1796" t="s">
        <v>58</v>
      </c>
      <c r="K1796" t="s">
        <v>58</v>
      </c>
      <c r="L1796" t="s">
        <v>61</v>
      </c>
      <c r="M1796" t="s">
        <v>58</v>
      </c>
      <c r="Q1796" t="s">
        <v>58</v>
      </c>
      <c r="R1796" s="11" t="str">
        <f>HYPERLINK("\\imagefiles.bcgov\imagery\scanned_maps\moe_terrain_maps\Scanned_T_maps_all\K15\K15-2821","\\imagefiles.bcgov\imagery\scanned_maps\moe_terrain_maps\Scanned_T_maps_all\K15\K15-2821")</f>
        <v>\\imagefiles.bcgov\imagery\scanned_maps\moe_terrain_maps\Scanned_T_maps_all\K15\K15-2821</v>
      </c>
      <c r="S1796" t="s">
        <v>62</v>
      </c>
      <c r="T1796" s="11" t="str">
        <f>HYPERLINK("http://www.env.gov.bc.ca/esd/distdata/ecosystems/TEI_Scanned_Maps/K15/K15-2821","http://www.env.gov.bc.ca/esd/distdata/ecosystems/TEI_Scanned_Maps/K15/K15-2821")</f>
        <v>http://www.env.gov.bc.ca/esd/distdata/ecosystems/TEI_Scanned_Maps/K15/K15-2821</v>
      </c>
      <c r="U1796" t="s">
        <v>2495</v>
      </c>
      <c r="V1796" s="11" t="str">
        <f t="shared" si="139"/>
        <v>http://www.em.gov.bc.ca/mining/geolsurv/terrain&amp;soils/frbcguid.htm</v>
      </c>
      <c r="W1796" t="s">
        <v>269</v>
      </c>
      <c r="X1796" s="11" t="str">
        <f t="shared" si="140"/>
        <v>http://www.library.for.gov.bc.ca/#focus</v>
      </c>
      <c r="Y1796" t="s">
        <v>58</v>
      </c>
      <c r="Z1796" t="s">
        <v>58</v>
      </c>
      <c r="AA1796" t="s">
        <v>58</v>
      </c>
      <c r="AC1796" t="s">
        <v>58</v>
      </c>
      <c r="AE1796" t="s">
        <v>58</v>
      </c>
      <c r="AG1796" t="s">
        <v>63</v>
      </c>
      <c r="AH1796" s="11" t="str">
        <f t="shared" si="141"/>
        <v>mailto: soilterrain@victoria1.gov.bc.ca</v>
      </c>
    </row>
    <row r="1797" spans="1:34">
      <c r="A1797" t="s">
        <v>4148</v>
      </c>
      <c r="B1797" t="s">
        <v>56</v>
      </c>
      <c r="C1797" s="10" t="s">
        <v>1857</v>
      </c>
      <c r="D1797" t="s">
        <v>58</v>
      </c>
      <c r="E1797" t="s">
        <v>3241</v>
      </c>
      <c r="F1797" t="s">
        <v>4149</v>
      </c>
      <c r="G1797">
        <v>50000</v>
      </c>
      <c r="H1797">
        <v>1987</v>
      </c>
      <c r="I1797" t="s">
        <v>3243</v>
      </c>
      <c r="J1797" t="s">
        <v>58</v>
      </c>
      <c r="K1797" t="s">
        <v>58</v>
      </c>
      <c r="L1797" t="s">
        <v>61</v>
      </c>
      <c r="M1797" t="s">
        <v>58</v>
      </c>
      <c r="Q1797" t="s">
        <v>58</v>
      </c>
      <c r="R1797" s="11" t="str">
        <f>HYPERLINK("\\imagefiles.bcgov\imagery\scanned_maps\moe_terrain_maps\Scanned_T_maps_all\K15\K15-2823","\\imagefiles.bcgov\imagery\scanned_maps\moe_terrain_maps\Scanned_T_maps_all\K15\K15-2823")</f>
        <v>\\imagefiles.bcgov\imagery\scanned_maps\moe_terrain_maps\Scanned_T_maps_all\K15\K15-2823</v>
      </c>
      <c r="S1797" t="s">
        <v>62</v>
      </c>
      <c r="T1797" s="11" t="str">
        <f>HYPERLINK("http://www.env.gov.bc.ca/esd/distdata/ecosystems/TEI_Scanned_Maps/K15/K15-2823","http://www.env.gov.bc.ca/esd/distdata/ecosystems/TEI_Scanned_Maps/K15/K15-2823")</f>
        <v>http://www.env.gov.bc.ca/esd/distdata/ecosystems/TEI_Scanned_Maps/K15/K15-2823</v>
      </c>
      <c r="U1797" t="s">
        <v>2495</v>
      </c>
      <c r="V1797" s="11" t="str">
        <f t="shared" si="139"/>
        <v>http://www.em.gov.bc.ca/mining/geolsurv/terrain&amp;soils/frbcguid.htm</v>
      </c>
      <c r="W1797" t="s">
        <v>269</v>
      </c>
      <c r="X1797" s="11" t="str">
        <f t="shared" si="140"/>
        <v>http://www.library.for.gov.bc.ca/#focus</v>
      </c>
      <c r="Y1797" t="s">
        <v>58</v>
      </c>
      <c r="Z1797" t="s">
        <v>58</v>
      </c>
      <c r="AA1797" t="s">
        <v>58</v>
      </c>
      <c r="AC1797" t="s">
        <v>58</v>
      </c>
      <c r="AE1797" t="s">
        <v>58</v>
      </c>
      <c r="AG1797" t="s">
        <v>63</v>
      </c>
      <c r="AH1797" s="11" t="str">
        <f t="shared" si="141"/>
        <v>mailto: soilterrain@victoria1.gov.bc.ca</v>
      </c>
    </row>
    <row r="1798" spans="1:34">
      <c r="A1798" t="s">
        <v>4150</v>
      </c>
      <c r="B1798" t="s">
        <v>56</v>
      </c>
      <c r="C1798" s="10" t="s">
        <v>1860</v>
      </c>
      <c r="D1798" t="s">
        <v>58</v>
      </c>
      <c r="E1798" t="s">
        <v>3241</v>
      </c>
      <c r="F1798" t="s">
        <v>4151</v>
      </c>
      <c r="G1798">
        <v>50000</v>
      </c>
      <c r="H1798">
        <v>1988</v>
      </c>
      <c r="I1798" t="s">
        <v>3243</v>
      </c>
      <c r="J1798" t="s">
        <v>58</v>
      </c>
      <c r="K1798" t="s">
        <v>58</v>
      </c>
      <c r="L1798" t="s">
        <v>61</v>
      </c>
      <c r="M1798" t="s">
        <v>58</v>
      </c>
      <c r="Q1798" t="s">
        <v>58</v>
      </c>
      <c r="R1798" s="11" t="str">
        <f>HYPERLINK("\\imagefiles.bcgov\imagery\scanned_maps\moe_terrain_maps\Scanned_T_maps_all\K15\K15-2825","\\imagefiles.bcgov\imagery\scanned_maps\moe_terrain_maps\Scanned_T_maps_all\K15\K15-2825")</f>
        <v>\\imagefiles.bcgov\imagery\scanned_maps\moe_terrain_maps\Scanned_T_maps_all\K15\K15-2825</v>
      </c>
      <c r="S1798" t="s">
        <v>62</v>
      </c>
      <c r="T1798" s="11" t="str">
        <f>HYPERLINK("http://www.env.gov.bc.ca/esd/distdata/ecosystems/TEI_Scanned_Maps/K15/K15-2825","http://www.env.gov.bc.ca/esd/distdata/ecosystems/TEI_Scanned_Maps/K15/K15-2825")</f>
        <v>http://www.env.gov.bc.ca/esd/distdata/ecosystems/TEI_Scanned_Maps/K15/K15-2825</v>
      </c>
      <c r="U1798" t="s">
        <v>2495</v>
      </c>
      <c r="V1798" s="11" t="str">
        <f t="shared" si="139"/>
        <v>http://www.em.gov.bc.ca/mining/geolsurv/terrain&amp;soils/frbcguid.htm</v>
      </c>
      <c r="W1798" t="s">
        <v>269</v>
      </c>
      <c r="X1798" s="11" t="str">
        <f t="shared" si="140"/>
        <v>http://www.library.for.gov.bc.ca/#focus</v>
      </c>
      <c r="Y1798" t="s">
        <v>58</v>
      </c>
      <c r="Z1798" t="s">
        <v>58</v>
      </c>
      <c r="AA1798" t="s">
        <v>58</v>
      </c>
      <c r="AC1798" t="s">
        <v>58</v>
      </c>
      <c r="AE1798" t="s">
        <v>58</v>
      </c>
      <c r="AG1798" t="s">
        <v>63</v>
      </c>
      <c r="AH1798" s="11" t="str">
        <f t="shared" si="141"/>
        <v>mailto: soilterrain@victoria1.gov.bc.ca</v>
      </c>
    </row>
    <row r="1799" spans="1:34">
      <c r="A1799" t="s">
        <v>4152</v>
      </c>
      <c r="B1799" t="s">
        <v>56</v>
      </c>
      <c r="C1799" s="10" t="s">
        <v>4153</v>
      </c>
      <c r="D1799" t="s">
        <v>58</v>
      </c>
      <c r="E1799" t="s">
        <v>3511</v>
      </c>
      <c r="F1799" t="s">
        <v>4154</v>
      </c>
      <c r="G1799">
        <v>50000</v>
      </c>
      <c r="H1799">
        <v>1988</v>
      </c>
      <c r="I1799" t="s">
        <v>3513</v>
      </c>
      <c r="J1799" t="s">
        <v>58</v>
      </c>
      <c r="K1799" t="s">
        <v>58</v>
      </c>
      <c r="L1799" t="s">
        <v>61</v>
      </c>
      <c r="M1799" t="s">
        <v>58</v>
      </c>
      <c r="Q1799" t="s">
        <v>58</v>
      </c>
      <c r="R1799" s="11" t="str">
        <f>HYPERLINK("\\imagefiles.bcgov\imagery\scanned_maps\moe_terrain_maps\Scanned_T_maps_all\K16\K16-1","\\imagefiles.bcgov\imagery\scanned_maps\moe_terrain_maps\Scanned_T_maps_all\K16\K16-1")</f>
        <v>\\imagefiles.bcgov\imagery\scanned_maps\moe_terrain_maps\Scanned_T_maps_all\K16\K16-1</v>
      </c>
      <c r="S1799" t="s">
        <v>62</v>
      </c>
      <c r="T1799" s="11" t="str">
        <f>HYPERLINK("http://www.env.gov.bc.ca/esd/distdata/ecosystems/TEI_Scanned_Maps/K16/K16-1","http://www.env.gov.bc.ca/esd/distdata/ecosystems/TEI_Scanned_Maps/K16/K16-1")</f>
        <v>http://www.env.gov.bc.ca/esd/distdata/ecosystems/TEI_Scanned_Maps/K16/K16-1</v>
      </c>
      <c r="U1799" t="s">
        <v>2495</v>
      </c>
      <c r="V1799" s="11" t="str">
        <f t="shared" si="139"/>
        <v>http://www.em.gov.bc.ca/mining/geolsurv/terrain&amp;soils/frbcguid.htm</v>
      </c>
      <c r="W1799" t="s">
        <v>2489</v>
      </c>
      <c r="X1799" s="11" t="str">
        <f>HYPERLINK("http://www.em.gov.bc.ca/mining/geolsurv/terrain&amp;soils/frbcguid.htm","http://www.em.gov.bc.ca/mining/geolsurv/terrain&amp;soils/frbcguid.htm")</f>
        <v>http://www.em.gov.bc.ca/mining/geolsurv/terrain&amp;soils/frbcguid.htm</v>
      </c>
      <c r="Y1799" t="s">
        <v>2490</v>
      </c>
      <c r="Z1799" s="11" t="str">
        <f>HYPERLINK("http://res.agr.ca/cansis/publications/surveys/bc/","http://res.agr.ca/cansis/publications/surveys/bc/")</f>
        <v>http://res.agr.ca/cansis/publications/surveys/bc/</v>
      </c>
      <c r="AA1799" t="s">
        <v>269</v>
      </c>
      <c r="AB1799" s="11" t="str">
        <f>HYPERLINK("http://www.library.for.gov.bc.ca/#focus","http://www.library.for.gov.bc.ca/#focus")</f>
        <v>http://www.library.for.gov.bc.ca/#focus</v>
      </c>
      <c r="AC1799" t="s">
        <v>58</v>
      </c>
      <c r="AE1799" t="s">
        <v>58</v>
      </c>
      <c r="AG1799" t="s">
        <v>63</v>
      </c>
      <c r="AH1799" s="11" t="str">
        <f t="shared" si="141"/>
        <v>mailto: soilterrain@victoria1.gov.bc.ca</v>
      </c>
    </row>
    <row r="1800" spans="1:34">
      <c r="A1800" t="s">
        <v>4155</v>
      </c>
      <c r="B1800" t="s">
        <v>56</v>
      </c>
      <c r="C1800" s="10" t="s">
        <v>4156</v>
      </c>
      <c r="D1800" t="s">
        <v>58</v>
      </c>
      <c r="E1800" t="s">
        <v>3511</v>
      </c>
      <c r="F1800" t="s">
        <v>4157</v>
      </c>
      <c r="G1800">
        <v>50000</v>
      </c>
      <c r="H1800">
        <v>1988</v>
      </c>
      <c r="I1800" t="s">
        <v>3513</v>
      </c>
      <c r="J1800" t="s">
        <v>58</v>
      </c>
      <c r="K1800" t="s">
        <v>58</v>
      </c>
      <c r="L1800" t="s">
        <v>61</v>
      </c>
      <c r="M1800" t="s">
        <v>58</v>
      </c>
      <c r="Q1800" t="s">
        <v>58</v>
      </c>
      <c r="R1800" s="11" t="str">
        <f>HYPERLINK("\\imagefiles.bcgov\imagery\scanned_maps\moe_terrain_maps\Scanned_T_maps_all\K16\K16-2","\\imagefiles.bcgov\imagery\scanned_maps\moe_terrain_maps\Scanned_T_maps_all\K16\K16-2")</f>
        <v>\\imagefiles.bcgov\imagery\scanned_maps\moe_terrain_maps\Scanned_T_maps_all\K16\K16-2</v>
      </c>
      <c r="S1800" t="s">
        <v>62</v>
      </c>
      <c r="T1800" s="11" t="str">
        <f>HYPERLINK("http://www.env.gov.bc.ca/esd/distdata/ecosystems/TEI_Scanned_Maps/K16/K16-2","http://www.env.gov.bc.ca/esd/distdata/ecosystems/TEI_Scanned_Maps/K16/K16-2")</f>
        <v>http://www.env.gov.bc.ca/esd/distdata/ecosystems/TEI_Scanned_Maps/K16/K16-2</v>
      </c>
      <c r="U1800" t="s">
        <v>2495</v>
      </c>
      <c r="V1800" s="11" t="str">
        <f t="shared" si="139"/>
        <v>http://www.em.gov.bc.ca/mining/geolsurv/terrain&amp;soils/frbcguid.htm</v>
      </c>
      <c r="W1800" t="s">
        <v>269</v>
      </c>
      <c r="X1800" s="11" t="str">
        <f>HYPERLINK("http://www.library.for.gov.bc.ca/#focus","http://www.library.for.gov.bc.ca/#focus")</f>
        <v>http://www.library.for.gov.bc.ca/#focus</v>
      </c>
      <c r="Y1800" t="s">
        <v>2490</v>
      </c>
      <c r="Z1800" s="11" t="str">
        <f>HYPERLINK("http://res.agr.ca/cansis/publications/surveys/bc/","http://res.agr.ca/cansis/publications/surveys/bc/")</f>
        <v>http://res.agr.ca/cansis/publications/surveys/bc/</v>
      </c>
      <c r="AA1800" t="s">
        <v>58</v>
      </c>
      <c r="AC1800" t="s">
        <v>58</v>
      </c>
      <c r="AE1800" t="s">
        <v>58</v>
      </c>
      <c r="AG1800" t="s">
        <v>63</v>
      </c>
      <c r="AH1800" s="11" t="str">
        <f t="shared" si="141"/>
        <v>mailto: soilterrain@victoria1.gov.bc.ca</v>
      </c>
    </row>
    <row r="1801" spans="1:34">
      <c r="A1801" t="s">
        <v>4158</v>
      </c>
      <c r="B1801" t="s">
        <v>56</v>
      </c>
      <c r="C1801" s="10" t="s">
        <v>4159</v>
      </c>
      <c r="D1801" t="s">
        <v>58</v>
      </c>
      <c r="E1801" t="s">
        <v>3511</v>
      </c>
      <c r="F1801" t="s">
        <v>4160</v>
      </c>
      <c r="G1801">
        <v>50000</v>
      </c>
      <c r="H1801">
        <v>1988</v>
      </c>
      <c r="I1801" t="s">
        <v>3513</v>
      </c>
      <c r="J1801" t="s">
        <v>58</v>
      </c>
      <c r="K1801" t="s">
        <v>58</v>
      </c>
      <c r="L1801" t="s">
        <v>61</v>
      </c>
      <c r="M1801" t="s">
        <v>58</v>
      </c>
      <c r="Q1801" t="s">
        <v>58</v>
      </c>
      <c r="R1801" s="11" t="str">
        <f>HYPERLINK("\\imagefiles.bcgov\imagery\scanned_maps\moe_terrain_maps\Scanned_T_maps_all\K16\K16-4","\\imagefiles.bcgov\imagery\scanned_maps\moe_terrain_maps\Scanned_T_maps_all\K16\K16-4")</f>
        <v>\\imagefiles.bcgov\imagery\scanned_maps\moe_terrain_maps\Scanned_T_maps_all\K16\K16-4</v>
      </c>
      <c r="S1801" t="s">
        <v>62</v>
      </c>
      <c r="T1801" s="11" t="str">
        <f>HYPERLINK("http://www.env.gov.bc.ca/esd/distdata/ecosystems/TEI_Scanned_Maps/K16/K16-4","http://www.env.gov.bc.ca/esd/distdata/ecosystems/TEI_Scanned_Maps/K16/K16-4")</f>
        <v>http://www.env.gov.bc.ca/esd/distdata/ecosystems/TEI_Scanned_Maps/K16/K16-4</v>
      </c>
      <c r="U1801" t="s">
        <v>2495</v>
      </c>
      <c r="V1801" s="11" t="str">
        <f t="shared" si="139"/>
        <v>http://www.em.gov.bc.ca/mining/geolsurv/terrain&amp;soils/frbcguid.htm</v>
      </c>
      <c r="W1801" t="s">
        <v>269</v>
      </c>
      <c r="X1801" s="11" t="str">
        <f>HYPERLINK("http://www.library.for.gov.bc.ca/#focus","http://www.library.for.gov.bc.ca/#focus")</f>
        <v>http://www.library.for.gov.bc.ca/#focus</v>
      </c>
      <c r="Y1801" t="s">
        <v>2490</v>
      </c>
      <c r="Z1801" s="11" t="str">
        <f>HYPERLINK("http://res.agr.ca/cansis/publications/surveys/bc/","http://res.agr.ca/cansis/publications/surveys/bc/")</f>
        <v>http://res.agr.ca/cansis/publications/surveys/bc/</v>
      </c>
      <c r="AA1801" t="s">
        <v>58</v>
      </c>
      <c r="AC1801" t="s">
        <v>58</v>
      </c>
      <c r="AE1801" t="s">
        <v>58</v>
      </c>
      <c r="AG1801" t="s">
        <v>63</v>
      </c>
      <c r="AH1801" s="11" t="str">
        <f t="shared" si="141"/>
        <v>mailto: soilterrain@victoria1.gov.bc.ca</v>
      </c>
    </row>
    <row r="1802" spans="1:34">
      <c r="A1802" t="s">
        <v>4161</v>
      </c>
      <c r="B1802" t="s">
        <v>56</v>
      </c>
      <c r="C1802" s="10" t="s">
        <v>622</v>
      </c>
      <c r="D1802" t="s">
        <v>58</v>
      </c>
      <c r="E1802" t="s">
        <v>4162</v>
      </c>
      <c r="F1802" t="s">
        <v>4163</v>
      </c>
      <c r="G1802">
        <v>250000</v>
      </c>
      <c r="H1802">
        <v>1988</v>
      </c>
      <c r="I1802" t="s">
        <v>4164</v>
      </c>
      <c r="J1802" t="s">
        <v>58</v>
      </c>
      <c r="K1802" t="s">
        <v>61</v>
      </c>
      <c r="L1802" t="s">
        <v>61</v>
      </c>
      <c r="M1802" t="s">
        <v>58</v>
      </c>
      <c r="Q1802" t="s">
        <v>58</v>
      </c>
      <c r="R1802" s="11" t="str">
        <f>HYPERLINK("\\imagefiles.bcgov\imagery\scanned_maps\moe_terrain_maps\Scanned_T_maps_all\K16\K16-54","\\imagefiles.bcgov\imagery\scanned_maps\moe_terrain_maps\Scanned_T_maps_all\K16\K16-54")</f>
        <v>\\imagefiles.bcgov\imagery\scanned_maps\moe_terrain_maps\Scanned_T_maps_all\K16\K16-54</v>
      </c>
      <c r="S1802" t="s">
        <v>62</v>
      </c>
      <c r="T1802" s="11" t="str">
        <f>HYPERLINK("http://www.env.gov.bc.ca/esd/distdata/ecosystems/TEI_Scanned_Maps/K16/K16-54","http://www.env.gov.bc.ca/esd/distdata/ecosystems/TEI_Scanned_Maps/K16/K16-54")</f>
        <v>http://www.env.gov.bc.ca/esd/distdata/ecosystems/TEI_Scanned_Maps/K16/K16-54</v>
      </c>
      <c r="U1802" t="s">
        <v>2967</v>
      </c>
      <c r="V1802" s="11" t="str">
        <f>HYPERLINK("http://res.agr.ca/cansis/publications/surveys/bc/","http://res.agr.ca/cansis/publications/surveys/bc/")</f>
        <v>http://res.agr.ca/cansis/publications/surveys/bc/</v>
      </c>
      <c r="W1802" t="s">
        <v>269</v>
      </c>
      <c r="X1802" s="11" t="str">
        <f>HYPERLINK("http://www.library.for.gov.bc.ca/#focus","http://www.library.for.gov.bc.ca/#focus")</f>
        <v>http://www.library.for.gov.bc.ca/#focus</v>
      </c>
      <c r="Y1802" t="s">
        <v>3053</v>
      </c>
      <c r="Z1802" s="11" t="str">
        <f>HYPERLINK("http://www.prsss.ca/","http://www.prsss.ca/")</f>
        <v>http://www.prsss.ca/</v>
      </c>
      <c r="AA1802" t="s">
        <v>58</v>
      </c>
      <c r="AC1802" t="s">
        <v>58</v>
      </c>
      <c r="AE1802" t="s">
        <v>58</v>
      </c>
      <c r="AG1802" t="s">
        <v>63</v>
      </c>
      <c r="AH1802" s="11" t="str">
        <f t="shared" si="141"/>
        <v>mailto: soilterrain@victoria1.gov.bc.ca</v>
      </c>
    </row>
    <row r="1803" spans="1:34">
      <c r="A1803" t="s">
        <v>4165</v>
      </c>
      <c r="B1803" t="s">
        <v>56</v>
      </c>
      <c r="C1803" s="10" t="s">
        <v>378</v>
      </c>
      <c r="D1803" t="s">
        <v>58</v>
      </c>
      <c r="E1803" t="s">
        <v>4166</v>
      </c>
      <c r="F1803" t="s">
        <v>4167</v>
      </c>
      <c r="G1803">
        <v>250000</v>
      </c>
      <c r="H1803">
        <v>1987</v>
      </c>
      <c r="I1803" t="s">
        <v>4168</v>
      </c>
      <c r="J1803" t="s">
        <v>58</v>
      </c>
      <c r="K1803" t="s">
        <v>61</v>
      </c>
      <c r="L1803" t="s">
        <v>61</v>
      </c>
      <c r="M1803" t="s">
        <v>58</v>
      </c>
      <c r="Q1803" t="s">
        <v>58</v>
      </c>
      <c r="R1803" s="11" t="str">
        <f>HYPERLINK("\\imagefiles.bcgov\imagery\scanned_maps\moe_terrain_maps\Scanned_T_maps_all\K16\K16-59","\\imagefiles.bcgov\imagery\scanned_maps\moe_terrain_maps\Scanned_T_maps_all\K16\K16-59")</f>
        <v>\\imagefiles.bcgov\imagery\scanned_maps\moe_terrain_maps\Scanned_T_maps_all\K16\K16-59</v>
      </c>
      <c r="S1803" t="s">
        <v>62</v>
      </c>
      <c r="T1803" s="11" t="str">
        <f>HYPERLINK("http://www.env.gov.bc.ca/esd/distdata/ecosystems/TEI_Scanned_Maps/K16/K16-59","http://www.env.gov.bc.ca/esd/distdata/ecosystems/TEI_Scanned_Maps/K16/K16-59")</f>
        <v>http://www.env.gov.bc.ca/esd/distdata/ecosystems/TEI_Scanned_Maps/K16/K16-59</v>
      </c>
      <c r="U1803" t="s">
        <v>269</v>
      </c>
      <c r="V1803" s="11" t="str">
        <f>HYPERLINK("http://www.library.for.gov.bc.ca/#focus","http://www.library.for.gov.bc.ca/#focus")</f>
        <v>http://www.library.for.gov.bc.ca/#focus</v>
      </c>
      <c r="W1803" t="s">
        <v>58</v>
      </c>
      <c r="X1803" t="s">
        <v>58</v>
      </c>
      <c r="Y1803" t="s">
        <v>58</v>
      </c>
      <c r="Z1803" t="s">
        <v>58</v>
      </c>
      <c r="AA1803" t="s">
        <v>58</v>
      </c>
      <c r="AC1803" t="s">
        <v>58</v>
      </c>
      <c r="AE1803" t="s">
        <v>58</v>
      </c>
      <c r="AG1803" t="s">
        <v>63</v>
      </c>
      <c r="AH1803" s="11" t="str">
        <f t="shared" si="141"/>
        <v>mailto: soilterrain@victoria1.gov.bc.ca</v>
      </c>
    </row>
    <row r="1804" spans="1:34">
      <c r="A1804" t="s">
        <v>4169</v>
      </c>
      <c r="B1804" t="s">
        <v>56</v>
      </c>
      <c r="C1804" s="10" t="s">
        <v>409</v>
      </c>
      <c r="D1804" t="s">
        <v>58</v>
      </c>
      <c r="E1804" t="s">
        <v>4162</v>
      </c>
      <c r="F1804" t="s">
        <v>4170</v>
      </c>
      <c r="G1804">
        <v>250000</v>
      </c>
      <c r="H1804">
        <v>1988</v>
      </c>
      <c r="I1804" t="s">
        <v>4164</v>
      </c>
      <c r="J1804" t="s">
        <v>58</v>
      </c>
      <c r="K1804" t="s">
        <v>61</v>
      </c>
      <c r="L1804" t="s">
        <v>61</v>
      </c>
      <c r="M1804" t="s">
        <v>58</v>
      </c>
      <c r="Q1804" t="s">
        <v>58</v>
      </c>
      <c r="R1804" s="11" t="str">
        <f>HYPERLINK("\\imagefiles.bcgov\imagery\scanned_maps\moe_terrain_maps\Scanned_T_maps_all\K16\K16-71","\\imagefiles.bcgov\imagery\scanned_maps\moe_terrain_maps\Scanned_T_maps_all\K16\K16-71")</f>
        <v>\\imagefiles.bcgov\imagery\scanned_maps\moe_terrain_maps\Scanned_T_maps_all\K16\K16-71</v>
      </c>
      <c r="S1804" t="s">
        <v>62</v>
      </c>
      <c r="T1804" s="11" t="str">
        <f>HYPERLINK("http://www.env.gov.bc.ca/esd/distdata/ecosystems/TEI_Scanned_Maps/K16/K16-71","http://www.env.gov.bc.ca/esd/distdata/ecosystems/TEI_Scanned_Maps/K16/K16-71")</f>
        <v>http://www.env.gov.bc.ca/esd/distdata/ecosystems/TEI_Scanned_Maps/K16/K16-71</v>
      </c>
      <c r="U1804" t="s">
        <v>2967</v>
      </c>
      <c r="V1804" s="11" t="str">
        <f>HYPERLINK("http://res.agr.ca/cansis/publications/surveys/bc/","http://res.agr.ca/cansis/publications/surveys/bc/")</f>
        <v>http://res.agr.ca/cansis/publications/surveys/bc/</v>
      </c>
      <c r="W1804" t="s">
        <v>269</v>
      </c>
      <c r="X1804" s="11" t="str">
        <f>HYPERLINK("http://www.library.for.gov.bc.ca/#focus","http://www.library.for.gov.bc.ca/#focus")</f>
        <v>http://www.library.for.gov.bc.ca/#focus</v>
      </c>
      <c r="Y1804" t="s">
        <v>3053</v>
      </c>
      <c r="Z1804" s="11" t="str">
        <f>HYPERLINK("http://www.prsss.ca/","http://www.prsss.ca/")</f>
        <v>http://www.prsss.ca/</v>
      </c>
      <c r="AA1804" t="s">
        <v>58</v>
      </c>
      <c r="AC1804" t="s">
        <v>58</v>
      </c>
      <c r="AE1804" t="s">
        <v>58</v>
      </c>
      <c r="AG1804" t="s">
        <v>63</v>
      </c>
      <c r="AH1804" s="11" t="str">
        <f t="shared" si="141"/>
        <v>mailto: soilterrain@victoria1.gov.bc.ca</v>
      </c>
    </row>
    <row r="1805" spans="1:34">
      <c r="A1805" t="s">
        <v>4171</v>
      </c>
      <c r="B1805" t="s">
        <v>56</v>
      </c>
      <c r="C1805" s="10" t="s">
        <v>711</v>
      </c>
      <c r="D1805" t="s">
        <v>58</v>
      </c>
      <c r="E1805" t="s">
        <v>4172</v>
      </c>
      <c r="F1805" t="s">
        <v>4173</v>
      </c>
      <c r="G1805">
        <v>250000</v>
      </c>
      <c r="H1805">
        <v>1988</v>
      </c>
      <c r="I1805" t="s">
        <v>4174</v>
      </c>
      <c r="J1805" t="s">
        <v>58</v>
      </c>
      <c r="K1805" t="s">
        <v>61</v>
      </c>
      <c r="L1805" t="s">
        <v>61</v>
      </c>
      <c r="M1805" t="s">
        <v>58</v>
      </c>
      <c r="Q1805" t="s">
        <v>58</v>
      </c>
      <c r="R1805" s="11" t="str">
        <f>HYPERLINK("\\imagefiles.bcgov\imagery\scanned_maps\moe_terrain_maps\Scanned_T_maps_all\K16\K16-72","\\imagefiles.bcgov\imagery\scanned_maps\moe_terrain_maps\Scanned_T_maps_all\K16\K16-72")</f>
        <v>\\imagefiles.bcgov\imagery\scanned_maps\moe_terrain_maps\Scanned_T_maps_all\K16\K16-72</v>
      </c>
      <c r="S1805" t="s">
        <v>62</v>
      </c>
      <c r="T1805" s="11" t="str">
        <f>HYPERLINK("http://www.env.gov.bc.ca/esd/distdata/ecosystems/TEI_Scanned_Maps/K16/K16-72","http://www.env.gov.bc.ca/esd/distdata/ecosystems/TEI_Scanned_Maps/K16/K16-72")</f>
        <v>http://www.env.gov.bc.ca/esd/distdata/ecosystems/TEI_Scanned_Maps/K16/K16-72</v>
      </c>
      <c r="U1805" t="s">
        <v>58</v>
      </c>
      <c r="V1805" t="s">
        <v>58</v>
      </c>
      <c r="W1805" t="s">
        <v>58</v>
      </c>
      <c r="X1805" t="s">
        <v>58</v>
      </c>
      <c r="Y1805" t="s">
        <v>58</v>
      </c>
      <c r="Z1805" t="s">
        <v>58</v>
      </c>
      <c r="AA1805" t="s">
        <v>58</v>
      </c>
      <c r="AC1805" t="s">
        <v>58</v>
      </c>
      <c r="AE1805" t="s">
        <v>58</v>
      </c>
      <c r="AG1805" t="s">
        <v>63</v>
      </c>
      <c r="AH1805" s="11" t="str">
        <f t="shared" si="141"/>
        <v>mailto: soilterrain@victoria1.gov.bc.ca</v>
      </c>
    </row>
    <row r="1806" spans="1:34">
      <c r="A1806" t="s">
        <v>4175</v>
      </c>
      <c r="B1806" t="s">
        <v>56</v>
      </c>
      <c r="C1806" s="10" t="s">
        <v>2077</v>
      </c>
      <c r="D1806" t="s">
        <v>58</v>
      </c>
      <c r="E1806" t="s">
        <v>4176</v>
      </c>
      <c r="F1806" t="s">
        <v>4177</v>
      </c>
      <c r="G1806">
        <v>100000</v>
      </c>
      <c r="H1806">
        <v>1986</v>
      </c>
      <c r="I1806" t="s">
        <v>58</v>
      </c>
      <c r="J1806" t="s">
        <v>58</v>
      </c>
      <c r="K1806" t="s">
        <v>58</v>
      </c>
      <c r="L1806" t="s">
        <v>58</v>
      </c>
      <c r="M1806" t="s">
        <v>58</v>
      </c>
      <c r="O1806" t="s">
        <v>61</v>
      </c>
      <c r="Q1806" t="s">
        <v>4178</v>
      </c>
      <c r="R1806" s="11" t="str">
        <f>HYPERLINK("\\imagefiles.bcgov\imagery\scanned_maps\moe_terrain_maps\Scanned_T_maps_all\K17\K17-1070","\\imagefiles.bcgov\imagery\scanned_maps\moe_terrain_maps\Scanned_T_maps_all\K17\K17-1070")</f>
        <v>\\imagefiles.bcgov\imagery\scanned_maps\moe_terrain_maps\Scanned_T_maps_all\K17\K17-1070</v>
      </c>
      <c r="S1806" t="s">
        <v>62</v>
      </c>
      <c r="T1806" s="11" t="str">
        <f>HYPERLINK("http://www.env.gov.bc.ca/esd/distdata/ecosystems/TEI_Scanned_Maps/K17/K17-1070","http://www.env.gov.bc.ca/esd/distdata/ecosystems/TEI_Scanned_Maps/K17/K17-1070")</f>
        <v>http://www.env.gov.bc.ca/esd/distdata/ecosystems/TEI_Scanned_Maps/K17/K17-1070</v>
      </c>
      <c r="U1806" t="s">
        <v>58</v>
      </c>
      <c r="V1806" t="s">
        <v>58</v>
      </c>
      <c r="W1806" t="s">
        <v>58</v>
      </c>
      <c r="X1806" t="s">
        <v>58</v>
      </c>
      <c r="Y1806" t="s">
        <v>58</v>
      </c>
      <c r="Z1806" t="s">
        <v>58</v>
      </c>
      <c r="AA1806" t="s">
        <v>58</v>
      </c>
      <c r="AC1806" t="s">
        <v>58</v>
      </c>
      <c r="AE1806" t="s">
        <v>58</v>
      </c>
      <c r="AG1806" t="s">
        <v>63</v>
      </c>
      <c r="AH1806" s="11" t="str">
        <f t="shared" si="141"/>
        <v>mailto: soilterrain@victoria1.gov.bc.ca</v>
      </c>
    </row>
    <row r="1807" spans="1:34">
      <c r="A1807" t="s">
        <v>4179</v>
      </c>
      <c r="B1807" t="s">
        <v>56</v>
      </c>
      <c r="C1807" s="10" t="s">
        <v>3067</v>
      </c>
      <c r="D1807" t="s">
        <v>58</v>
      </c>
      <c r="E1807" t="s">
        <v>4176</v>
      </c>
      <c r="F1807" t="s">
        <v>4180</v>
      </c>
      <c r="G1807">
        <v>100000</v>
      </c>
      <c r="H1807">
        <v>1988</v>
      </c>
      <c r="I1807" t="s">
        <v>58</v>
      </c>
      <c r="J1807" t="s">
        <v>58</v>
      </c>
      <c r="K1807" t="s">
        <v>58</v>
      </c>
      <c r="L1807" t="s">
        <v>58</v>
      </c>
      <c r="M1807" t="s">
        <v>58</v>
      </c>
      <c r="O1807" t="s">
        <v>61</v>
      </c>
      <c r="Q1807" t="s">
        <v>58</v>
      </c>
      <c r="R1807" s="11" t="str">
        <f>HYPERLINK("\\imagefiles.bcgov\imagery\scanned_maps\moe_terrain_maps\Scanned_T_maps_all\K17\K17-1093","\\imagefiles.bcgov\imagery\scanned_maps\moe_terrain_maps\Scanned_T_maps_all\K17\K17-1093")</f>
        <v>\\imagefiles.bcgov\imagery\scanned_maps\moe_terrain_maps\Scanned_T_maps_all\K17\K17-1093</v>
      </c>
      <c r="S1807" t="s">
        <v>62</v>
      </c>
      <c r="T1807" s="11" t="str">
        <f>HYPERLINK("http://www.env.gov.bc.ca/esd/distdata/ecosystems/TEI_Scanned_Maps/K17/K17-1093","http://www.env.gov.bc.ca/esd/distdata/ecosystems/TEI_Scanned_Maps/K17/K17-1093")</f>
        <v>http://www.env.gov.bc.ca/esd/distdata/ecosystems/TEI_Scanned_Maps/K17/K17-1093</v>
      </c>
      <c r="U1807" t="s">
        <v>58</v>
      </c>
      <c r="V1807" t="s">
        <v>58</v>
      </c>
      <c r="W1807" t="s">
        <v>58</v>
      </c>
      <c r="X1807" t="s">
        <v>58</v>
      </c>
      <c r="Y1807" t="s">
        <v>58</v>
      </c>
      <c r="Z1807" t="s">
        <v>58</v>
      </c>
      <c r="AA1807" t="s">
        <v>58</v>
      </c>
      <c r="AC1807" t="s">
        <v>58</v>
      </c>
      <c r="AE1807" t="s">
        <v>58</v>
      </c>
      <c r="AG1807" t="s">
        <v>63</v>
      </c>
      <c r="AH1807" s="11" t="str">
        <f t="shared" si="141"/>
        <v>mailto: soilterrain@victoria1.gov.bc.ca</v>
      </c>
    </row>
    <row r="1808" spans="1:34">
      <c r="A1808" t="s">
        <v>4181</v>
      </c>
      <c r="B1808" t="s">
        <v>56</v>
      </c>
      <c r="C1808" s="10" t="s">
        <v>4182</v>
      </c>
      <c r="D1808" t="s">
        <v>58</v>
      </c>
      <c r="E1808" t="s">
        <v>4176</v>
      </c>
      <c r="F1808" t="s">
        <v>4183</v>
      </c>
      <c r="G1808">
        <v>100000</v>
      </c>
      <c r="H1808">
        <v>1988</v>
      </c>
      <c r="I1808" t="s">
        <v>58</v>
      </c>
      <c r="J1808" t="s">
        <v>58</v>
      </c>
      <c r="K1808" t="s">
        <v>58</v>
      </c>
      <c r="L1808" t="s">
        <v>58</v>
      </c>
      <c r="M1808" t="s">
        <v>58</v>
      </c>
      <c r="O1808" t="s">
        <v>61</v>
      </c>
      <c r="Q1808" t="s">
        <v>58</v>
      </c>
      <c r="R1808" s="11" t="str">
        <f>HYPERLINK("\\imagefiles.bcgov\imagery\scanned_maps\moe_terrain_maps\Scanned_T_maps_all\K17\K17-12","\\imagefiles.bcgov\imagery\scanned_maps\moe_terrain_maps\Scanned_T_maps_all\K17\K17-12")</f>
        <v>\\imagefiles.bcgov\imagery\scanned_maps\moe_terrain_maps\Scanned_T_maps_all\K17\K17-12</v>
      </c>
      <c r="S1808" t="s">
        <v>62</v>
      </c>
      <c r="T1808" s="11" t="str">
        <f>HYPERLINK("http://www.env.gov.bc.ca/esd/distdata/ecosystems/TEI_Scanned_Maps/K17/K17-12","http://www.env.gov.bc.ca/esd/distdata/ecosystems/TEI_Scanned_Maps/K17/K17-12")</f>
        <v>http://www.env.gov.bc.ca/esd/distdata/ecosystems/TEI_Scanned_Maps/K17/K17-12</v>
      </c>
      <c r="U1808" t="s">
        <v>58</v>
      </c>
      <c r="V1808" t="s">
        <v>58</v>
      </c>
      <c r="W1808" t="s">
        <v>58</v>
      </c>
      <c r="X1808" t="s">
        <v>58</v>
      </c>
      <c r="Y1808" t="s">
        <v>58</v>
      </c>
      <c r="Z1808" t="s">
        <v>58</v>
      </c>
      <c r="AA1808" t="s">
        <v>58</v>
      </c>
      <c r="AC1808" t="s">
        <v>58</v>
      </c>
      <c r="AE1808" t="s">
        <v>58</v>
      </c>
      <c r="AG1808" t="s">
        <v>63</v>
      </c>
      <c r="AH1808" s="11" t="str">
        <f t="shared" si="141"/>
        <v>mailto: soilterrain@victoria1.gov.bc.ca</v>
      </c>
    </row>
    <row r="1809" spans="1:34">
      <c r="A1809" t="s">
        <v>4184</v>
      </c>
      <c r="B1809" t="s">
        <v>56</v>
      </c>
      <c r="C1809" s="10" t="s">
        <v>4185</v>
      </c>
      <c r="D1809" t="s">
        <v>58</v>
      </c>
      <c r="E1809" t="s">
        <v>4176</v>
      </c>
      <c r="F1809" t="s">
        <v>4186</v>
      </c>
      <c r="G1809">
        <v>100000</v>
      </c>
      <c r="H1809">
        <v>1988</v>
      </c>
      <c r="I1809" t="s">
        <v>58</v>
      </c>
      <c r="J1809" t="s">
        <v>58</v>
      </c>
      <c r="K1809" t="s">
        <v>58</v>
      </c>
      <c r="L1809" t="s">
        <v>58</v>
      </c>
      <c r="M1809" t="s">
        <v>58</v>
      </c>
      <c r="O1809" t="s">
        <v>61</v>
      </c>
      <c r="Q1809" t="s">
        <v>58</v>
      </c>
      <c r="R1809" s="11" t="str">
        <f>HYPERLINK("\\imagefiles.bcgov\imagery\scanned_maps\moe_terrain_maps\Scanned_T_maps_all\K17\K17-13","\\imagefiles.bcgov\imagery\scanned_maps\moe_terrain_maps\Scanned_T_maps_all\K17\K17-13")</f>
        <v>\\imagefiles.bcgov\imagery\scanned_maps\moe_terrain_maps\Scanned_T_maps_all\K17\K17-13</v>
      </c>
      <c r="S1809" t="s">
        <v>62</v>
      </c>
      <c r="T1809" s="11" t="str">
        <f>HYPERLINK("http://www.env.gov.bc.ca/esd/distdata/ecosystems/TEI_Scanned_Maps/K17/K17-13","http://www.env.gov.bc.ca/esd/distdata/ecosystems/TEI_Scanned_Maps/K17/K17-13")</f>
        <v>http://www.env.gov.bc.ca/esd/distdata/ecosystems/TEI_Scanned_Maps/K17/K17-13</v>
      </c>
      <c r="U1809" t="s">
        <v>58</v>
      </c>
      <c r="V1809" t="s">
        <v>58</v>
      </c>
      <c r="W1809" t="s">
        <v>58</v>
      </c>
      <c r="X1809" t="s">
        <v>58</v>
      </c>
      <c r="Y1809" t="s">
        <v>58</v>
      </c>
      <c r="Z1809" t="s">
        <v>58</v>
      </c>
      <c r="AA1809" t="s">
        <v>58</v>
      </c>
      <c r="AC1809" t="s">
        <v>58</v>
      </c>
      <c r="AE1809" t="s">
        <v>58</v>
      </c>
      <c r="AG1809" t="s">
        <v>63</v>
      </c>
      <c r="AH1809" s="11" t="str">
        <f t="shared" si="141"/>
        <v>mailto: soilterrain@victoria1.gov.bc.ca</v>
      </c>
    </row>
    <row r="1810" spans="1:34">
      <c r="A1810" t="s">
        <v>4187</v>
      </c>
      <c r="B1810" t="s">
        <v>56</v>
      </c>
      <c r="C1810" s="10" t="s">
        <v>1878</v>
      </c>
      <c r="D1810" t="s">
        <v>58</v>
      </c>
      <c r="E1810" t="s">
        <v>4176</v>
      </c>
      <c r="F1810" t="s">
        <v>4188</v>
      </c>
      <c r="G1810">
        <v>100000</v>
      </c>
      <c r="H1810">
        <v>1987</v>
      </c>
      <c r="I1810" t="s">
        <v>58</v>
      </c>
      <c r="J1810" t="s">
        <v>58</v>
      </c>
      <c r="K1810" t="s">
        <v>58</v>
      </c>
      <c r="L1810" t="s">
        <v>58</v>
      </c>
      <c r="M1810" t="s">
        <v>58</v>
      </c>
      <c r="O1810" t="s">
        <v>61</v>
      </c>
      <c r="Q1810" t="s">
        <v>58</v>
      </c>
      <c r="R1810" s="11" t="str">
        <f>HYPERLINK("\\imagefiles.bcgov\imagery\scanned_maps\moe_terrain_maps\Scanned_T_maps_all\K17\K17-1337","\\imagefiles.bcgov\imagery\scanned_maps\moe_terrain_maps\Scanned_T_maps_all\K17\K17-1337")</f>
        <v>\\imagefiles.bcgov\imagery\scanned_maps\moe_terrain_maps\Scanned_T_maps_all\K17\K17-1337</v>
      </c>
      <c r="S1810" t="s">
        <v>62</v>
      </c>
      <c r="T1810" s="11" t="str">
        <f>HYPERLINK("http://www.env.gov.bc.ca/esd/distdata/ecosystems/TEI_Scanned_Maps/K17/K17-1337","http://www.env.gov.bc.ca/esd/distdata/ecosystems/TEI_Scanned_Maps/K17/K17-1337")</f>
        <v>http://www.env.gov.bc.ca/esd/distdata/ecosystems/TEI_Scanned_Maps/K17/K17-1337</v>
      </c>
      <c r="U1810" t="s">
        <v>58</v>
      </c>
      <c r="V1810" t="s">
        <v>58</v>
      </c>
      <c r="W1810" t="s">
        <v>58</v>
      </c>
      <c r="X1810" t="s">
        <v>58</v>
      </c>
      <c r="Y1810" t="s">
        <v>58</v>
      </c>
      <c r="Z1810" t="s">
        <v>58</v>
      </c>
      <c r="AA1810" t="s">
        <v>58</v>
      </c>
      <c r="AC1810" t="s">
        <v>58</v>
      </c>
      <c r="AE1810" t="s">
        <v>58</v>
      </c>
      <c r="AG1810" t="s">
        <v>63</v>
      </c>
      <c r="AH1810" s="11" t="str">
        <f t="shared" si="141"/>
        <v>mailto: soilterrain@victoria1.gov.bc.ca</v>
      </c>
    </row>
    <row r="1811" spans="1:34">
      <c r="A1811" t="s">
        <v>4189</v>
      </c>
      <c r="B1811" t="s">
        <v>56</v>
      </c>
      <c r="C1811" s="10" t="s">
        <v>1881</v>
      </c>
      <c r="D1811" t="s">
        <v>58</v>
      </c>
      <c r="E1811" t="s">
        <v>4176</v>
      </c>
      <c r="F1811" t="s">
        <v>4190</v>
      </c>
      <c r="G1811">
        <v>100000</v>
      </c>
      <c r="H1811">
        <v>1988</v>
      </c>
      <c r="I1811" t="s">
        <v>58</v>
      </c>
      <c r="J1811" t="s">
        <v>58</v>
      </c>
      <c r="K1811" t="s">
        <v>58</v>
      </c>
      <c r="L1811" t="s">
        <v>58</v>
      </c>
      <c r="M1811" t="s">
        <v>58</v>
      </c>
      <c r="O1811" t="s">
        <v>61</v>
      </c>
      <c r="Q1811" t="s">
        <v>58</v>
      </c>
      <c r="R1811" s="11" t="str">
        <f>HYPERLINK("\\imagefiles.bcgov\imagery\scanned_maps\moe_terrain_maps\Scanned_T_maps_all\K17\K17-1344","\\imagefiles.bcgov\imagery\scanned_maps\moe_terrain_maps\Scanned_T_maps_all\K17\K17-1344")</f>
        <v>\\imagefiles.bcgov\imagery\scanned_maps\moe_terrain_maps\Scanned_T_maps_all\K17\K17-1344</v>
      </c>
      <c r="S1811" t="s">
        <v>62</v>
      </c>
      <c r="T1811" s="11" t="str">
        <f>HYPERLINK("http://www.env.gov.bc.ca/esd/distdata/ecosystems/TEI_Scanned_Maps/K17/K17-1344","http://www.env.gov.bc.ca/esd/distdata/ecosystems/TEI_Scanned_Maps/K17/K17-1344")</f>
        <v>http://www.env.gov.bc.ca/esd/distdata/ecosystems/TEI_Scanned_Maps/K17/K17-1344</v>
      </c>
      <c r="U1811" t="s">
        <v>58</v>
      </c>
      <c r="V1811" t="s">
        <v>58</v>
      </c>
      <c r="W1811" t="s">
        <v>58</v>
      </c>
      <c r="X1811" t="s">
        <v>58</v>
      </c>
      <c r="Y1811" t="s">
        <v>58</v>
      </c>
      <c r="Z1811" t="s">
        <v>58</v>
      </c>
      <c r="AA1811" t="s">
        <v>58</v>
      </c>
      <c r="AC1811" t="s">
        <v>58</v>
      </c>
      <c r="AE1811" t="s">
        <v>58</v>
      </c>
      <c r="AG1811" t="s">
        <v>63</v>
      </c>
      <c r="AH1811" s="11" t="str">
        <f t="shared" si="141"/>
        <v>mailto: soilterrain@victoria1.gov.bc.ca</v>
      </c>
    </row>
    <row r="1812" spans="1:34">
      <c r="A1812" t="s">
        <v>4191</v>
      </c>
      <c r="B1812" t="s">
        <v>56</v>
      </c>
      <c r="C1812" s="10" t="s">
        <v>1884</v>
      </c>
      <c r="D1812" t="s">
        <v>58</v>
      </c>
      <c r="E1812" t="s">
        <v>4176</v>
      </c>
      <c r="F1812" t="s">
        <v>4192</v>
      </c>
      <c r="G1812">
        <v>100000</v>
      </c>
      <c r="H1812">
        <v>1988</v>
      </c>
      <c r="I1812" t="s">
        <v>58</v>
      </c>
      <c r="J1812" t="s">
        <v>58</v>
      </c>
      <c r="K1812" t="s">
        <v>58</v>
      </c>
      <c r="L1812" t="s">
        <v>58</v>
      </c>
      <c r="M1812" t="s">
        <v>58</v>
      </c>
      <c r="O1812" t="s">
        <v>61</v>
      </c>
      <c r="Q1812" t="s">
        <v>58</v>
      </c>
      <c r="R1812" s="11" t="str">
        <f>HYPERLINK("\\imagefiles.bcgov\imagery\scanned_maps\moe_terrain_maps\Scanned_T_maps_all\K17\K17-1352","\\imagefiles.bcgov\imagery\scanned_maps\moe_terrain_maps\Scanned_T_maps_all\K17\K17-1352")</f>
        <v>\\imagefiles.bcgov\imagery\scanned_maps\moe_terrain_maps\Scanned_T_maps_all\K17\K17-1352</v>
      </c>
      <c r="S1812" t="s">
        <v>62</v>
      </c>
      <c r="T1812" s="11" t="str">
        <f>HYPERLINK("http://www.env.gov.bc.ca/esd/distdata/ecosystems/TEI_Scanned_Maps/K17/K17-1352","http://www.env.gov.bc.ca/esd/distdata/ecosystems/TEI_Scanned_Maps/K17/K17-1352")</f>
        <v>http://www.env.gov.bc.ca/esd/distdata/ecosystems/TEI_Scanned_Maps/K17/K17-1352</v>
      </c>
      <c r="U1812" t="s">
        <v>58</v>
      </c>
      <c r="V1812" t="s">
        <v>58</v>
      </c>
      <c r="W1812" t="s">
        <v>58</v>
      </c>
      <c r="X1812" t="s">
        <v>58</v>
      </c>
      <c r="Y1812" t="s">
        <v>58</v>
      </c>
      <c r="Z1812" t="s">
        <v>58</v>
      </c>
      <c r="AA1812" t="s">
        <v>58</v>
      </c>
      <c r="AC1812" t="s">
        <v>58</v>
      </c>
      <c r="AE1812" t="s">
        <v>58</v>
      </c>
      <c r="AG1812" t="s">
        <v>63</v>
      </c>
      <c r="AH1812" s="11" t="str">
        <f t="shared" si="141"/>
        <v>mailto: soilterrain@victoria1.gov.bc.ca</v>
      </c>
    </row>
    <row r="1813" spans="1:34">
      <c r="A1813" t="s">
        <v>4193</v>
      </c>
      <c r="B1813" t="s">
        <v>56</v>
      </c>
      <c r="C1813" s="10" t="s">
        <v>3077</v>
      </c>
      <c r="D1813" t="s">
        <v>58</v>
      </c>
      <c r="E1813" t="s">
        <v>4176</v>
      </c>
      <c r="F1813" t="s">
        <v>4194</v>
      </c>
      <c r="G1813">
        <v>100000</v>
      </c>
      <c r="H1813">
        <v>1988</v>
      </c>
      <c r="I1813" t="s">
        <v>58</v>
      </c>
      <c r="J1813" t="s">
        <v>58</v>
      </c>
      <c r="K1813" t="s">
        <v>58</v>
      </c>
      <c r="L1813" t="s">
        <v>58</v>
      </c>
      <c r="M1813" t="s">
        <v>58</v>
      </c>
      <c r="O1813" t="s">
        <v>61</v>
      </c>
      <c r="Q1813" t="s">
        <v>58</v>
      </c>
      <c r="R1813" s="11" t="str">
        <f>HYPERLINK("\\imagefiles.bcgov\imagery\scanned_maps\moe_terrain_maps\Scanned_T_maps_all\K17\K17-1358","\\imagefiles.bcgov\imagery\scanned_maps\moe_terrain_maps\Scanned_T_maps_all\K17\K17-1358")</f>
        <v>\\imagefiles.bcgov\imagery\scanned_maps\moe_terrain_maps\Scanned_T_maps_all\K17\K17-1358</v>
      </c>
      <c r="S1813" t="s">
        <v>62</v>
      </c>
      <c r="T1813" s="11" t="str">
        <f>HYPERLINK("http://www.env.gov.bc.ca/esd/distdata/ecosystems/TEI_Scanned_Maps/K17/K17-1358","http://www.env.gov.bc.ca/esd/distdata/ecosystems/TEI_Scanned_Maps/K17/K17-1358")</f>
        <v>http://www.env.gov.bc.ca/esd/distdata/ecosystems/TEI_Scanned_Maps/K17/K17-1358</v>
      </c>
      <c r="U1813" t="s">
        <v>58</v>
      </c>
      <c r="V1813" t="s">
        <v>58</v>
      </c>
      <c r="W1813" t="s">
        <v>58</v>
      </c>
      <c r="X1813" t="s">
        <v>58</v>
      </c>
      <c r="Y1813" t="s">
        <v>58</v>
      </c>
      <c r="Z1813" t="s">
        <v>58</v>
      </c>
      <c r="AA1813" t="s">
        <v>58</v>
      </c>
      <c r="AC1813" t="s">
        <v>58</v>
      </c>
      <c r="AE1813" t="s">
        <v>58</v>
      </c>
      <c r="AG1813" t="s">
        <v>63</v>
      </c>
      <c r="AH1813" s="11" t="str">
        <f t="shared" si="141"/>
        <v>mailto: soilterrain@victoria1.gov.bc.ca</v>
      </c>
    </row>
    <row r="1814" spans="1:34">
      <c r="A1814" t="s">
        <v>4195</v>
      </c>
      <c r="B1814" t="s">
        <v>56</v>
      </c>
      <c r="C1814" s="10" t="s">
        <v>1890</v>
      </c>
      <c r="D1814" t="s">
        <v>58</v>
      </c>
      <c r="E1814" t="s">
        <v>4176</v>
      </c>
      <c r="F1814" t="s">
        <v>4196</v>
      </c>
      <c r="G1814">
        <v>100000</v>
      </c>
      <c r="H1814">
        <v>1987</v>
      </c>
      <c r="I1814" t="s">
        <v>58</v>
      </c>
      <c r="J1814" t="s">
        <v>58</v>
      </c>
      <c r="K1814" t="s">
        <v>58</v>
      </c>
      <c r="L1814" t="s">
        <v>58</v>
      </c>
      <c r="M1814" t="s">
        <v>58</v>
      </c>
      <c r="O1814" t="s">
        <v>61</v>
      </c>
      <c r="Q1814" t="s">
        <v>58</v>
      </c>
      <c r="R1814" s="11" t="str">
        <f>HYPERLINK("\\imagefiles.bcgov\imagery\scanned_maps\moe_terrain_maps\Scanned_T_maps_all\K17\K17-1630","\\imagefiles.bcgov\imagery\scanned_maps\moe_terrain_maps\Scanned_T_maps_all\K17\K17-1630")</f>
        <v>\\imagefiles.bcgov\imagery\scanned_maps\moe_terrain_maps\Scanned_T_maps_all\K17\K17-1630</v>
      </c>
      <c r="S1814" t="s">
        <v>62</v>
      </c>
      <c r="T1814" s="11" t="str">
        <f>HYPERLINK("http://www.env.gov.bc.ca/esd/distdata/ecosystems/TEI_Scanned_Maps/K17/K17-1630","http://www.env.gov.bc.ca/esd/distdata/ecosystems/TEI_Scanned_Maps/K17/K17-1630")</f>
        <v>http://www.env.gov.bc.ca/esd/distdata/ecosystems/TEI_Scanned_Maps/K17/K17-1630</v>
      </c>
      <c r="U1814" t="s">
        <v>58</v>
      </c>
      <c r="V1814" t="s">
        <v>58</v>
      </c>
      <c r="W1814" t="s">
        <v>58</v>
      </c>
      <c r="X1814" t="s">
        <v>58</v>
      </c>
      <c r="Y1814" t="s">
        <v>58</v>
      </c>
      <c r="Z1814" t="s">
        <v>58</v>
      </c>
      <c r="AA1814" t="s">
        <v>58</v>
      </c>
      <c r="AC1814" t="s">
        <v>58</v>
      </c>
      <c r="AE1814" t="s">
        <v>58</v>
      </c>
      <c r="AG1814" t="s">
        <v>63</v>
      </c>
      <c r="AH1814" s="11" t="str">
        <f t="shared" si="141"/>
        <v>mailto: soilterrain@victoria1.gov.bc.ca</v>
      </c>
    </row>
    <row r="1815" spans="1:34">
      <c r="A1815" t="s">
        <v>4197</v>
      </c>
      <c r="B1815" t="s">
        <v>56</v>
      </c>
      <c r="C1815" s="10" t="s">
        <v>4198</v>
      </c>
      <c r="D1815" t="s">
        <v>58</v>
      </c>
      <c r="E1815" t="s">
        <v>4176</v>
      </c>
      <c r="F1815" t="s">
        <v>4199</v>
      </c>
      <c r="G1815">
        <v>100000</v>
      </c>
      <c r="H1815">
        <v>1988</v>
      </c>
      <c r="I1815" t="s">
        <v>58</v>
      </c>
      <c r="J1815" t="s">
        <v>58</v>
      </c>
      <c r="K1815" t="s">
        <v>58</v>
      </c>
      <c r="L1815" t="s">
        <v>58</v>
      </c>
      <c r="M1815" t="s">
        <v>58</v>
      </c>
      <c r="O1815" t="s">
        <v>61</v>
      </c>
      <c r="Q1815" t="s">
        <v>58</v>
      </c>
      <c r="R1815" s="11" t="str">
        <f>HYPERLINK("\\imagefiles.bcgov\imagery\scanned_maps\moe_terrain_maps\Scanned_T_maps_all\K17\K17-1636","\\imagefiles.bcgov\imagery\scanned_maps\moe_terrain_maps\Scanned_T_maps_all\K17\K17-1636")</f>
        <v>\\imagefiles.bcgov\imagery\scanned_maps\moe_terrain_maps\Scanned_T_maps_all\K17\K17-1636</v>
      </c>
      <c r="S1815" t="s">
        <v>62</v>
      </c>
      <c r="T1815" s="11" t="str">
        <f>HYPERLINK("http://www.env.gov.bc.ca/esd/distdata/ecosystems/TEI_Scanned_Maps/K17/K17-1636","http://www.env.gov.bc.ca/esd/distdata/ecosystems/TEI_Scanned_Maps/K17/K17-1636")</f>
        <v>http://www.env.gov.bc.ca/esd/distdata/ecosystems/TEI_Scanned_Maps/K17/K17-1636</v>
      </c>
      <c r="U1815" t="s">
        <v>58</v>
      </c>
      <c r="V1815" t="s">
        <v>58</v>
      </c>
      <c r="W1815" t="s">
        <v>58</v>
      </c>
      <c r="X1815" t="s">
        <v>58</v>
      </c>
      <c r="Y1815" t="s">
        <v>58</v>
      </c>
      <c r="Z1815" t="s">
        <v>58</v>
      </c>
      <c r="AA1815" t="s">
        <v>58</v>
      </c>
      <c r="AC1815" t="s">
        <v>58</v>
      </c>
      <c r="AE1815" t="s">
        <v>58</v>
      </c>
      <c r="AG1815" t="s">
        <v>63</v>
      </c>
      <c r="AH1815" s="11" t="str">
        <f t="shared" si="141"/>
        <v>mailto: soilterrain@victoria1.gov.bc.ca</v>
      </c>
    </row>
    <row r="1816" spans="1:34">
      <c r="A1816" t="s">
        <v>4200</v>
      </c>
      <c r="B1816" t="s">
        <v>56</v>
      </c>
      <c r="C1816" s="10" t="s">
        <v>1893</v>
      </c>
      <c r="D1816" t="s">
        <v>58</v>
      </c>
      <c r="E1816" t="s">
        <v>4176</v>
      </c>
      <c r="F1816" t="s">
        <v>4201</v>
      </c>
      <c r="G1816">
        <v>100000</v>
      </c>
      <c r="H1816">
        <v>1988</v>
      </c>
      <c r="I1816" t="s">
        <v>58</v>
      </c>
      <c r="J1816" t="s">
        <v>58</v>
      </c>
      <c r="K1816" t="s">
        <v>58</v>
      </c>
      <c r="L1816" t="s">
        <v>58</v>
      </c>
      <c r="M1816" t="s">
        <v>58</v>
      </c>
      <c r="O1816" t="s">
        <v>61</v>
      </c>
      <c r="Q1816" t="s">
        <v>58</v>
      </c>
      <c r="R1816" s="11" t="str">
        <f>HYPERLINK("\\imagefiles.bcgov\imagery\scanned_maps\moe_terrain_maps\Scanned_T_maps_all\K17\K17-1643","\\imagefiles.bcgov\imagery\scanned_maps\moe_terrain_maps\Scanned_T_maps_all\K17\K17-1643")</f>
        <v>\\imagefiles.bcgov\imagery\scanned_maps\moe_terrain_maps\Scanned_T_maps_all\K17\K17-1643</v>
      </c>
      <c r="S1816" t="s">
        <v>62</v>
      </c>
      <c r="T1816" s="11" t="str">
        <f>HYPERLINK("http://www.env.gov.bc.ca/esd/distdata/ecosystems/TEI_Scanned_Maps/K17/K17-1643","http://www.env.gov.bc.ca/esd/distdata/ecosystems/TEI_Scanned_Maps/K17/K17-1643")</f>
        <v>http://www.env.gov.bc.ca/esd/distdata/ecosystems/TEI_Scanned_Maps/K17/K17-1643</v>
      </c>
      <c r="U1816" t="s">
        <v>58</v>
      </c>
      <c r="V1816" t="s">
        <v>58</v>
      </c>
      <c r="W1816" t="s">
        <v>58</v>
      </c>
      <c r="X1816" t="s">
        <v>58</v>
      </c>
      <c r="Y1816" t="s">
        <v>58</v>
      </c>
      <c r="Z1816" t="s">
        <v>58</v>
      </c>
      <c r="AA1816" t="s">
        <v>58</v>
      </c>
      <c r="AC1816" t="s">
        <v>58</v>
      </c>
      <c r="AE1816" t="s">
        <v>58</v>
      </c>
      <c r="AG1816" t="s">
        <v>63</v>
      </c>
      <c r="AH1816" s="11" t="str">
        <f t="shared" si="141"/>
        <v>mailto: soilterrain@victoria1.gov.bc.ca</v>
      </c>
    </row>
    <row r="1817" spans="1:34">
      <c r="A1817" t="s">
        <v>4202</v>
      </c>
      <c r="B1817" t="s">
        <v>56</v>
      </c>
      <c r="C1817" s="10" t="s">
        <v>1896</v>
      </c>
      <c r="D1817" t="s">
        <v>58</v>
      </c>
      <c r="E1817" t="s">
        <v>4176</v>
      </c>
      <c r="F1817" t="s">
        <v>4203</v>
      </c>
      <c r="G1817">
        <v>125000</v>
      </c>
      <c r="H1817">
        <v>1988</v>
      </c>
      <c r="I1817" t="s">
        <v>58</v>
      </c>
      <c r="J1817" t="s">
        <v>58</v>
      </c>
      <c r="K1817" t="s">
        <v>58</v>
      </c>
      <c r="L1817" t="s">
        <v>58</v>
      </c>
      <c r="M1817" t="s">
        <v>58</v>
      </c>
      <c r="O1817" t="s">
        <v>61</v>
      </c>
      <c r="Q1817" t="s">
        <v>58</v>
      </c>
      <c r="R1817" s="11" t="str">
        <f>HYPERLINK("\\imagefiles.bcgov\imagery\scanned_maps\moe_terrain_maps\Scanned_T_maps_all\K17\K17-1722","\\imagefiles.bcgov\imagery\scanned_maps\moe_terrain_maps\Scanned_T_maps_all\K17\K17-1722")</f>
        <v>\\imagefiles.bcgov\imagery\scanned_maps\moe_terrain_maps\Scanned_T_maps_all\K17\K17-1722</v>
      </c>
      <c r="S1817" t="s">
        <v>62</v>
      </c>
      <c r="T1817" s="11" t="str">
        <f>HYPERLINK("http://www.env.gov.bc.ca/esd/distdata/ecosystems/TEI_Scanned_Maps/K17/K17-1722","http://www.env.gov.bc.ca/esd/distdata/ecosystems/TEI_Scanned_Maps/K17/K17-1722")</f>
        <v>http://www.env.gov.bc.ca/esd/distdata/ecosystems/TEI_Scanned_Maps/K17/K17-1722</v>
      </c>
      <c r="U1817" t="s">
        <v>58</v>
      </c>
      <c r="V1817" t="s">
        <v>58</v>
      </c>
      <c r="W1817" t="s">
        <v>58</v>
      </c>
      <c r="X1817" t="s">
        <v>58</v>
      </c>
      <c r="Y1817" t="s">
        <v>58</v>
      </c>
      <c r="Z1817" t="s">
        <v>58</v>
      </c>
      <c r="AA1817" t="s">
        <v>58</v>
      </c>
      <c r="AC1817" t="s">
        <v>58</v>
      </c>
      <c r="AE1817" t="s">
        <v>58</v>
      </c>
      <c r="AG1817" t="s">
        <v>63</v>
      </c>
      <c r="AH1817" s="11" t="str">
        <f t="shared" si="141"/>
        <v>mailto: soilterrain@victoria1.gov.bc.ca</v>
      </c>
    </row>
    <row r="1818" spans="1:34">
      <c r="A1818" t="s">
        <v>4204</v>
      </c>
      <c r="B1818" t="s">
        <v>56</v>
      </c>
      <c r="C1818" s="10" t="s">
        <v>4205</v>
      </c>
      <c r="D1818" t="s">
        <v>58</v>
      </c>
      <c r="E1818" t="s">
        <v>4176</v>
      </c>
      <c r="F1818" t="s">
        <v>4206</v>
      </c>
      <c r="G1818">
        <v>100000</v>
      </c>
      <c r="H1818">
        <v>1987</v>
      </c>
      <c r="I1818" t="s">
        <v>58</v>
      </c>
      <c r="J1818" t="s">
        <v>58</v>
      </c>
      <c r="K1818" t="s">
        <v>58</v>
      </c>
      <c r="L1818" t="s">
        <v>58</v>
      </c>
      <c r="M1818" t="s">
        <v>58</v>
      </c>
      <c r="O1818" t="s">
        <v>61</v>
      </c>
      <c r="Q1818" t="s">
        <v>58</v>
      </c>
      <c r="R1818" s="11" t="str">
        <f>HYPERLINK("\\imagefiles.bcgov\imagery\scanned_maps\moe_terrain_maps\Scanned_T_maps_all\K17\K17-1723","\\imagefiles.bcgov\imagery\scanned_maps\moe_terrain_maps\Scanned_T_maps_all\K17\K17-1723")</f>
        <v>\\imagefiles.bcgov\imagery\scanned_maps\moe_terrain_maps\Scanned_T_maps_all\K17\K17-1723</v>
      </c>
      <c r="S1818" t="s">
        <v>62</v>
      </c>
      <c r="T1818" s="11" t="str">
        <f>HYPERLINK("http://www.env.gov.bc.ca/esd/distdata/ecosystems/TEI_Scanned_Maps/K17/K17-1723","http://www.env.gov.bc.ca/esd/distdata/ecosystems/TEI_Scanned_Maps/K17/K17-1723")</f>
        <v>http://www.env.gov.bc.ca/esd/distdata/ecosystems/TEI_Scanned_Maps/K17/K17-1723</v>
      </c>
      <c r="U1818" t="s">
        <v>58</v>
      </c>
      <c r="V1818" t="s">
        <v>58</v>
      </c>
      <c r="W1818" t="s">
        <v>58</v>
      </c>
      <c r="X1818" t="s">
        <v>58</v>
      </c>
      <c r="Y1818" t="s">
        <v>58</v>
      </c>
      <c r="Z1818" t="s">
        <v>58</v>
      </c>
      <c r="AA1818" t="s">
        <v>58</v>
      </c>
      <c r="AC1818" t="s">
        <v>58</v>
      </c>
      <c r="AE1818" t="s">
        <v>58</v>
      </c>
      <c r="AG1818" t="s">
        <v>63</v>
      </c>
      <c r="AH1818" s="11" t="str">
        <f t="shared" si="141"/>
        <v>mailto: soilterrain@victoria1.gov.bc.ca</v>
      </c>
    </row>
    <row r="1819" spans="1:34">
      <c r="A1819" t="s">
        <v>4207</v>
      </c>
      <c r="B1819" t="s">
        <v>56</v>
      </c>
      <c r="C1819" s="10" t="s">
        <v>1899</v>
      </c>
      <c r="D1819" t="s">
        <v>58</v>
      </c>
      <c r="E1819" t="s">
        <v>4176</v>
      </c>
      <c r="F1819" t="s">
        <v>4208</v>
      </c>
      <c r="G1819">
        <v>125000</v>
      </c>
      <c r="H1819">
        <v>1988</v>
      </c>
      <c r="I1819" t="s">
        <v>58</v>
      </c>
      <c r="J1819" t="s">
        <v>58</v>
      </c>
      <c r="K1819" t="s">
        <v>58</v>
      </c>
      <c r="L1819" t="s">
        <v>58</v>
      </c>
      <c r="M1819" t="s">
        <v>58</v>
      </c>
      <c r="O1819" t="s">
        <v>61</v>
      </c>
      <c r="Q1819" t="s">
        <v>58</v>
      </c>
      <c r="R1819" s="11" t="str">
        <f>HYPERLINK("\\imagefiles.bcgov\imagery\scanned_maps\moe_terrain_maps\Scanned_T_maps_all\K17\K17-1730","\\imagefiles.bcgov\imagery\scanned_maps\moe_terrain_maps\Scanned_T_maps_all\K17\K17-1730")</f>
        <v>\\imagefiles.bcgov\imagery\scanned_maps\moe_terrain_maps\Scanned_T_maps_all\K17\K17-1730</v>
      </c>
      <c r="S1819" t="s">
        <v>62</v>
      </c>
      <c r="T1819" s="11" t="str">
        <f>HYPERLINK("http://www.env.gov.bc.ca/esd/distdata/ecosystems/TEI_Scanned_Maps/K17/K17-1730","http://www.env.gov.bc.ca/esd/distdata/ecosystems/TEI_Scanned_Maps/K17/K17-1730")</f>
        <v>http://www.env.gov.bc.ca/esd/distdata/ecosystems/TEI_Scanned_Maps/K17/K17-1730</v>
      </c>
      <c r="U1819" t="s">
        <v>58</v>
      </c>
      <c r="V1819" t="s">
        <v>58</v>
      </c>
      <c r="W1819" t="s">
        <v>58</v>
      </c>
      <c r="X1819" t="s">
        <v>58</v>
      </c>
      <c r="Y1819" t="s">
        <v>58</v>
      </c>
      <c r="Z1819" t="s">
        <v>58</v>
      </c>
      <c r="AA1819" t="s">
        <v>58</v>
      </c>
      <c r="AC1819" t="s">
        <v>58</v>
      </c>
      <c r="AE1819" t="s">
        <v>58</v>
      </c>
      <c r="AG1819" t="s">
        <v>63</v>
      </c>
      <c r="AH1819" s="11" t="str">
        <f t="shared" si="141"/>
        <v>mailto: soilterrain@victoria1.gov.bc.ca</v>
      </c>
    </row>
    <row r="1820" spans="1:34">
      <c r="A1820" t="s">
        <v>4209</v>
      </c>
      <c r="B1820" t="s">
        <v>56</v>
      </c>
      <c r="C1820" s="10" t="s">
        <v>477</v>
      </c>
      <c r="D1820" t="s">
        <v>58</v>
      </c>
      <c r="E1820" t="s">
        <v>4176</v>
      </c>
      <c r="F1820" t="s">
        <v>4210</v>
      </c>
      <c r="G1820">
        <v>100000</v>
      </c>
      <c r="H1820">
        <v>1981</v>
      </c>
      <c r="I1820" t="s">
        <v>58</v>
      </c>
      <c r="J1820" t="s">
        <v>58</v>
      </c>
      <c r="K1820" t="s">
        <v>58</v>
      </c>
      <c r="L1820" t="s">
        <v>58</v>
      </c>
      <c r="M1820" t="s">
        <v>58</v>
      </c>
      <c r="O1820" t="s">
        <v>61</v>
      </c>
      <c r="Q1820" t="s">
        <v>58</v>
      </c>
      <c r="R1820" s="11" t="str">
        <f>HYPERLINK("\\imagefiles.bcgov\imagery\scanned_maps\moe_terrain_maps\Scanned_T_maps_all\K17\K17-1733","\\imagefiles.bcgov\imagery\scanned_maps\moe_terrain_maps\Scanned_T_maps_all\K17\K17-1733")</f>
        <v>\\imagefiles.bcgov\imagery\scanned_maps\moe_terrain_maps\Scanned_T_maps_all\K17\K17-1733</v>
      </c>
      <c r="S1820" t="s">
        <v>62</v>
      </c>
      <c r="T1820" s="11" t="str">
        <f>HYPERLINK("http://www.env.gov.bc.ca/esd/distdata/ecosystems/TEI_Scanned_Maps/K17/K17-1733","http://www.env.gov.bc.ca/esd/distdata/ecosystems/TEI_Scanned_Maps/K17/K17-1733")</f>
        <v>http://www.env.gov.bc.ca/esd/distdata/ecosystems/TEI_Scanned_Maps/K17/K17-1733</v>
      </c>
      <c r="U1820" t="s">
        <v>58</v>
      </c>
      <c r="V1820" t="s">
        <v>58</v>
      </c>
      <c r="W1820" t="s">
        <v>58</v>
      </c>
      <c r="X1820" t="s">
        <v>58</v>
      </c>
      <c r="Y1820" t="s">
        <v>58</v>
      </c>
      <c r="Z1820" t="s">
        <v>58</v>
      </c>
      <c r="AA1820" t="s">
        <v>58</v>
      </c>
      <c r="AC1820" t="s">
        <v>58</v>
      </c>
      <c r="AE1820" t="s">
        <v>58</v>
      </c>
      <c r="AG1820" t="s">
        <v>63</v>
      </c>
      <c r="AH1820" s="11" t="str">
        <f t="shared" si="141"/>
        <v>mailto: soilterrain@victoria1.gov.bc.ca</v>
      </c>
    </row>
    <row r="1821" spans="1:34">
      <c r="A1821" t="s">
        <v>4211</v>
      </c>
      <c r="B1821" t="s">
        <v>56</v>
      </c>
      <c r="C1821" s="10" t="s">
        <v>3079</v>
      </c>
      <c r="D1821" t="s">
        <v>58</v>
      </c>
      <c r="E1821" t="s">
        <v>4176</v>
      </c>
      <c r="F1821" t="s">
        <v>4212</v>
      </c>
      <c r="G1821">
        <v>126720</v>
      </c>
      <c r="H1821">
        <v>1979</v>
      </c>
      <c r="I1821" t="s">
        <v>58</v>
      </c>
      <c r="J1821" t="s">
        <v>58</v>
      </c>
      <c r="K1821" t="s">
        <v>58</v>
      </c>
      <c r="L1821" t="s">
        <v>58</v>
      </c>
      <c r="M1821" t="s">
        <v>58</v>
      </c>
      <c r="O1821" t="s">
        <v>61</v>
      </c>
      <c r="Q1821" t="s">
        <v>58</v>
      </c>
      <c r="R1821" s="11" t="str">
        <f>HYPERLINK("\\imagefiles.bcgov\imagery\scanned_maps\moe_terrain_maps\Scanned_T_maps_all\K17\K17-1791","\\imagefiles.bcgov\imagery\scanned_maps\moe_terrain_maps\Scanned_T_maps_all\K17\K17-1791")</f>
        <v>\\imagefiles.bcgov\imagery\scanned_maps\moe_terrain_maps\Scanned_T_maps_all\K17\K17-1791</v>
      </c>
      <c r="S1821" t="s">
        <v>62</v>
      </c>
      <c r="T1821" s="11" t="str">
        <f>HYPERLINK("http://www.env.gov.bc.ca/esd/distdata/ecosystems/TEI_Scanned_Maps/K17/K17-1791","http://www.env.gov.bc.ca/esd/distdata/ecosystems/TEI_Scanned_Maps/K17/K17-1791")</f>
        <v>http://www.env.gov.bc.ca/esd/distdata/ecosystems/TEI_Scanned_Maps/K17/K17-1791</v>
      </c>
      <c r="U1821" t="s">
        <v>58</v>
      </c>
      <c r="V1821" t="s">
        <v>58</v>
      </c>
      <c r="W1821" t="s">
        <v>58</v>
      </c>
      <c r="X1821" t="s">
        <v>58</v>
      </c>
      <c r="Y1821" t="s">
        <v>58</v>
      </c>
      <c r="Z1821" t="s">
        <v>58</v>
      </c>
      <c r="AA1821" t="s">
        <v>58</v>
      </c>
      <c r="AC1821" t="s">
        <v>58</v>
      </c>
      <c r="AE1821" t="s">
        <v>58</v>
      </c>
      <c r="AG1821" t="s">
        <v>63</v>
      </c>
      <c r="AH1821" s="11" t="str">
        <f t="shared" si="141"/>
        <v>mailto: soilterrain@victoria1.gov.bc.ca</v>
      </c>
    </row>
    <row r="1822" spans="1:34">
      <c r="A1822" t="s">
        <v>4213</v>
      </c>
      <c r="B1822" t="s">
        <v>56</v>
      </c>
      <c r="C1822" s="10" t="s">
        <v>3084</v>
      </c>
      <c r="D1822" t="s">
        <v>58</v>
      </c>
      <c r="E1822" t="s">
        <v>4176</v>
      </c>
      <c r="F1822" t="s">
        <v>4214</v>
      </c>
      <c r="G1822">
        <v>100000</v>
      </c>
      <c r="H1822">
        <v>1974</v>
      </c>
      <c r="I1822" t="s">
        <v>58</v>
      </c>
      <c r="J1822" t="s">
        <v>58</v>
      </c>
      <c r="K1822" t="s">
        <v>58</v>
      </c>
      <c r="L1822" t="s">
        <v>58</v>
      </c>
      <c r="M1822" t="s">
        <v>58</v>
      </c>
      <c r="O1822" t="s">
        <v>61</v>
      </c>
      <c r="Q1822" t="s">
        <v>58</v>
      </c>
      <c r="R1822" s="11" t="str">
        <f>HYPERLINK("\\imagefiles.bcgov\imagery\scanned_maps\moe_terrain_maps\Scanned_T_maps_all\K17\K17-1797","\\imagefiles.bcgov\imagery\scanned_maps\moe_terrain_maps\Scanned_T_maps_all\K17\K17-1797")</f>
        <v>\\imagefiles.bcgov\imagery\scanned_maps\moe_terrain_maps\Scanned_T_maps_all\K17\K17-1797</v>
      </c>
      <c r="S1822" t="s">
        <v>62</v>
      </c>
      <c r="T1822" s="11" t="str">
        <f>HYPERLINK("http://www.env.gov.bc.ca/esd/distdata/ecosystems/TEI_Scanned_Maps/K17/K17-1797","http://www.env.gov.bc.ca/esd/distdata/ecosystems/TEI_Scanned_Maps/K17/K17-1797")</f>
        <v>http://www.env.gov.bc.ca/esd/distdata/ecosystems/TEI_Scanned_Maps/K17/K17-1797</v>
      </c>
      <c r="U1822" t="s">
        <v>58</v>
      </c>
      <c r="V1822" t="s">
        <v>58</v>
      </c>
      <c r="W1822" t="s">
        <v>58</v>
      </c>
      <c r="X1822" t="s">
        <v>58</v>
      </c>
      <c r="Y1822" t="s">
        <v>58</v>
      </c>
      <c r="Z1822" t="s">
        <v>58</v>
      </c>
      <c r="AA1822" t="s">
        <v>58</v>
      </c>
      <c r="AC1822" t="s">
        <v>58</v>
      </c>
      <c r="AE1822" t="s">
        <v>58</v>
      </c>
      <c r="AG1822" t="s">
        <v>63</v>
      </c>
      <c r="AH1822" s="11" t="str">
        <f t="shared" si="141"/>
        <v>mailto: soilterrain@victoria1.gov.bc.ca</v>
      </c>
    </row>
    <row r="1823" spans="1:34">
      <c r="A1823" t="s">
        <v>4215</v>
      </c>
      <c r="B1823" t="s">
        <v>56</v>
      </c>
      <c r="C1823" s="10" t="s">
        <v>587</v>
      </c>
      <c r="D1823" t="s">
        <v>58</v>
      </c>
      <c r="E1823" t="s">
        <v>4176</v>
      </c>
      <c r="F1823" t="s">
        <v>4216</v>
      </c>
      <c r="G1823">
        <v>125000</v>
      </c>
      <c r="H1823">
        <v>1979</v>
      </c>
      <c r="I1823" t="s">
        <v>58</v>
      </c>
      <c r="J1823" t="s">
        <v>58</v>
      </c>
      <c r="K1823" t="s">
        <v>58</v>
      </c>
      <c r="L1823" t="s">
        <v>58</v>
      </c>
      <c r="M1823" t="s">
        <v>58</v>
      </c>
      <c r="O1823" t="s">
        <v>61</v>
      </c>
      <c r="Q1823" t="s">
        <v>58</v>
      </c>
      <c r="R1823" s="11" t="str">
        <f>HYPERLINK("\\imagefiles.bcgov\imagery\scanned_maps\moe_terrain_maps\Scanned_T_maps_all\K17\K17-1803","\\imagefiles.bcgov\imagery\scanned_maps\moe_terrain_maps\Scanned_T_maps_all\K17\K17-1803")</f>
        <v>\\imagefiles.bcgov\imagery\scanned_maps\moe_terrain_maps\Scanned_T_maps_all\K17\K17-1803</v>
      </c>
      <c r="S1823" t="s">
        <v>62</v>
      </c>
      <c r="T1823" s="11" t="str">
        <f>HYPERLINK("http://www.env.gov.bc.ca/esd/distdata/ecosystems/TEI_Scanned_Maps/K17/K17-1803","http://www.env.gov.bc.ca/esd/distdata/ecosystems/TEI_Scanned_Maps/K17/K17-1803")</f>
        <v>http://www.env.gov.bc.ca/esd/distdata/ecosystems/TEI_Scanned_Maps/K17/K17-1803</v>
      </c>
      <c r="U1823" t="s">
        <v>58</v>
      </c>
      <c r="V1823" t="s">
        <v>58</v>
      </c>
      <c r="W1823" t="s">
        <v>58</v>
      </c>
      <c r="X1823" t="s">
        <v>58</v>
      </c>
      <c r="Y1823" t="s">
        <v>58</v>
      </c>
      <c r="Z1823" t="s">
        <v>58</v>
      </c>
      <c r="AA1823" t="s">
        <v>58</v>
      </c>
      <c r="AC1823" t="s">
        <v>58</v>
      </c>
      <c r="AE1823" t="s">
        <v>58</v>
      </c>
      <c r="AG1823" t="s">
        <v>63</v>
      </c>
      <c r="AH1823" s="11" t="str">
        <f t="shared" si="141"/>
        <v>mailto: soilterrain@victoria1.gov.bc.ca</v>
      </c>
    </row>
    <row r="1824" spans="1:34">
      <c r="A1824" t="s">
        <v>4217</v>
      </c>
      <c r="B1824" t="s">
        <v>56</v>
      </c>
      <c r="C1824" s="10" t="s">
        <v>3089</v>
      </c>
      <c r="D1824" t="s">
        <v>58</v>
      </c>
      <c r="E1824" t="s">
        <v>4176</v>
      </c>
      <c r="F1824" t="s">
        <v>4218</v>
      </c>
      <c r="G1824">
        <v>100000</v>
      </c>
      <c r="H1824">
        <v>1979</v>
      </c>
      <c r="I1824" t="s">
        <v>58</v>
      </c>
      <c r="J1824" t="s">
        <v>58</v>
      </c>
      <c r="K1824" t="s">
        <v>58</v>
      </c>
      <c r="L1824" t="s">
        <v>58</v>
      </c>
      <c r="M1824" t="s">
        <v>58</v>
      </c>
      <c r="O1824" t="s">
        <v>61</v>
      </c>
      <c r="Q1824" t="s">
        <v>58</v>
      </c>
      <c r="R1824" s="11" t="str">
        <f>HYPERLINK("\\imagefiles.bcgov\imagery\scanned_maps\moe_terrain_maps\Scanned_T_maps_all\K17\K17-1809","\\imagefiles.bcgov\imagery\scanned_maps\moe_terrain_maps\Scanned_T_maps_all\K17\K17-1809")</f>
        <v>\\imagefiles.bcgov\imagery\scanned_maps\moe_terrain_maps\Scanned_T_maps_all\K17\K17-1809</v>
      </c>
      <c r="S1824" t="s">
        <v>62</v>
      </c>
      <c r="T1824" s="11" t="str">
        <f>HYPERLINK("http://www.env.gov.bc.ca/esd/distdata/ecosystems/TEI_Scanned_Maps/K17/K17-1809","http://www.env.gov.bc.ca/esd/distdata/ecosystems/TEI_Scanned_Maps/K17/K17-1809")</f>
        <v>http://www.env.gov.bc.ca/esd/distdata/ecosystems/TEI_Scanned_Maps/K17/K17-1809</v>
      </c>
      <c r="U1824" t="s">
        <v>58</v>
      </c>
      <c r="V1824" t="s">
        <v>58</v>
      </c>
      <c r="W1824" t="s">
        <v>58</v>
      </c>
      <c r="X1824" t="s">
        <v>58</v>
      </c>
      <c r="Y1824" t="s">
        <v>58</v>
      </c>
      <c r="Z1824" t="s">
        <v>58</v>
      </c>
      <c r="AA1824" t="s">
        <v>58</v>
      </c>
      <c r="AC1824" t="s">
        <v>58</v>
      </c>
      <c r="AE1824" t="s">
        <v>58</v>
      </c>
      <c r="AG1824" t="s">
        <v>63</v>
      </c>
      <c r="AH1824" s="11" t="str">
        <f t="shared" si="141"/>
        <v>mailto: soilterrain@victoria1.gov.bc.ca</v>
      </c>
    </row>
    <row r="1825" spans="1:34">
      <c r="A1825" t="s">
        <v>4219</v>
      </c>
      <c r="B1825" t="s">
        <v>56</v>
      </c>
      <c r="C1825" s="10" t="s">
        <v>4220</v>
      </c>
      <c r="D1825" t="s">
        <v>58</v>
      </c>
      <c r="E1825" t="s">
        <v>4176</v>
      </c>
      <c r="F1825" t="s">
        <v>4221</v>
      </c>
      <c r="G1825">
        <v>100000</v>
      </c>
      <c r="H1825">
        <v>1979</v>
      </c>
      <c r="I1825" t="s">
        <v>58</v>
      </c>
      <c r="J1825" t="s">
        <v>58</v>
      </c>
      <c r="K1825" t="s">
        <v>58</v>
      </c>
      <c r="L1825" t="s">
        <v>58</v>
      </c>
      <c r="M1825" t="s">
        <v>58</v>
      </c>
      <c r="O1825" t="s">
        <v>61</v>
      </c>
      <c r="Q1825" t="s">
        <v>58</v>
      </c>
      <c r="R1825" s="11" t="str">
        <f>HYPERLINK("\\imagefiles.bcgov\imagery\scanned_maps\moe_terrain_maps\Scanned_T_maps_all\K17\K17-1837","\\imagefiles.bcgov\imagery\scanned_maps\moe_terrain_maps\Scanned_T_maps_all\K17\K17-1837")</f>
        <v>\\imagefiles.bcgov\imagery\scanned_maps\moe_terrain_maps\Scanned_T_maps_all\K17\K17-1837</v>
      </c>
      <c r="S1825" t="s">
        <v>62</v>
      </c>
      <c r="T1825" s="11" t="str">
        <f>HYPERLINK("http://www.env.gov.bc.ca/esd/distdata/ecosystems/TEI_Scanned_Maps/K17/K17-1837","http://www.env.gov.bc.ca/esd/distdata/ecosystems/TEI_Scanned_Maps/K17/K17-1837")</f>
        <v>http://www.env.gov.bc.ca/esd/distdata/ecosystems/TEI_Scanned_Maps/K17/K17-1837</v>
      </c>
      <c r="U1825" t="s">
        <v>58</v>
      </c>
      <c r="V1825" t="s">
        <v>58</v>
      </c>
      <c r="W1825" t="s">
        <v>58</v>
      </c>
      <c r="X1825" t="s">
        <v>58</v>
      </c>
      <c r="Y1825" t="s">
        <v>58</v>
      </c>
      <c r="Z1825" t="s">
        <v>58</v>
      </c>
      <c r="AA1825" t="s">
        <v>58</v>
      </c>
      <c r="AC1825" t="s">
        <v>58</v>
      </c>
      <c r="AE1825" t="s">
        <v>58</v>
      </c>
      <c r="AG1825" t="s">
        <v>63</v>
      </c>
      <c r="AH1825" s="11" t="str">
        <f t="shared" si="141"/>
        <v>mailto: soilterrain@victoria1.gov.bc.ca</v>
      </c>
    </row>
    <row r="1826" spans="1:34">
      <c r="A1826" t="s">
        <v>4222</v>
      </c>
      <c r="B1826" t="s">
        <v>56</v>
      </c>
      <c r="C1826" s="10" t="s">
        <v>4223</v>
      </c>
      <c r="D1826" t="s">
        <v>58</v>
      </c>
      <c r="E1826" t="s">
        <v>4176</v>
      </c>
      <c r="F1826" t="s">
        <v>4224</v>
      </c>
      <c r="G1826">
        <v>100000</v>
      </c>
      <c r="H1826">
        <v>1979</v>
      </c>
      <c r="I1826" t="s">
        <v>58</v>
      </c>
      <c r="J1826" t="s">
        <v>58</v>
      </c>
      <c r="K1826" t="s">
        <v>58</v>
      </c>
      <c r="L1826" t="s">
        <v>58</v>
      </c>
      <c r="M1826" t="s">
        <v>58</v>
      </c>
      <c r="O1826" t="s">
        <v>61</v>
      </c>
      <c r="Q1826" t="s">
        <v>58</v>
      </c>
      <c r="R1826" s="11" t="str">
        <f>HYPERLINK("\\imagefiles.bcgov\imagery\scanned_maps\moe_terrain_maps\Scanned_T_maps_all\K17\K17-1842","\\imagefiles.bcgov\imagery\scanned_maps\moe_terrain_maps\Scanned_T_maps_all\K17\K17-1842")</f>
        <v>\\imagefiles.bcgov\imagery\scanned_maps\moe_terrain_maps\Scanned_T_maps_all\K17\K17-1842</v>
      </c>
      <c r="S1826" t="s">
        <v>62</v>
      </c>
      <c r="T1826" s="11" t="str">
        <f>HYPERLINK("http://www.env.gov.bc.ca/esd/distdata/ecosystems/TEI_Scanned_Maps/K17/K17-1842","http://www.env.gov.bc.ca/esd/distdata/ecosystems/TEI_Scanned_Maps/K17/K17-1842")</f>
        <v>http://www.env.gov.bc.ca/esd/distdata/ecosystems/TEI_Scanned_Maps/K17/K17-1842</v>
      </c>
      <c r="U1826" t="s">
        <v>58</v>
      </c>
      <c r="V1826" t="s">
        <v>58</v>
      </c>
      <c r="W1826" t="s">
        <v>58</v>
      </c>
      <c r="X1826" t="s">
        <v>58</v>
      </c>
      <c r="Y1826" t="s">
        <v>58</v>
      </c>
      <c r="Z1826" t="s">
        <v>58</v>
      </c>
      <c r="AA1826" t="s">
        <v>58</v>
      </c>
      <c r="AC1826" t="s">
        <v>58</v>
      </c>
      <c r="AE1826" t="s">
        <v>58</v>
      </c>
      <c r="AG1826" t="s">
        <v>63</v>
      </c>
      <c r="AH1826" s="11" t="str">
        <f t="shared" si="141"/>
        <v>mailto: soilterrain@victoria1.gov.bc.ca</v>
      </c>
    </row>
    <row r="1827" spans="1:34">
      <c r="A1827" t="s">
        <v>4225</v>
      </c>
      <c r="B1827" t="s">
        <v>56</v>
      </c>
      <c r="C1827" s="10" t="s">
        <v>1907</v>
      </c>
      <c r="D1827" t="s">
        <v>58</v>
      </c>
      <c r="E1827" t="s">
        <v>4176</v>
      </c>
      <c r="F1827" t="s">
        <v>4226</v>
      </c>
      <c r="G1827">
        <v>100000</v>
      </c>
      <c r="H1827">
        <v>1979</v>
      </c>
      <c r="I1827" t="s">
        <v>58</v>
      </c>
      <c r="J1827" t="s">
        <v>58</v>
      </c>
      <c r="K1827" t="s">
        <v>58</v>
      </c>
      <c r="L1827" t="s">
        <v>58</v>
      </c>
      <c r="M1827" t="s">
        <v>58</v>
      </c>
      <c r="O1827" t="s">
        <v>61</v>
      </c>
      <c r="Q1827" t="s">
        <v>58</v>
      </c>
      <c r="R1827" s="11" t="str">
        <f>HYPERLINK("\\imagefiles.bcgov\imagery\scanned_maps\moe_terrain_maps\Scanned_T_maps_all\K17\K17-1867","\\imagefiles.bcgov\imagery\scanned_maps\moe_terrain_maps\Scanned_T_maps_all\K17\K17-1867")</f>
        <v>\\imagefiles.bcgov\imagery\scanned_maps\moe_terrain_maps\Scanned_T_maps_all\K17\K17-1867</v>
      </c>
      <c r="S1827" t="s">
        <v>62</v>
      </c>
      <c r="T1827" s="11" t="str">
        <f>HYPERLINK("http://www.env.gov.bc.ca/esd/distdata/ecosystems/TEI_Scanned_Maps/K17/K17-1867","http://www.env.gov.bc.ca/esd/distdata/ecosystems/TEI_Scanned_Maps/K17/K17-1867")</f>
        <v>http://www.env.gov.bc.ca/esd/distdata/ecosystems/TEI_Scanned_Maps/K17/K17-1867</v>
      </c>
      <c r="U1827" t="s">
        <v>58</v>
      </c>
      <c r="V1827" t="s">
        <v>58</v>
      </c>
      <c r="W1827" t="s">
        <v>58</v>
      </c>
      <c r="X1827" t="s">
        <v>58</v>
      </c>
      <c r="Y1827" t="s">
        <v>58</v>
      </c>
      <c r="Z1827" t="s">
        <v>58</v>
      </c>
      <c r="AA1827" t="s">
        <v>58</v>
      </c>
      <c r="AC1827" t="s">
        <v>58</v>
      </c>
      <c r="AE1827" t="s">
        <v>58</v>
      </c>
      <c r="AG1827" t="s">
        <v>63</v>
      </c>
      <c r="AH1827" s="11" t="str">
        <f t="shared" si="141"/>
        <v>mailto: soilterrain@victoria1.gov.bc.ca</v>
      </c>
    </row>
    <row r="1828" spans="1:34">
      <c r="A1828" t="s">
        <v>4227</v>
      </c>
      <c r="B1828" t="s">
        <v>56</v>
      </c>
      <c r="C1828" s="10" t="s">
        <v>4228</v>
      </c>
      <c r="D1828" t="s">
        <v>58</v>
      </c>
      <c r="E1828" t="s">
        <v>4176</v>
      </c>
      <c r="F1828" t="s">
        <v>4229</v>
      </c>
      <c r="G1828">
        <v>100000</v>
      </c>
      <c r="H1828">
        <v>1981</v>
      </c>
      <c r="I1828" t="s">
        <v>58</v>
      </c>
      <c r="J1828" t="s">
        <v>58</v>
      </c>
      <c r="K1828" t="s">
        <v>58</v>
      </c>
      <c r="L1828" t="s">
        <v>58</v>
      </c>
      <c r="M1828" t="s">
        <v>58</v>
      </c>
      <c r="O1828" t="s">
        <v>61</v>
      </c>
      <c r="Q1828" t="s">
        <v>58</v>
      </c>
      <c r="R1828" s="11" t="str">
        <f>HYPERLINK("\\imagefiles.bcgov\imagery\scanned_maps\moe_terrain_maps\Scanned_T_maps_all\K17\K17-19","\\imagefiles.bcgov\imagery\scanned_maps\moe_terrain_maps\Scanned_T_maps_all\K17\K17-19")</f>
        <v>\\imagefiles.bcgov\imagery\scanned_maps\moe_terrain_maps\Scanned_T_maps_all\K17\K17-19</v>
      </c>
      <c r="S1828" t="s">
        <v>62</v>
      </c>
      <c r="T1828" s="11" t="str">
        <f>HYPERLINK("http://www.env.gov.bc.ca/esd/distdata/ecosystems/TEI_Scanned_Maps/K17/K17-19","http://www.env.gov.bc.ca/esd/distdata/ecosystems/TEI_Scanned_Maps/K17/K17-19")</f>
        <v>http://www.env.gov.bc.ca/esd/distdata/ecosystems/TEI_Scanned_Maps/K17/K17-19</v>
      </c>
      <c r="U1828" t="s">
        <v>58</v>
      </c>
      <c r="V1828" t="s">
        <v>58</v>
      </c>
      <c r="W1828" t="s">
        <v>58</v>
      </c>
      <c r="X1828" t="s">
        <v>58</v>
      </c>
      <c r="Y1828" t="s">
        <v>58</v>
      </c>
      <c r="Z1828" t="s">
        <v>58</v>
      </c>
      <c r="AA1828" t="s">
        <v>58</v>
      </c>
      <c r="AC1828" t="s">
        <v>58</v>
      </c>
      <c r="AE1828" t="s">
        <v>58</v>
      </c>
      <c r="AG1828" t="s">
        <v>63</v>
      </c>
      <c r="AH1828" s="11" t="str">
        <f t="shared" si="141"/>
        <v>mailto: soilterrain@victoria1.gov.bc.ca</v>
      </c>
    </row>
    <row r="1829" spans="1:34">
      <c r="A1829" t="s">
        <v>4230</v>
      </c>
      <c r="B1829" t="s">
        <v>56</v>
      </c>
      <c r="C1829" s="10" t="s">
        <v>4231</v>
      </c>
      <c r="D1829" t="s">
        <v>58</v>
      </c>
      <c r="E1829" t="s">
        <v>4176</v>
      </c>
      <c r="F1829" t="s">
        <v>4232</v>
      </c>
      <c r="G1829">
        <v>100000</v>
      </c>
      <c r="H1829">
        <v>1979</v>
      </c>
      <c r="I1829" t="s">
        <v>58</v>
      </c>
      <c r="J1829" t="s">
        <v>58</v>
      </c>
      <c r="K1829" t="s">
        <v>58</v>
      </c>
      <c r="L1829" t="s">
        <v>58</v>
      </c>
      <c r="M1829" t="s">
        <v>58</v>
      </c>
      <c r="O1829" t="s">
        <v>61</v>
      </c>
      <c r="Q1829" t="s">
        <v>58</v>
      </c>
      <c r="R1829" s="11" t="str">
        <f>HYPERLINK("\\imagefiles.bcgov\imagery\scanned_maps\moe_terrain_maps\Scanned_T_maps_all\K17\K17-1900","\\imagefiles.bcgov\imagery\scanned_maps\moe_terrain_maps\Scanned_T_maps_all\K17\K17-1900")</f>
        <v>\\imagefiles.bcgov\imagery\scanned_maps\moe_terrain_maps\Scanned_T_maps_all\K17\K17-1900</v>
      </c>
      <c r="S1829" t="s">
        <v>62</v>
      </c>
      <c r="T1829" s="11" t="str">
        <f>HYPERLINK("http://www.env.gov.bc.ca/esd/distdata/ecosystems/TEI_Scanned_Maps/K17/K17-1900","http://www.env.gov.bc.ca/esd/distdata/ecosystems/TEI_Scanned_Maps/K17/K17-1900")</f>
        <v>http://www.env.gov.bc.ca/esd/distdata/ecosystems/TEI_Scanned_Maps/K17/K17-1900</v>
      </c>
      <c r="U1829" t="s">
        <v>58</v>
      </c>
      <c r="V1829" t="s">
        <v>58</v>
      </c>
      <c r="W1829" t="s">
        <v>58</v>
      </c>
      <c r="X1829" t="s">
        <v>58</v>
      </c>
      <c r="Y1829" t="s">
        <v>58</v>
      </c>
      <c r="Z1829" t="s">
        <v>58</v>
      </c>
      <c r="AA1829" t="s">
        <v>58</v>
      </c>
      <c r="AC1829" t="s">
        <v>58</v>
      </c>
      <c r="AE1829" t="s">
        <v>58</v>
      </c>
      <c r="AG1829" t="s">
        <v>63</v>
      </c>
      <c r="AH1829" s="11" t="str">
        <f t="shared" si="141"/>
        <v>mailto: soilterrain@victoria1.gov.bc.ca</v>
      </c>
    </row>
    <row r="1830" spans="1:34">
      <c r="A1830" t="s">
        <v>4233</v>
      </c>
      <c r="B1830" t="s">
        <v>56</v>
      </c>
      <c r="C1830" s="10" t="s">
        <v>4234</v>
      </c>
      <c r="D1830" t="s">
        <v>58</v>
      </c>
      <c r="E1830" t="s">
        <v>4176</v>
      </c>
      <c r="F1830" t="s">
        <v>4235</v>
      </c>
      <c r="G1830">
        <v>100000</v>
      </c>
      <c r="H1830">
        <v>1981</v>
      </c>
      <c r="I1830" t="s">
        <v>58</v>
      </c>
      <c r="J1830" t="s">
        <v>58</v>
      </c>
      <c r="K1830" t="s">
        <v>58</v>
      </c>
      <c r="L1830" t="s">
        <v>58</v>
      </c>
      <c r="M1830" t="s">
        <v>58</v>
      </c>
      <c r="O1830" t="s">
        <v>61</v>
      </c>
      <c r="Q1830" t="s">
        <v>58</v>
      </c>
      <c r="R1830" s="11" t="str">
        <f>HYPERLINK("\\imagefiles.bcgov\imagery\scanned_maps\moe_terrain_maps\Scanned_T_maps_all\K17\K17-1905","\\imagefiles.bcgov\imagery\scanned_maps\moe_terrain_maps\Scanned_T_maps_all\K17\K17-1905")</f>
        <v>\\imagefiles.bcgov\imagery\scanned_maps\moe_terrain_maps\Scanned_T_maps_all\K17\K17-1905</v>
      </c>
      <c r="S1830" t="s">
        <v>62</v>
      </c>
      <c r="T1830" s="11" t="str">
        <f>HYPERLINK("http://www.env.gov.bc.ca/esd/distdata/ecosystems/TEI_Scanned_Maps/K17/K17-1905","http://www.env.gov.bc.ca/esd/distdata/ecosystems/TEI_Scanned_Maps/K17/K17-1905")</f>
        <v>http://www.env.gov.bc.ca/esd/distdata/ecosystems/TEI_Scanned_Maps/K17/K17-1905</v>
      </c>
      <c r="U1830" t="s">
        <v>58</v>
      </c>
      <c r="V1830" t="s">
        <v>58</v>
      </c>
      <c r="W1830" t="s">
        <v>58</v>
      </c>
      <c r="X1830" t="s">
        <v>58</v>
      </c>
      <c r="Y1830" t="s">
        <v>58</v>
      </c>
      <c r="Z1830" t="s">
        <v>58</v>
      </c>
      <c r="AA1830" t="s">
        <v>58</v>
      </c>
      <c r="AC1830" t="s">
        <v>58</v>
      </c>
      <c r="AE1830" t="s">
        <v>58</v>
      </c>
      <c r="AG1830" t="s">
        <v>63</v>
      </c>
      <c r="AH1830" s="11" t="str">
        <f t="shared" si="141"/>
        <v>mailto: soilterrain@victoria1.gov.bc.ca</v>
      </c>
    </row>
    <row r="1831" spans="1:34">
      <c r="A1831" t="s">
        <v>4236</v>
      </c>
      <c r="B1831" t="s">
        <v>56</v>
      </c>
      <c r="C1831" s="10" t="s">
        <v>1904</v>
      </c>
      <c r="D1831" t="s">
        <v>58</v>
      </c>
      <c r="E1831" t="s">
        <v>4176</v>
      </c>
      <c r="F1831" t="s">
        <v>4237</v>
      </c>
      <c r="G1831">
        <v>100000</v>
      </c>
      <c r="H1831">
        <v>1979</v>
      </c>
      <c r="I1831" t="s">
        <v>58</v>
      </c>
      <c r="J1831" t="s">
        <v>58</v>
      </c>
      <c r="K1831" t="s">
        <v>58</v>
      </c>
      <c r="L1831" t="s">
        <v>58</v>
      </c>
      <c r="M1831" t="s">
        <v>58</v>
      </c>
      <c r="O1831" t="s">
        <v>61</v>
      </c>
      <c r="Q1831" t="s">
        <v>58</v>
      </c>
      <c r="R1831" s="11" t="str">
        <f>HYPERLINK("\\imagefiles.bcgov\imagery\scanned_maps\moe_terrain_maps\Scanned_T_maps_all\K17\K17-1911","\\imagefiles.bcgov\imagery\scanned_maps\moe_terrain_maps\Scanned_T_maps_all\K17\K17-1911")</f>
        <v>\\imagefiles.bcgov\imagery\scanned_maps\moe_terrain_maps\Scanned_T_maps_all\K17\K17-1911</v>
      </c>
      <c r="S1831" t="s">
        <v>62</v>
      </c>
      <c r="T1831" s="11" t="str">
        <f>HYPERLINK("http://www.env.gov.bc.ca/esd/distdata/ecosystems/TEI_Scanned_Maps/K17/K17-1911","http://www.env.gov.bc.ca/esd/distdata/ecosystems/TEI_Scanned_Maps/K17/K17-1911")</f>
        <v>http://www.env.gov.bc.ca/esd/distdata/ecosystems/TEI_Scanned_Maps/K17/K17-1911</v>
      </c>
      <c r="U1831" t="s">
        <v>58</v>
      </c>
      <c r="V1831" t="s">
        <v>58</v>
      </c>
      <c r="W1831" t="s">
        <v>58</v>
      </c>
      <c r="X1831" t="s">
        <v>58</v>
      </c>
      <c r="Y1831" t="s">
        <v>58</v>
      </c>
      <c r="Z1831" t="s">
        <v>58</v>
      </c>
      <c r="AA1831" t="s">
        <v>58</v>
      </c>
      <c r="AC1831" t="s">
        <v>58</v>
      </c>
      <c r="AE1831" t="s">
        <v>58</v>
      </c>
      <c r="AG1831" t="s">
        <v>63</v>
      </c>
      <c r="AH1831" s="11" t="str">
        <f t="shared" si="141"/>
        <v>mailto: soilterrain@victoria1.gov.bc.ca</v>
      </c>
    </row>
    <row r="1832" spans="1:34">
      <c r="A1832" t="s">
        <v>4238</v>
      </c>
      <c r="B1832" t="s">
        <v>56</v>
      </c>
      <c r="C1832" s="10" t="s">
        <v>1910</v>
      </c>
      <c r="D1832" t="s">
        <v>58</v>
      </c>
      <c r="E1832" t="s">
        <v>4176</v>
      </c>
      <c r="F1832" t="s">
        <v>4239</v>
      </c>
      <c r="G1832">
        <v>126720</v>
      </c>
      <c r="H1832">
        <v>1981</v>
      </c>
      <c r="I1832" t="s">
        <v>58</v>
      </c>
      <c r="J1832" t="s">
        <v>58</v>
      </c>
      <c r="K1832" t="s">
        <v>58</v>
      </c>
      <c r="L1832" t="s">
        <v>58</v>
      </c>
      <c r="M1832" t="s">
        <v>58</v>
      </c>
      <c r="O1832" t="s">
        <v>61</v>
      </c>
      <c r="Q1832" t="s">
        <v>58</v>
      </c>
      <c r="R1832" s="11" t="str">
        <f>HYPERLINK("\\imagefiles.bcgov\imagery\scanned_maps\moe_terrain_maps\Scanned_T_maps_all\K17\K17-1961","\\imagefiles.bcgov\imagery\scanned_maps\moe_terrain_maps\Scanned_T_maps_all\K17\K17-1961")</f>
        <v>\\imagefiles.bcgov\imagery\scanned_maps\moe_terrain_maps\Scanned_T_maps_all\K17\K17-1961</v>
      </c>
      <c r="S1832" t="s">
        <v>62</v>
      </c>
      <c r="T1832" s="11" t="str">
        <f>HYPERLINK("http://www.env.gov.bc.ca/esd/distdata/ecosystems/TEI_Scanned_Maps/K17/K17-1961","http://www.env.gov.bc.ca/esd/distdata/ecosystems/TEI_Scanned_Maps/K17/K17-1961")</f>
        <v>http://www.env.gov.bc.ca/esd/distdata/ecosystems/TEI_Scanned_Maps/K17/K17-1961</v>
      </c>
      <c r="U1832" t="s">
        <v>58</v>
      </c>
      <c r="V1832" t="s">
        <v>58</v>
      </c>
      <c r="W1832" t="s">
        <v>58</v>
      </c>
      <c r="X1832" t="s">
        <v>58</v>
      </c>
      <c r="Y1832" t="s">
        <v>58</v>
      </c>
      <c r="Z1832" t="s">
        <v>58</v>
      </c>
      <c r="AA1832" t="s">
        <v>58</v>
      </c>
      <c r="AC1832" t="s">
        <v>58</v>
      </c>
      <c r="AE1832" t="s">
        <v>58</v>
      </c>
      <c r="AG1832" t="s">
        <v>63</v>
      </c>
      <c r="AH1832" s="11" t="str">
        <f t="shared" si="141"/>
        <v>mailto: soilterrain@victoria1.gov.bc.ca</v>
      </c>
    </row>
    <row r="1833" spans="1:34">
      <c r="A1833" t="s">
        <v>4240</v>
      </c>
      <c r="B1833" t="s">
        <v>56</v>
      </c>
      <c r="C1833" s="10" t="s">
        <v>1913</v>
      </c>
      <c r="D1833" t="s">
        <v>58</v>
      </c>
      <c r="E1833" t="s">
        <v>4176</v>
      </c>
      <c r="F1833" t="s">
        <v>4239</v>
      </c>
      <c r="G1833">
        <v>126720</v>
      </c>
      <c r="H1833">
        <v>1983</v>
      </c>
      <c r="I1833" t="s">
        <v>58</v>
      </c>
      <c r="J1833" t="s">
        <v>58</v>
      </c>
      <c r="K1833" t="s">
        <v>58</v>
      </c>
      <c r="L1833" t="s">
        <v>58</v>
      </c>
      <c r="M1833" t="s">
        <v>58</v>
      </c>
      <c r="O1833" t="s">
        <v>61</v>
      </c>
      <c r="Q1833" t="s">
        <v>58</v>
      </c>
      <c r="R1833" s="11" t="str">
        <f>HYPERLINK("\\imagefiles.bcgov\imagery\scanned_maps\moe_terrain_maps\Scanned_T_maps_all\K17\K17-1965","\\imagefiles.bcgov\imagery\scanned_maps\moe_terrain_maps\Scanned_T_maps_all\K17\K17-1965")</f>
        <v>\\imagefiles.bcgov\imagery\scanned_maps\moe_terrain_maps\Scanned_T_maps_all\K17\K17-1965</v>
      </c>
      <c r="S1833" t="s">
        <v>62</v>
      </c>
      <c r="T1833" s="11" t="str">
        <f>HYPERLINK("http://www.env.gov.bc.ca/esd/distdata/ecosystems/TEI_Scanned_Maps/K17/K17-1965","http://www.env.gov.bc.ca/esd/distdata/ecosystems/TEI_Scanned_Maps/K17/K17-1965")</f>
        <v>http://www.env.gov.bc.ca/esd/distdata/ecosystems/TEI_Scanned_Maps/K17/K17-1965</v>
      </c>
      <c r="U1833" t="s">
        <v>58</v>
      </c>
      <c r="V1833" t="s">
        <v>58</v>
      </c>
      <c r="W1833" t="s">
        <v>58</v>
      </c>
      <c r="X1833" t="s">
        <v>58</v>
      </c>
      <c r="Y1833" t="s">
        <v>58</v>
      </c>
      <c r="Z1833" t="s">
        <v>58</v>
      </c>
      <c r="AA1833" t="s">
        <v>58</v>
      </c>
      <c r="AC1833" t="s">
        <v>58</v>
      </c>
      <c r="AE1833" t="s">
        <v>58</v>
      </c>
      <c r="AG1833" t="s">
        <v>63</v>
      </c>
      <c r="AH1833" s="11" t="str">
        <f t="shared" si="141"/>
        <v>mailto: soilterrain@victoria1.gov.bc.ca</v>
      </c>
    </row>
    <row r="1834" spans="1:34">
      <c r="A1834" t="s">
        <v>4241</v>
      </c>
      <c r="B1834" t="s">
        <v>56</v>
      </c>
      <c r="C1834" s="10" t="s">
        <v>1916</v>
      </c>
      <c r="D1834" t="s">
        <v>58</v>
      </c>
      <c r="E1834" t="s">
        <v>4176</v>
      </c>
      <c r="F1834" t="s">
        <v>4239</v>
      </c>
      <c r="G1834">
        <v>126720</v>
      </c>
      <c r="H1834">
        <v>1979</v>
      </c>
      <c r="I1834" t="s">
        <v>58</v>
      </c>
      <c r="J1834" t="s">
        <v>58</v>
      </c>
      <c r="K1834" t="s">
        <v>58</v>
      </c>
      <c r="L1834" t="s">
        <v>58</v>
      </c>
      <c r="M1834" t="s">
        <v>58</v>
      </c>
      <c r="O1834" t="s">
        <v>61</v>
      </c>
      <c r="Q1834" t="s">
        <v>58</v>
      </c>
      <c r="R1834" s="11" t="str">
        <f>HYPERLINK("\\imagefiles.bcgov\imagery\scanned_maps\moe_terrain_maps\Scanned_T_maps_all\K17\K17-1969","\\imagefiles.bcgov\imagery\scanned_maps\moe_terrain_maps\Scanned_T_maps_all\K17\K17-1969")</f>
        <v>\\imagefiles.bcgov\imagery\scanned_maps\moe_terrain_maps\Scanned_T_maps_all\K17\K17-1969</v>
      </c>
      <c r="S1834" t="s">
        <v>62</v>
      </c>
      <c r="T1834" s="11" t="str">
        <f>HYPERLINK("http://www.env.gov.bc.ca/esd/distdata/ecosystems/TEI_Scanned_Maps/K17/K17-1969","http://www.env.gov.bc.ca/esd/distdata/ecosystems/TEI_Scanned_Maps/K17/K17-1969")</f>
        <v>http://www.env.gov.bc.ca/esd/distdata/ecosystems/TEI_Scanned_Maps/K17/K17-1969</v>
      </c>
      <c r="U1834" t="s">
        <v>58</v>
      </c>
      <c r="V1834" t="s">
        <v>58</v>
      </c>
      <c r="W1834" t="s">
        <v>58</v>
      </c>
      <c r="X1834" t="s">
        <v>58</v>
      </c>
      <c r="Y1834" t="s">
        <v>58</v>
      </c>
      <c r="Z1834" t="s">
        <v>58</v>
      </c>
      <c r="AA1834" t="s">
        <v>58</v>
      </c>
      <c r="AC1834" t="s">
        <v>58</v>
      </c>
      <c r="AE1834" t="s">
        <v>58</v>
      </c>
      <c r="AG1834" t="s">
        <v>63</v>
      </c>
      <c r="AH1834" s="11" t="str">
        <f t="shared" si="141"/>
        <v>mailto: soilterrain@victoria1.gov.bc.ca</v>
      </c>
    </row>
    <row r="1835" spans="1:34">
      <c r="A1835" t="s">
        <v>4242</v>
      </c>
      <c r="B1835" t="s">
        <v>56</v>
      </c>
      <c r="C1835" s="10" t="s">
        <v>1919</v>
      </c>
      <c r="D1835" t="s">
        <v>58</v>
      </c>
      <c r="E1835" t="s">
        <v>4176</v>
      </c>
      <c r="F1835" t="s">
        <v>4239</v>
      </c>
      <c r="G1835">
        <v>126720</v>
      </c>
      <c r="H1835">
        <v>1956</v>
      </c>
      <c r="I1835" t="s">
        <v>58</v>
      </c>
      <c r="J1835" t="s">
        <v>58</v>
      </c>
      <c r="K1835" t="s">
        <v>58</v>
      </c>
      <c r="L1835" t="s">
        <v>58</v>
      </c>
      <c r="M1835" t="s">
        <v>58</v>
      </c>
      <c r="O1835" t="s">
        <v>61</v>
      </c>
      <c r="Q1835" t="s">
        <v>58</v>
      </c>
      <c r="R1835" s="11" t="str">
        <f>HYPERLINK("\\imagefiles.bcgov\imagery\scanned_maps\moe_terrain_maps\Scanned_T_maps_all\K17\K17-1972","\\imagefiles.bcgov\imagery\scanned_maps\moe_terrain_maps\Scanned_T_maps_all\K17\K17-1972")</f>
        <v>\\imagefiles.bcgov\imagery\scanned_maps\moe_terrain_maps\Scanned_T_maps_all\K17\K17-1972</v>
      </c>
      <c r="S1835" t="s">
        <v>62</v>
      </c>
      <c r="T1835" s="11" t="str">
        <f>HYPERLINK("http://www.env.gov.bc.ca/esd/distdata/ecosystems/TEI_Scanned_Maps/K17/K17-1972","http://www.env.gov.bc.ca/esd/distdata/ecosystems/TEI_Scanned_Maps/K17/K17-1972")</f>
        <v>http://www.env.gov.bc.ca/esd/distdata/ecosystems/TEI_Scanned_Maps/K17/K17-1972</v>
      </c>
      <c r="U1835" t="s">
        <v>58</v>
      </c>
      <c r="V1835" t="s">
        <v>58</v>
      </c>
      <c r="W1835" t="s">
        <v>58</v>
      </c>
      <c r="X1835" t="s">
        <v>58</v>
      </c>
      <c r="Y1835" t="s">
        <v>58</v>
      </c>
      <c r="Z1835" t="s">
        <v>58</v>
      </c>
      <c r="AA1835" t="s">
        <v>58</v>
      </c>
      <c r="AC1835" t="s">
        <v>58</v>
      </c>
      <c r="AE1835" t="s">
        <v>58</v>
      </c>
      <c r="AG1835" t="s">
        <v>63</v>
      </c>
      <c r="AH1835" s="11" t="str">
        <f t="shared" si="141"/>
        <v>mailto: soilterrain@victoria1.gov.bc.ca</v>
      </c>
    </row>
    <row r="1836" spans="1:34">
      <c r="A1836" t="s">
        <v>4243</v>
      </c>
      <c r="B1836" t="s">
        <v>56</v>
      </c>
      <c r="C1836" s="10" t="s">
        <v>1922</v>
      </c>
      <c r="D1836" t="s">
        <v>58</v>
      </c>
      <c r="E1836" t="s">
        <v>4176</v>
      </c>
      <c r="F1836" t="s">
        <v>4244</v>
      </c>
      <c r="G1836">
        <v>125000</v>
      </c>
      <c r="H1836">
        <v>1974</v>
      </c>
      <c r="I1836" t="s">
        <v>58</v>
      </c>
      <c r="J1836" t="s">
        <v>58</v>
      </c>
      <c r="K1836" t="s">
        <v>58</v>
      </c>
      <c r="L1836" t="s">
        <v>58</v>
      </c>
      <c r="M1836" t="s">
        <v>58</v>
      </c>
      <c r="O1836" t="s">
        <v>61</v>
      </c>
      <c r="Q1836" t="s">
        <v>58</v>
      </c>
      <c r="R1836" s="11" t="str">
        <f>HYPERLINK("\\imagefiles.bcgov\imagery\scanned_maps\moe_terrain_maps\Scanned_T_maps_all\K17\K17-2041","\\imagefiles.bcgov\imagery\scanned_maps\moe_terrain_maps\Scanned_T_maps_all\K17\K17-2041")</f>
        <v>\\imagefiles.bcgov\imagery\scanned_maps\moe_terrain_maps\Scanned_T_maps_all\K17\K17-2041</v>
      </c>
      <c r="S1836" t="s">
        <v>62</v>
      </c>
      <c r="T1836" s="11" t="str">
        <f>HYPERLINK("http://www.env.gov.bc.ca/esd/distdata/ecosystems/TEI_Scanned_Maps/K17/K17-2041","http://www.env.gov.bc.ca/esd/distdata/ecosystems/TEI_Scanned_Maps/K17/K17-2041")</f>
        <v>http://www.env.gov.bc.ca/esd/distdata/ecosystems/TEI_Scanned_Maps/K17/K17-2041</v>
      </c>
      <c r="U1836" t="s">
        <v>58</v>
      </c>
      <c r="V1836" t="s">
        <v>58</v>
      </c>
      <c r="W1836" t="s">
        <v>58</v>
      </c>
      <c r="X1836" t="s">
        <v>58</v>
      </c>
      <c r="Y1836" t="s">
        <v>58</v>
      </c>
      <c r="Z1836" t="s">
        <v>58</v>
      </c>
      <c r="AA1836" t="s">
        <v>58</v>
      </c>
      <c r="AC1836" t="s">
        <v>58</v>
      </c>
      <c r="AE1836" t="s">
        <v>58</v>
      </c>
      <c r="AG1836" t="s">
        <v>63</v>
      </c>
      <c r="AH1836" s="11" t="str">
        <f t="shared" si="141"/>
        <v>mailto: soilterrain@victoria1.gov.bc.ca</v>
      </c>
    </row>
    <row r="1837" spans="1:34">
      <c r="A1837" t="s">
        <v>4245</v>
      </c>
      <c r="B1837" t="s">
        <v>56</v>
      </c>
      <c r="C1837" s="10" t="s">
        <v>1925</v>
      </c>
      <c r="D1837" t="s">
        <v>58</v>
      </c>
      <c r="E1837" t="s">
        <v>4176</v>
      </c>
      <c r="F1837" t="s">
        <v>4239</v>
      </c>
      <c r="G1837">
        <v>126720</v>
      </c>
      <c r="H1837">
        <v>1979</v>
      </c>
      <c r="I1837" t="s">
        <v>58</v>
      </c>
      <c r="J1837" t="s">
        <v>58</v>
      </c>
      <c r="K1837" t="s">
        <v>58</v>
      </c>
      <c r="L1837" t="s">
        <v>58</v>
      </c>
      <c r="M1837" t="s">
        <v>58</v>
      </c>
      <c r="O1837" t="s">
        <v>61</v>
      </c>
      <c r="Q1837" t="s">
        <v>58</v>
      </c>
      <c r="R1837" s="11" t="str">
        <f>HYPERLINK("\\imagefiles.bcgov\imagery\scanned_maps\moe_terrain_maps\Scanned_T_maps_all\K17\K17-2049","\\imagefiles.bcgov\imagery\scanned_maps\moe_terrain_maps\Scanned_T_maps_all\K17\K17-2049")</f>
        <v>\\imagefiles.bcgov\imagery\scanned_maps\moe_terrain_maps\Scanned_T_maps_all\K17\K17-2049</v>
      </c>
      <c r="S1837" t="s">
        <v>62</v>
      </c>
      <c r="T1837" s="11" t="str">
        <f>HYPERLINK("http://www.env.gov.bc.ca/esd/distdata/ecosystems/TEI_Scanned_Maps/K17/K17-2049","http://www.env.gov.bc.ca/esd/distdata/ecosystems/TEI_Scanned_Maps/K17/K17-2049")</f>
        <v>http://www.env.gov.bc.ca/esd/distdata/ecosystems/TEI_Scanned_Maps/K17/K17-2049</v>
      </c>
      <c r="U1837" t="s">
        <v>58</v>
      </c>
      <c r="V1837" t="s">
        <v>58</v>
      </c>
      <c r="W1837" t="s">
        <v>58</v>
      </c>
      <c r="X1837" t="s">
        <v>58</v>
      </c>
      <c r="Y1837" t="s">
        <v>58</v>
      </c>
      <c r="Z1837" t="s">
        <v>58</v>
      </c>
      <c r="AA1837" t="s">
        <v>58</v>
      </c>
      <c r="AC1837" t="s">
        <v>58</v>
      </c>
      <c r="AE1837" t="s">
        <v>58</v>
      </c>
      <c r="AG1837" t="s">
        <v>63</v>
      </c>
      <c r="AH1837" s="11" t="str">
        <f t="shared" si="141"/>
        <v>mailto: soilterrain@victoria1.gov.bc.ca</v>
      </c>
    </row>
    <row r="1838" spans="1:34">
      <c r="A1838" t="s">
        <v>4246</v>
      </c>
      <c r="B1838" t="s">
        <v>56</v>
      </c>
      <c r="C1838" s="10" t="s">
        <v>1928</v>
      </c>
      <c r="D1838" t="s">
        <v>58</v>
      </c>
      <c r="E1838" t="s">
        <v>4176</v>
      </c>
      <c r="F1838" t="s">
        <v>4247</v>
      </c>
      <c r="G1838">
        <v>125000</v>
      </c>
      <c r="H1838">
        <v>1956</v>
      </c>
      <c r="I1838" t="s">
        <v>58</v>
      </c>
      <c r="J1838" t="s">
        <v>58</v>
      </c>
      <c r="K1838" t="s">
        <v>58</v>
      </c>
      <c r="L1838" t="s">
        <v>58</v>
      </c>
      <c r="M1838" t="s">
        <v>58</v>
      </c>
      <c r="O1838" t="s">
        <v>61</v>
      </c>
      <c r="Q1838" t="s">
        <v>58</v>
      </c>
      <c r="R1838" s="11" t="str">
        <f>HYPERLINK("\\imagefiles.bcgov\imagery\scanned_maps\moe_terrain_maps\Scanned_T_maps_all\K17\K17-2055","\\imagefiles.bcgov\imagery\scanned_maps\moe_terrain_maps\Scanned_T_maps_all\K17\K17-2055")</f>
        <v>\\imagefiles.bcgov\imagery\scanned_maps\moe_terrain_maps\Scanned_T_maps_all\K17\K17-2055</v>
      </c>
      <c r="S1838" t="s">
        <v>62</v>
      </c>
      <c r="T1838" s="11" t="str">
        <f>HYPERLINK("http://www.env.gov.bc.ca/esd/distdata/ecosystems/TEI_Scanned_Maps/K17/K17-2055","http://www.env.gov.bc.ca/esd/distdata/ecosystems/TEI_Scanned_Maps/K17/K17-2055")</f>
        <v>http://www.env.gov.bc.ca/esd/distdata/ecosystems/TEI_Scanned_Maps/K17/K17-2055</v>
      </c>
      <c r="U1838" t="s">
        <v>58</v>
      </c>
      <c r="V1838" t="s">
        <v>58</v>
      </c>
      <c r="W1838" t="s">
        <v>58</v>
      </c>
      <c r="X1838" t="s">
        <v>58</v>
      </c>
      <c r="Y1838" t="s">
        <v>58</v>
      </c>
      <c r="Z1838" t="s">
        <v>58</v>
      </c>
      <c r="AA1838" t="s">
        <v>58</v>
      </c>
      <c r="AC1838" t="s">
        <v>58</v>
      </c>
      <c r="AE1838" t="s">
        <v>58</v>
      </c>
      <c r="AG1838" t="s">
        <v>63</v>
      </c>
      <c r="AH1838" s="11" t="str">
        <f t="shared" si="141"/>
        <v>mailto: soilterrain@victoria1.gov.bc.ca</v>
      </c>
    </row>
    <row r="1839" spans="1:34">
      <c r="A1839" t="s">
        <v>4248</v>
      </c>
      <c r="B1839" t="s">
        <v>56</v>
      </c>
      <c r="C1839" s="10" t="s">
        <v>1931</v>
      </c>
      <c r="D1839" t="s">
        <v>58</v>
      </c>
      <c r="E1839" t="s">
        <v>4176</v>
      </c>
      <c r="F1839" t="s">
        <v>4239</v>
      </c>
      <c r="G1839">
        <v>126720</v>
      </c>
      <c r="H1839">
        <v>1979</v>
      </c>
      <c r="I1839" t="s">
        <v>58</v>
      </c>
      <c r="J1839" t="s">
        <v>58</v>
      </c>
      <c r="K1839" t="s">
        <v>58</v>
      </c>
      <c r="L1839" t="s">
        <v>58</v>
      </c>
      <c r="M1839" t="s">
        <v>58</v>
      </c>
      <c r="O1839" t="s">
        <v>61</v>
      </c>
      <c r="Q1839" t="s">
        <v>58</v>
      </c>
      <c r="R1839" s="11" t="str">
        <f>HYPERLINK("\\imagefiles.bcgov\imagery\scanned_maps\moe_terrain_maps\Scanned_T_maps_all\K17\K17-2063","\\imagefiles.bcgov\imagery\scanned_maps\moe_terrain_maps\Scanned_T_maps_all\K17\K17-2063")</f>
        <v>\\imagefiles.bcgov\imagery\scanned_maps\moe_terrain_maps\Scanned_T_maps_all\K17\K17-2063</v>
      </c>
      <c r="S1839" t="s">
        <v>62</v>
      </c>
      <c r="T1839" s="11" t="str">
        <f>HYPERLINK("http://www.env.gov.bc.ca/esd/distdata/ecosystems/TEI_Scanned_Maps/K17/K17-2063","http://www.env.gov.bc.ca/esd/distdata/ecosystems/TEI_Scanned_Maps/K17/K17-2063")</f>
        <v>http://www.env.gov.bc.ca/esd/distdata/ecosystems/TEI_Scanned_Maps/K17/K17-2063</v>
      </c>
      <c r="U1839" t="s">
        <v>58</v>
      </c>
      <c r="V1839" t="s">
        <v>58</v>
      </c>
      <c r="W1839" t="s">
        <v>58</v>
      </c>
      <c r="X1839" t="s">
        <v>58</v>
      </c>
      <c r="Y1839" t="s">
        <v>58</v>
      </c>
      <c r="Z1839" t="s">
        <v>58</v>
      </c>
      <c r="AA1839" t="s">
        <v>58</v>
      </c>
      <c r="AC1839" t="s">
        <v>58</v>
      </c>
      <c r="AE1839" t="s">
        <v>58</v>
      </c>
      <c r="AG1839" t="s">
        <v>63</v>
      </c>
      <c r="AH1839" s="11" t="str">
        <f t="shared" si="141"/>
        <v>mailto: soilterrain@victoria1.gov.bc.ca</v>
      </c>
    </row>
    <row r="1840" spans="1:34">
      <c r="A1840" t="s">
        <v>4249</v>
      </c>
      <c r="B1840" t="s">
        <v>56</v>
      </c>
      <c r="C1840" s="10" t="s">
        <v>3118</v>
      </c>
      <c r="D1840" t="s">
        <v>58</v>
      </c>
      <c r="E1840" t="s">
        <v>4176</v>
      </c>
      <c r="F1840" t="s">
        <v>4250</v>
      </c>
      <c r="G1840">
        <v>125000</v>
      </c>
      <c r="H1840" t="s">
        <v>187</v>
      </c>
      <c r="I1840" t="s">
        <v>58</v>
      </c>
      <c r="J1840" t="s">
        <v>58</v>
      </c>
      <c r="K1840" t="s">
        <v>58</v>
      </c>
      <c r="L1840" t="s">
        <v>58</v>
      </c>
      <c r="M1840" t="s">
        <v>58</v>
      </c>
      <c r="O1840" t="s">
        <v>61</v>
      </c>
      <c r="Q1840" t="s">
        <v>58</v>
      </c>
      <c r="R1840" s="11" t="str">
        <f>HYPERLINK("\\imagefiles.bcgov\imagery\scanned_maps\moe_terrain_maps\Scanned_T_maps_all\K17\K17-2118","\\imagefiles.bcgov\imagery\scanned_maps\moe_terrain_maps\Scanned_T_maps_all\K17\K17-2118")</f>
        <v>\\imagefiles.bcgov\imagery\scanned_maps\moe_terrain_maps\Scanned_T_maps_all\K17\K17-2118</v>
      </c>
      <c r="S1840" t="s">
        <v>62</v>
      </c>
      <c r="T1840" s="11" t="str">
        <f>HYPERLINK("http://www.env.gov.bc.ca/esd/distdata/ecosystems/TEI_Scanned_Maps/K17/K17-2118","http://www.env.gov.bc.ca/esd/distdata/ecosystems/TEI_Scanned_Maps/K17/K17-2118")</f>
        <v>http://www.env.gov.bc.ca/esd/distdata/ecosystems/TEI_Scanned_Maps/K17/K17-2118</v>
      </c>
      <c r="U1840" t="s">
        <v>58</v>
      </c>
      <c r="V1840" t="s">
        <v>58</v>
      </c>
      <c r="W1840" t="s">
        <v>58</v>
      </c>
      <c r="X1840" t="s">
        <v>58</v>
      </c>
      <c r="Y1840" t="s">
        <v>58</v>
      </c>
      <c r="Z1840" t="s">
        <v>58</v>
      </c>
      <c r="AA1840" t="s">
        <v>58</v>
      </c>
      <c r="AC1840" t="s">
        <v>58</v>
      </c>
      <c r="AE1840" t="s">
        <v>58</v>
      </c>
      <c r="AG1840" t="s">
        <v>63</v>
      </c>
      <c r="AH1840" s="11" t="str">
        <f t="shared" si="141"/>
        <v>mailto: soilterrain@victoria1.gov.bc.ca</v>
      </c>
    </row>
    <row r="1841" spans="1:34">
      <c r="A1841" t="s">
        <v>4251</v>
      </c>
      <c r="B1841" t="s">
        <v>56</v>
      </c>
      <c r="C1841" s="10" t="s">
        <v>1934</v>
      </c>
      <c r="D1841" t="s">
        <v>58</v>
      </c>
      <c r="E1841" t="s">
        <v>4176</v>
      </c>
      <c r="F1841" t="s">
        <v>4239</v>
      </c>
      <c r="G1841">
        <v>126720</v>
      </c>
      <c r="H1841">
        <v>1979</v>
      </c>
      <c r="I1841" t="s">
        <v>58</v>
      </c>
      <c r="J1841" t="s">
        <v>58</v>
      </c>
      <c r="K1841" t="s">
        <v>58</v>
      </c>
      <c r="L1841" t="s">
        <v>58</v>
      </c>
      <c r="M1841" t="s">
        <v>58</v>
      </c>
      <c r="O1841" t="s">
        <v>61</v>
      </c>
      <c r="Q1841" t="s">
        <v>58</v>
      </c>
      <c r="R1841" s="11" t="str">
        <f>HYPERLINK("\\imagefiles.bcgov\imagery\scanned_maps\moe_terrain_maps\Scanned_T_maps_all\K17\K17-2123","\\imagefiles.bcgov\imagery\scanned_maps\moe_terrain_maps\Scanned_T_maps_all\K17\K17-2123")</f>
        <v>\\imagefiles.bcgov\imagery\scanned_maps\moe_terrain_maps\Scanned_T_maps_all\K17\K17-2123</v>
      </c>
      <c r="S1841" t="s">
        <v>62</v>
      </c>
      <c r="T1841" s="11" t="str">
        <f>HYPERLINK("http://www.env.gov.bc.ca/esd/distdata/ecosystems/TEI_Scanned_Maps/K17/K17-2123","http://www.env.gov.bc.ca/esd/distdata/ecosystems/TEI_Scanned_Maps/K17/K17-2123")</f>
        <v>http://www.env.gov.bc.ca/esd/distdata/ecosystems/TEI_Scanned_Maps/K17/K17-2123</v>
      </c>
      <c r="U1841" t="s">
        <v>58</v>
      </c>
      <c r="V1841" t="s">
        <v>58</v>
      </c>
      <c r="W1841" t="s">
        <v>58</v>
      </c>
      <c r="X1841" t="s">
        <v>58</v>
      </c>
      <c r="Y1841" t="s">
        <v>58</v>
      </c>
      <c r="Z1841" t="s">
        <v>58</v>
      </c>
      <c r="AA1841" t="s">
        <v>58</v>
      </c>
      <c r="AC1841" t="s">
        <v>58</v>
      </c>
      <c r="AE1841" t="s">
        <v>58</v>
      </c>
      <c r="AG1841" t="s">
        <v>63</v>
      </c>
      <c r="AH1841" s="11" t="str">
        <f t="shared" si="141"/>
        <v>mailto: soilterrain@victoria1.gov.bc.ca</v>
      </c>
    </row>
    <row r="1842" spans="1:34">
      <c r="A1842" t="s">
        <v>4252</v>
      </c>
      <c r="B1842" t="s">
        <v>56</v>
      </c>
      <c r="C1842" s="10" t="s">
        <v>1937</v>
      </c>
      <c r="D1842" t="s">
        <v>58</v>
      </c>
      <c r="E1842" t="s">
        <v>4176</v>
      </c>
      <c r="F1842" t="s">
        <v>4239</v>
      </c>
      <c r="G1842">
        <v>126720</v>
      </c>
      <c r="H1842">
        <v>1981</v>
      </c>
      <c r="I1842" t="s">
        <v>58</v>
      </c>
      <c r="J1842" t="s">
        <v>58</v>
      </c>
      <c r="K1842" t="s">
        <v>58</v>
      </c>
      <c r="L1842" t="s">
        <v>58</v>
      </c>
      <c r="M1842" t="s">
        <v>58</v>
      </c>
      <c r="O1842" t="s">
        <v>61</v>
      </c>
      <c r="Q1842" t="s">
        <v>58</v>
      </c>
      <c r="R1842" s="11" t="str">
        <f>HYPERLINK("\\imagefiles.bcgov\imagery\scanned_maps\moe_terrain_maps\Scanned_T_maps_all\K17\K17-2127","\\imagefiles.bcgov\imagery\scanned_maps\moe_terrain_maps\Scanned_T_maps_all\K17\K17-2127")</f>
        <v>\\imagefiles.bcgov\imagery\scanned_maps\moe_terrain_maps\Scanned_T_maps_all\K17\K17-2127</v>
      </c>
      <c r="S1842" t="s">
        <v>62</v>
      </c>
      <c r="T1842" s="11" t="str">
        <f>HYPERLINK("http://www.env.gov.bc.ca/esd/distdata/ecosystems/TEI_Scanned_Maps/K17/K17-2127","http://www.env.gov.bc.ca/esd/distdata/ecosystems/TEI_Scanned_Maps/K17/K17-2127")</f>
        <v>http://www.env.gov.bc.ca/esd/distdata/ecosystems/TEI_Scanned_Maps/K17/K17-2127</v>
      </c>
      <c r="U1842" t="s">
        <v>58</v>
      </c>
      <c r="V1842" t="s">
        <v>58</v>
      </c>
      <c r="W1842" t="s">
        <v>58</v>
      </c>
      <c r="X1842" t="s">
        <v>58</v>
      </c>
      <c r="Y1842" t="s">
        <v>58</v>
      </c>
      <c r="Z1842" t="s">
        <v>58</v>
      </c>
      <c r="AA1842" t="s">
        <v>58</v>
      </c>
      <c r="AC1842" t="s">
        <v>58</v>
      </c>
      <c r="AE1842" t="s">
        <v>58</v>
      </c>
      <c r="AG1842" t="s">
        <v>63</v>
      </c>
      <c r="AH1842" s="11" t="str">
        <f t="shared" si="141"/>
        <v>mailto: soilterrain@victoria1.gov.bc.ca</v>
      </c>
    </row>
    <row r="1843" spans="1:34">
      <c r="A1843" t="s">
        <v>4253</v>
      </c>
      <c r="B1843" t="s">
        <v>56</v>
      </c>
      <c r="C1843" s="10" t="s">
        <v>1940</v>
      </c>
      <c r="D1843" t="s">
        <v>58</v>
      </c>
      <c r="E1843" t="s">
        <v>4176</v>
      </c>
      <c r="F1843" t="s">
        <v>4254</v>
      </c>
      <c r="G1843">
        <v>125000</v>
      </c>
      <c r="H1843">
        <v>1979</v>
      </c>
      <c r="I1843" t="s">
        <v>58</v>
      </c>
      <c r="J1843" t="s">
        <v>58</v>
      </c>
      <c r="K1843" t="s">
        <v>58</v>
      </c>
      <c r="L1843" t="s">
        <v>58</v>
      </c>
      <c r="M1843" t="s">
        <v>58</v>
      </c>
      <c r="O1843" t="s">
        <v>61</v>
      </c>
      <c r="Q1843" t="s">
        <v>58</v>
      </c>
      <c r="R1843" s="11" t="str">
        <f>HYPERLINK("\\imagefiles.bcgov\imagery\scanned_maps\moe_terrain_maps\Scanned_T_maps_all\K17\K17-2174","\\imagefiles.bcgov\imagery\scanned_maps\moe_terrain_maps\Scanned_T_maps_all\K17\K17-2174")</f>
        <v>\\imagefiles.bcgov\imagery\scanned_maps\moe_terrain_maps\Scanned_T_maps_all\K17\K17-2174</v>
      </c>
      <c r="S1843" t="s">
        <v>62</v>
      </c>
      <c r="T1843" s="11" t="str">
        <f>HYPERLINK("http://www.env.gov.bc.ca/esd/distdata/ecosystems/TEI_Scanned_Maps/K17/K17-2174","http://www.env.gov.bc.ca/esd/distdata/ecosystems/TEI_Scanned_Maps/K17/K17-2174")</f>
        <v>http://www.env.gov.bc.ca/esd/distdata/ecosystems/TEI_Scanned_Maps/K17/K17-2174</v>
      </c>
      <c r="U1843" t="s">
        <v>58</v>
      </c>
      <c r="V1843" t="s">
        <v>58</v>
      </c>
      <c r="W1843" t="s">
        <v>58</v>
      </c>
      <c r="X1843" t="s">
        <v>58</v>
      </c>
      <c r="Y1843" t="s">
        <v>58</v>
      </c>
      <c r="Z1843" t="s">
        <v>58</v>
      </c>
      <c r="AA1843" t="s">
        <v>58</v>
      </c>
      <c r="AC1843" t="s">
        <v>58</v>
      </c>
      <c r="AE1843" t="s">
        <v>58</v>
      </c>
      <c r="AG1843" t="s">
        <v>63</v>
      </c>
      <c r="AH1843" s="11" t="str">
        <f t="shared" si="141"/>
        <v>mailto: soilterrain@victoria1.gov.bc.ca</v>
      </c>
    </row>
    <row r="1844" spans="1:34">
      <c r="A1844" t="s">
        <v>4255</v>
      </c>
      <c r="B1844" t="s">
        <v>56</v>
      </c>
      <c r="C1844" s="10" t="s">
        <v>1943</v>
      </c>
      <c r="D1844" t="s">
        <v>58</v>
      </c>
      <c r="E1844" t="s">
        <v>4176</v>
      </c>
      <c r="F1844" t="s">
        <v>4256</v>
      </c>
      <c r="G1844">
        <v>125000</v>
      </c>
      <c r="H1844">
        <v>1956</v>
      </c>
      <c r="I1844" t="s">
        <v>58</v>
      </c>
      <c r="J1844" t="s">
        <v>58</v>
      </c>
      <c r="K1844" t="s">
        <v>58</v>
      </c>
      <c r="L1844" t="s">
        <v>58</v>
      </c>
      <c r="M1844" t="s">
        <v>58</v>
      </c>
      <c r="O1844" t="s">
        <v>61</v>
      </c>
      <c r="Q1844" t="s">
        <v>58</v>
      </c>
      <c r="R1844" s="11" t="str">
        <f>HYPERLINK("\\imagefiles.bcgov\imagery\scanned_maps\moe_terrain_maps\Scanned_T_maps_all\K17\K17-2178","\\imagefiles.bcgov\imagery\scanned_maps\moe_terrain_maps\Scanned_T_maps_all\K17\K17-2178")</f>
        <v>\\imagefiles.bcgov\imagery\scanned_maps\moe_terrain_maps\Scanned_T_maps_all\K17\K17-2178</v>
      </c>
      <c r="S1844" t="s">
        <v>62</v>
      </c>
      <c r="T1844" s="11" t="str">
        <f>HYPERLINK("http://www.env.gov.bc.ca/esd/distdata/ecosystems/TEI_Scanned_Maps/K17/K17-2178","http://www.env.gov.bc.ca/esd/distdata/ecosystems/TEI_Scanned_Maps/K17/K17-2178")</f>
        <v>http://www.env.gov.bc.ca/esd/distdata/ecosystems/TEI_Scanned_Maps/K17/K17-2178</v>
      </c>
      <c r="U1844" t="s">
        <v>58</v>
      </c>
      <c r="V1844" t="s">
        <v>58</v>
      </c>
      <c r="W1844" t="s">
        <v>58</v>
      </c>
      <c r="X1844" t="s">
        <v>58</v>
      </c>
      <c r="Y1844" t="s">
        <v>58</v>
      </c>
      <c r="Z1844" t="s">
        <v>58</v>
      </c>
      <c r="AA1844" t="s">
        <v>58</v>
      </c>
      <c r="AC1844" t="s">
        <v>58</v>
      </c>
      <c r="AE1844" t="s">
        <v>58</v>
      </c>
      <c r="AG1844" t="s">
        <v>63</v>
      </c>
      <c r="AH1844" s="11" t="str">
        <f t="shared" si="141"/>
        <v>mailto: soilterrain@victoria1.gov.bc.ca</v>
      </c>
    </row>
    <row r="1845" spans="1:34">
      <c r="A1845" t="s">
        <v>4257</v>
      </c>
      <c r="B1845" t="s">
        <v>56</v>
      </c>
      <c r="C1845" s="10" t="s">
        <v>1946</v>
      </c>
      <c r="D1845" t="s">
        <v>58</v>
      </c>
      <c r="E1845" t="s">
        <v>4176</v>
      </c>
      <c r="F1845" t="s">
        <v>4258</v>
      </c>
      <c r="G1845">
        <v>126720</v>
      </c>
      <c r="H1845">
        <v>1974</v>
      </c>
      <c r="I1845" t="s">
        <v>58</v>
      </c>
      <c r="J1845" t="s">
        <v>58</v>
      </c>
      <c r="K1845" t="s">
        <v>58</v>
      </c>
      <c r="L1845" t="s">
        <v>58</v>
      </c>
      <c r="M1845" t="s">
        <v>58</v>
      </c>
      <c r="O1845" t="s">
        <v>61</v>
      </c>
      <c r="Q1845" t="s">
        <v>58</v>
      </c>
      <c r="R1845" s="11" t="str">
        <f>HYPERLINK("\\imagefiles.bcgov\imagery\scanned_maps\moe_terrain_maps\Scanned_T_maps_all\K17\K17-2182","\\imagefiles.bcgov\imagery\scanned_maps\moe_terrain_maps\Scanned_T_maps_all\K17\K17-2182")</f>
        <v>\\imagefiles.bcgov\imagery\scanned_maps\moe_terrain_maps\Scanned_T_maps_all\K17\K17-2182</v>
      </c>
      <c r="S1845" t="s">
        <v>62</v>
      </c>
      <c r="T1845" s="11" t="str">
        <f>HYPERLINK("http://www.env.gov.bc.ca/esd/distdata/ecosystems/TEI_Scanned_Maps/K17/K17-2182","http://www.env.gov.bc.ca/esd/distdata/ecosystems/TEI_Scanned_Maps/K17/K17-2182")</f>
        <v>http://www.env.gov.bc.ca/esd/distdata/ecosystems/TEI_Scanned_Maps/K17/K17-2182</v>
      </c>
      <c r="U1845" t="s">
        <v>58</v>
      </c>
      <c r="V1845" t="s">
        <v>58</v>
      </c>
      <c r="W1845" t="s">
        <v>58</v>
      </c>
      <c r="X1845" t="s">
        <v>58</v>
      </c>
      <c r="Y1845" t="s">
        <v>58</v>
      </c>
      <c r="Z1845" t="s">
        <v>58</v>
      </c>
      <c r="AA1845" t="s">
        <v>58</v>
      </c>
      <c r="AC1845" t="s">
        <v>58</v>
      </c>
      <c r="AE1845" t="s">
        <v>58</v>
      </c>
      <c r="AG1845" t="s">
        <v>63</v>
      </c>
      <c r="AH1845" s="11" t="str">
        <f t="shared" si="141"/>
        <v>mailto: soilterrain@victoria1.gov.bc.ca</v>
      </c>
    </row>
    <row r="1846" spans="1:34">
      <c r="A1846" t="s">
        <v>4259</v>
      </c>
      <c r="B1846" t="s">
        <v>56</v>
      </c>
      <c r="C1846" s="10" t="s">
        <v>1949</v>
      </c>
      <c r="D1846" t="s">
        <v>58</v>
      </c>
      <c r="E1846" t="s">
        <v>4176</v>
      </c>
      <c r="F1846" t="s">
        <v>4239</v>
      </c>
      <c r="G1846">
        <v>126720</v>
      </c>
      <c r="H1846">
        <v>1979</v>
      </c>
      <c r="I1846" t="s">
        <v>58</v>
      </c>
      <c r="J1846" t="s">
        <v>58</v>
      </c>
      <c r="K1846" t="s">
        <v>58</v>
      </c>
      <c r="L1846" t="s">
        <v>58</v>
      </c>
      <c r="M1846" t="s">
        <v>58</v>
      </c>
      <c r="O1846" t="s">
        <v>61</v>
      </c>
      <c r="Q1846" t="s">
        <v>58</v>
      </c>
      <c r="R1846" s="11" t="str">
        <f>HYPERLINK("\\imagefiles.bcgov\imagery\scanned_maps\moe_terrain_maps\Scanned_T_maps_all\K17\K17-2186","\\imagefiles.bcgov\imagery\scanned_maps\moe_terrain_maps\Scanned_T_maps_all\K17\K17-2186")</f>
        <v>\\imagefiles.bcgov\imagery\scanned_maps\moe_terrain_maps\Scanned_T_maps_all\K17\K17-2186</v>
      </c>
      <c r="S1846" t="s">
        <v>62</v>
      </c>
      <c r="T1846" s="11" t="str">
        <f>HYPERLINK("http://www.env.gov.bc.ca/esd/distdata/ecosystems/TEI_Scanned_Maps/K17/K17-2186","http://www.env.gov.bc.ca/esd/distdata/ecosystems/TEI_Scanned_Maps/K17/K17-2186")</f>
        <v>http://www.env.gov.bc.ca/esd/distdata/ecosystems/TEI_Scanned_Maps/K17/K17-2186</v>
      </c>
      <c r="U1846" t="s">
        <v>58</v>
      </c>
      <c r="V1846" t="s">
        <v>58</v>
      </c>
      <c r="W1846" t="s">
        <v>58</v>
      </c>
      <c r="X1846" t="s">
        <v>58</v>
      </c>
      <c r="Y1846" t="s">
        <v>58</v>
      </c>
      <c r="Z1846" t="s">
        <v>58</v>
      </c>
      <c r="AA1846" t="s">
        <v>58</v>
      </c>
      <c r="AC1846" t="s">
        <v>58</v>
      </c>
      <c r="AE1846" t="s">
        <v>58</v>
      </c>
      <c r="AG1846" t="s">
        <v>63</v>
      </c>
      <c r="AH1846" s="11" t="str">
        <f t="shared" si="141"/>
        <v>mailto: soilterrain@victoria1.gov.bc.ca</v>
      </c>
    </row>
    <row r="1847" spans="1:34">
      <c r="A1847" t="s">
        <v>4260</v>
      </c>
      <c r="B1847" t="s">
        <v>56</v>
      </c>
      <c r="C1847" s="10" t="s">
        <v>1952</v>
      </c>
      <c r="D1847" t="s">
        <v>58</v>
      </c>
      <c r="E1847" t="s">
        <v>4176</v>
      </c>
      <c r="F1847" t="s">
        <v>4261</v>
      </c>
      <c r="G1847">
        <v>100000</v>
      </c>
      <c r="H1847">
        <v>1966</v>
      </c>
      <c r="I1847" t="s">
        <v>58</v>
      </c>
      <c r="J1847" t="s">
        <v>58</v>
      </c>
      <c r="K1847" t="s">
        <v>58</v>
      </c>
      <c r="L1847" t="s">
        <v>58</v>
      </c>
      <c r="M1847" t="s">
        <v>58</v>
      </c>
      <c r="O1847" t="s">
        <v>61</v>
      </c>
      <c r="Q1847" t="s">
        <v>58</v>
      </c>
      <c r="R1847" s="11" t="str">
        <f>HYPERLINK("\\imagefiles.bcgov\imagery\scanned_maps\moe_terrain_maps\Scanned_T_maps_all\K17\K17-2217","\\imagefiles.bcgov\imagery\scanned_maps\moe_terrain_maps\Scanned_T_maps_all\K17\K17-2217")</f>
        <v>\\imagefiles.bcgov\imagery\scanned_maps\moe_terrain_maps\Scanned_T_maps_all\K17\K17-2217</v>
      </c>
      <c r="S1847" t="s">
        <v>62</v>
      </c>
      <c r="T1847" s="11" t="str">
        <f>HYPERLINK("http://www.env.gov.bc.ca/esd/distdata/ecosystems/TEI_Scanned_Maps/K17/K17-2217","http://www.env.gov.bc.ca/esd/distdata/ecosystems/TEI_Scanned_Maps/K17/K17-2217")</f>
        <v>http://www.env.gov.bc.ca/esd/distdata/ecosystems/TEI_Scanned_Maps/K17/K17-2217</v>
      </c>
      <c r="U1847" t="s">
        <v>58</v>
      </c>
      <c r="V1847" t="s">
        <v>58</v>
      </c>
      <c r="W1847" t="s">
        <v>58</v>
      </c>
      <c r="X1847" t="s">
        <v>58</v>
      </c>
      <c r="Y1847" t="s">
        <v>58</v>
      </c>
      <c r="Z1847" t="s">
        <v>58</v>
      </c>
      <c r="AA1847" t="s">
        <v>58</v>
      </c>
      <c r="AC1847" t="s">
        <v>58</v>
      </c>
      <c r="AE1847" t="s">
        <v>58</v>
      </c>
      <c r="AG1847" t="s">
        <v>63</v>
      </c>
      <c r="AH1847" s="11" t="str">
        <f t="shared" si="141"/>
        <v>mailto: soilterrain@victoria1.gov.bc.ca</v>
      </c>
    </row>
    <row r="1848" spans="1:34">
      <c r="A1848" t="s">
        <v>4262</v>
      </c>
      <c r="B1848" t="s">
        <v>56</v>
      </c>
      <c r="C1848" s="10" t="s">
        <v>1955</v>
      </c>
      <c r="D1848" t="s">
        <v>58</v>
      </c>
      <c r="E1848" t="s">
        <v>4176</v>
      </c>
      <c r="F1848" t="s">
        <v>4263</v>
      </c>
      <c r="G1848">
        <v>100000</v>
      </c>
      <c r="H1848">
        <v>1980</v>
      </c>
      <c r="I1848" t="s">
        <v>58</v>
      </c>
      <c r="J1848" t="s">
        <v>58</v>
      </c>
      <c r="K1848" t="s">
        <v>58</v>
      </c>
      <c r="L1848" t="s">
        <v>58</v>
      </c>
      <c r="M1848" t="s">
        <v>58</v>
      </c>
      <c r="O1848" t="s">
        <v>61</v>
      </c>
      <c r="Q1848" t="s">
        <v>58</v>
      </c>
      <c r="R1848" s="11" t="str">
        <f>HYPERLINK("\\imagefiles.bcgov\imagery\scanned_maps\moe_terrain_maps\Scanned_T_maps_all\K17\K17-2245","\\imagefiles.bcgov\imagery\scanned_maps\moe_terrain_maps\Scanned_T_maps_all\K17\K17-2245")</f>
        <v>\\imagefiles.bcgov\imagery\scanned_maps\moe_terrain_maps\Scanned_T_maps_all\K17\K17-2245</v>
      </c>
      <c r="S1848" t="s">
        <v>62</v>
      </c>
      <c r="T1848" s="11" t="str">
        <f>HYPERLINK("http://www.env.gov.bc.ca/esd/distdata/ecosystems/TEI_Scanned_Maps/K17/K17-2245","http://www.env.gov.bc.ca/esd/distdata/ecosystems/TEI_Scanned_Maps/K17/K17-2245")</f>
        <v>http://www.env.gov.bc.ca/esd/distdata/ecosystems/TEI_Scanned_Maps/K17/K17-2245</v>
      </c>
      <c r="U1848" t="s">
        <v>58</v>
      </c>
      <c r="V1848" t="s">
        <v>58</v>
      </c>
      <c r="W1848" t="s">
        <v>58</v>
      </c>
      <c r="X1848" t="s">
        <v>58</v>
      </c>
      <c r="Y1848" t="s">
        <v>58</v>
      </c>
      <c r="Z1848" t="s">
        <v>58</v>
      </c>
      <c r="AA1848" t="s">
        <v>58</v>
      </c>
      <c r="AC1848" t="s">
        <v>58</v>
      </c>
      <c r="AE1848" t="s">
        <v>58</v>
      </c>
      <c r="AG1848" t="s">
        <v>63</v>
      </c>
      <c r="AH1848" s="11" t="str">
        <f t="shared" si="141"/>
        <v>mailto: soilterrain@victoria1.gov.bc.ca</v>
      </c>
    </row>
    <row r="1849" spans="1:34">
      <c r="A1849" t="s">
        <v>4264</v>
      </c>
      <c r="B1849" t="s">
        <v>56</v>
      </c>
      <c r="C1849" s="10" t="s">
        <v>1958</v>
      </c>
      <c r="D1849" t="s">
        <v>58</v>
      </c>
      <c r="E1849" t="s">
        <v>4176</v>
      </c>
      <c r="F1849" t="s">
        <v>4265</v>
      </c>
      <c r="G1849">
        <v>100000</v>
      </c>
      <c r="H1849">
        <v>1958</v>
      </c>
      <c r="I1849" t="s">
        <v>58</v>
      </c>
      <c r="J1849" t="s">
        <v>58</v>
      </c>
      <c r="K1849" t="s">
        <v>58</v>
      </c>
      <c r="L1849" t="s">
        <v>58</v>
      </c>
      <c r="M1849" t="s">
        <v>58</v>
      </c>
      <c r="O1849" t="s">
        <v>61</v>
      </c>
      <c r="Q1849" t="s">
        <v>58</v>
      </c>
      <c r="R1849" s="11" t="str">
        <f>HYPERLINK("\\imagefiles.bcgov\imagery\scanned_maps\moe_terrain_maps\Scanned_T_maps_all\K17\K17-2254","\\imagefiles.bcgov\imagery\scanned_maps\moe_terrain_maps\Scanned_T_maps_all\K17\K17-2254")</f>
        <v>\\imagefiles.bcgov\imagery\scanned_maps\moe_terrain_maps\Scanned_T_maps_all\K17\K17-2254</v>
      </c>
      <c r="S1849" t="s">
        <v>62</v>
      </c>
      <c r="T1849" s="11" t="str">
        <f>HYPERLINK("http://www.env.gov.bc.ca/esd/distdata/ecosystems/TEI_Scanned_Maps/K17/K17-2254","http://www.env.gov.bc.ca/esd/distdata/ecosystems/TEI_Scanned_Maps/K17/K17-2254")</f>
        <v>http://www.env.gov.bc.ca/esd/distdata/ecosystems/TEI_Scanned_Maps/K17/K17-2254</v>
      </c>
      <c r="U1849" t="s">
        <v>58</v>
      </c>
      <c r="V1849" t="s">
        <v>58</v>
      </c>
      <c r="W1849" t="s">
        <v>58</v>
      </c>
      <c r="X1849" t="s">
        <v>58</v>
      </c>
      <c r="Y1849" t="s">
        <v>58</v>
      </c>
      <c r="Z1849" t="s">
        <v>58</v>
      </c>
      <c r="AA1849" t="s">
        <v>58</v>
      </c>
      <c r="AC1849" t="s">
        <v>58</v>
      </c>
      <c r="AE1849" t="s">
        <v>58</v>
      </c>
      <c r="AG1849" t="s">
        <v>63</v>
      </c>
      <c r="AH1849" s="11" t="str">
        <f t="shared" si="141"/>
        <v>mailto: soilterrain@victoria1.gov.bc.ca</v>
      </c>
    </row>
    <row r="1850" spans="1:34">
      <c r="A1850" t="s">
        <v>4266</v>
      </c>
      <c r="B1850" t="s">
        <v>56</v>
      </c>
      <c r="C1850" s="10" t="s">
        <v>3144</v>
      </c>
      <c r="D1850" t="s">
        <v>58</v>
      </c>
      <c r="E1850" t="s">
        <v>4176</v>
      </c>
      <c r="F1850" t="s">
        <v>4267</v>
      </c>
      <c r="G1850">
        <v>125000</v>
      </c>
      <c r="H1850">
        <v>1955</v>
      </c>
      <c r="I1850" t="s">
        <v>58</v>
      </c>
      <c r="J1850" t="s">
        <v>58</v>
      </c>
      <c r="K1850" t="s">
        <v>58</v>
      </c>
      <c r="L1850" t="s">
        <v>58</v>
      </c>
      <c r="M1850" t="s">
        <v>58</v>
      </c>
      <c r="O1850" t="s">
        <v>61</v>
      </c>
      <c r="Q1850" t="s">
        <v>58</v>
      </c>
      <c r="R1850" s="11" t="str">
        <f>HYPERLINK("\\imagefiles.bcgov\imagery\scanned_maps\moe_terrain_maps\Scanned_T_maps_all\K17\K17-2262","\\imagefiles.bcgov\imagery\scanned_maps\moe_terrain_maps\Scanned_T_maps_all\K17\K17-2262")</f>
        <v>\\imagefiles.bcgov\imagery\scanned_maps\moe_terrain_maps\Scanned_T_maps_all\K17\K17-2262</v>
      </c>
      <c r="S1850" t="s">
        <v>62</v>
      </c>
      <c r="T1850" s="11" t="str">
        <f>HYPERLINK("http://www.env.gov.bc.ca/esd/distdata/ecosystems/TEI_Scanned_Maps/K17/K17-2262","http://www.env.gov.bc.ca/esd/distdata/ecosystems/TEI_Scanned_Maps/K17/K17-2262")</f>
        <v>http://www.env.gov.bc.ca/esd/distdata/ecosystems/TEI_Scanned_Maps/K17/K17-2262</v>
      </c>
      <c r="U1850" t="s">
        <v>58</v>
      </c>
      <c r="V1850" t="s">
        <v>58</v>
      </c>
      <c r="W1850" t="s">
        <v>58</v>
      </c>
      <c r="X1850" t="s">
        <v>58</v>
      </c>
      <c r="Y1850" t="s">
        <v>58</v>
      </c>
      <c r="Z1850" t="s">
        <v>58</v>
      </c>
      <c r="AA1850" t="s">
        <v>58</v>
      </c>
      <c r="AC1850" t="s">
        <v>58</v>
      </c>
      <c r="AE1850" t="s">
        <v>58</v>
      </c>
      <c r="AG1850" t="s">
        <v>63</v>
      </c>
      <c r="AH1850" s="11" t="str">
        <f t="shared" si="141"/>
        <v>mailto: soilterrain@victoria1.gov.bc.ca</v>
      </c>
    </row>
    <row r="1851" spans="1:34">
      <c r="A1851" t="s">
        <v>4268</v>
      </c>
      <c r="B1851" t="s">
        <v>56</v>
      </c>
      <c r="C1851" s="10" t="s">
        <v>1961</v>
      </c>
      <c r="D1851" t="s">
        <v>58</v>
      </c>
      <c r="E1851" t="s">
        <v>4176</v>
      </c>
      <c r="F1851" t="s">
        <v>4269</v>
      </c>
      <c r="G1851">
        <v>125000</v>
      </c>
      <c r="H1851">
        <v>1956</v>
      </c>
      <c r="I1851" t="s">
        <v>58</v>
      </c>
      <c r="J1851" t="s">
        <v>58</v>
      </c>
      <c r="K1851" t="s">
        <v>58</v>
      </c>
      <c r="L1851" t="s">
        <v>58</v>
      </c>
      <c r="M1851" t="s">
        <v>58</v>
      </c>
      <c r="O1851" t="s">
        <v>61</v>
      </c>
      <c r="Q1851" t="s">
        <v>58</v>
      </c>
      <c r="R1851" s="11" t="str">
        <f>HYPERLINK("\\imagefiles.bcgov\imagery\scanned_maps\moe_terrain_maps\Scanned_T_maps_all\K17\K17-2303","\\imagefiles.bcgov\imagery\scanned_maps\moe_terrain_maps\Scanned_T_maps_all\K17\K17-2303")</f>
        <v>\\imagefiles.bcgov\imagery\scanned_maps\moe_terrain_maps\Scanned_T_maps_all\K17\K17-2303</v>
      </c>
      <c r="S1851" t="s">
        <v>62</v>
      </c>
      <c r="T1851" s="11" t="str">
        <f>HYPERLINK("http://www.env.gov.bc.ca/esd/distdata/ecosystems/TEI_Scanned_Maps/K17/K17-2303","http://www.env.gov.bc.ca/esd/distdata/ecosystems/TEI_Scanned_Maps/K17/K17-2303")</f>
        <v>http://www.env.gov.bc.ca/esd/distdata/ecosystems/TEI_Scanned_Maps/K17/K17-2303</v>
      </c>
      <c r="U1851" t="s">
        <v>58</v>
      </c>
      <c r="V1851" t="s">
        <v>58</v>
      </c>
      <c r="W1851" t="s">
        <v>58</v>
      </c>
      <c r="X1851" t="s">
        <v>58</v>
      </c>
      <c r="Y1851" t="s">
        <v>58</v>
      </c>
      <c r="Z1851" t="s">
        <v>58</v>
      </c>
      <c r="AA1851" t="s">
        <v>58</v>
      </c>
      <c r="AC1851" t="s">
        <v>58</v>
      </c>
      <c r="AE1851" t="s">
        <v>58</v>
      </c>
      <c r="AG1851" t="s">
        <v>63</v>
      </c>
      <c r="AH1851" s="11" t="str">
        <f t="shared" si="141"/>
        <v>mailto: soilterrain@victoria1.gov.bc.ca</v>
      </c>
    </row>
    <row r="1852" spans="1:34">
      <c r="A1852" t="s">
        <v>4270</v>
      </c>
      <c r="B1852" t="s">
        <v>56</v>
      </c>
      <c r="C1852" s="10" t="s">
        <v>1964</v>
      </c>
      <c r="D1852" t="s">
        <v>58</v>
      </c>
      <c r="E1852" t="s">
        <v>4176</v>
      </c>
      <c r="F1852" t="s">
        <v>4271</v>
      </c>
      <c r="G1852">
        <v>125000</v>
      </c>
      <c r="H1852">
        <v>1955</v>
      </c>
      <c r="I1852" t="s">
        <v>58</v>
      </c>
      <c r="J1852" t="s">
        <v>58</v>
      </c>
      <c r="K1852" t="s">
        <v>58</v>
      </c>
      <c r="L1852" t="s">
        <v>58</v>
      </c>
      <c r="M1852" t="s">
        <v>58</v>
      </c>
      <c r="O1852" t="s">
        <v>61</v>
      </c>
      <c r="Q1852" t="s">
        <v>58</v>
      </c>
      <c r="R1852" s="11" t="str">
        <f>HYPERLINK("\\imagefiles.bcgov\imagery\scanned_maps\moe_terrain_maps\Scanned_T_maps_all\K17\K17-2308","\\imagefiles.bcgov\imagery\scanned_maps\moe_terrain_maps\Scanned_T_maps_all\K17\K17-2308")</f>
        <v>\\imagefiles.bcgov\imagery\scanned_maps\moe_terrain_maps\Scanned_T_maps_all\K17\K17-2308</v>
      </c>
      <c r="S1852" t="s">
        <v>62</v>
      </c>
      <c r="T1852" s="11" t="str">
        <f>HYPERLINK("http://www.env.gov.bc.ca/esd/distdata/ecosystems/TEI_Scanned_Maps/K17/K17-2308","http://www.env.gov.bc.ca/esd/distdata/ecosystems/TEI_Scanned_Maps/K17/K17-2308")</f>
        <v>http://www.env.gov.bc.ca/esd/distdata/ecosystems/TEI_Scanned_Maps/K17/K17-2308</v>
      </c>
      <c r="U1852" t="s">
        <v>58</v>
      </c>
      <c r="V1852" t="s">
        <v>58</v>
      </c>
      <c r="W1852" t="s">
        <v>58</v>
      </c>
      <c r="X1852" t="s">
        <v>58</v>
      </c>
      <c r="Y1852" t="s">
        <v>58</v>
      </c>
      <c r="Z1852" t="s">
        <v>58</v>
      </c>
      <c r="AA1852" t="s">
        <v>58</v>
      </c>
      <c r="AC1852" t="s">
        <v>58</v>
      </c>
      <c r="AE1852" t="s">
        <v>58</v>
      </c>
      <c r="AG1852" t="s">
        <v>63</v>
      </c>
      <c r="AH1852" s="11" t="str">
        <f t="shared" si="141"/>
        <v>mailto: soilterrain@victoria1.gov.bc.ca</v>
      </c>
    </row>
    <row r="1853" spans="1:34">
      <c r="A1853" t="s">
        <v>4272</v>
      </c>
      <c r="B1853" t="s">
        <v>56</v>
      </c>
      <c r="C1853" s="10" t="s">
        <v>1964</v>
      </c>
      <c r="D1853" t="s">
        <v>58</v>
      </c>
      <c r="E1853" t="s">
        <v>4176</v>
      </c>
      <c r="F1853" t="s">
        <v>4273</v>
      </c>
      <c r="G1853">
        <v>100000</v>
      </c>
      <c r="H1853" t="s">
        <v>187</v>
      </c>
      <c r="I1853" t="s">
        <v>58</v>
      </c>
      <c r="J1853" t="s">
        <v>58</v>
      </c>
      <c r="K1853" t="s">
        <v>58</v>
      </c>
      <c r="L1853" t="s">
        <v>58</v>
      </c>
      <c r="M1853" t="s">
        <v>58</v>
      </c>
      <c r="O1853" t="s">
        <v>61</v>
      </c>
      <c r="Q1853" t="s">
        <v>58</v>
      </c>
      <c r="R1853" s="11" t="str">
        <f>HYPERLINK("\\imagefiles.bcgov\imagery\scanned_maps\moe_terrain_maps\Scanned_T_maps_all\K17\K17-2309","\\imagefiles.bcgov\imagery\scanned_maps\moe_terrain_maps\Scanned_T_maps_all\K17\K17-2309")</f>
        <v>\\imagefiles.bcgov\imagery\scanned_maps\moe_terrain_maps\Scanned_T_maps_all\K17\K17-2309</v>
      </c>
      <c r="S1853" t="s">
        <v>62</v>
      </c>
      <c r="T1853" s="11" t="str">
        <f>HYPERLINK("http://www.env.gov.bc.ca/esd/distdata/ecosystems/TEI_Scanned_Maps/K17/K17-2309","http://www.env.gov.bc.ca/esd/distdata/ecosystems/TEI_Scanned_Maps/K17/K17-2309")</f>
        <v>http://www.env.gov.bc.ca/esd/distdata/ecosystems/TEI_Scanned_Maps/K17/K17-2309</v>
      </c>
      <c r="U1853" t="s">
        <v>58</v>
      </c>
      <c r="V1853" t="s">
        <v>58</v>
      </c>
      <c r="W1853" t="s">
        <v>58</v>
      </c>
      <c r="X1853" t="s">
        <v>58</v>
      </c>
      <c r="Y1853" t="s">
        <v>58</v>
      </c>
      <c r="Z1853" t="s">
        <v>58</v>
      </c>
      <c r="AA1853" t="s">
        <v>58</v>
      </c>
      <c r="AC1853" t="s">
        <v>58</v>
      </c>
      <c r="AE1853" t="s">
        <v>58</v>
      </c>
      <c r="AG1853" t="s">
        <v>63</v>
      </c>
      <c r="AH1853" s="11" t="str">
        <f t="shared" si="141"/>
        <v>mailto: soilterrain@victoria1.gov.bc.ca</v>
      </c>
    </row>
    <row r="1854" spans="1:34">
      <c r="A1854" t="s">
        <v>4274</v>
      </c>
      <c r="B1854" t="s">
        <v>56</v>
      </c>
      <c r="C1854" s="10" t="s">
        <v>2066</v>
      </c>
      <c r="D1854" t="s">
        <v>58</v>
      </c>
      <c r="E1854" t="s">
        <v>4176</v>
      </c>
      <c r="F1854" t="s">
        <v>4275</v>
      </c>
      <c r="G1854">
        <v>125000</v>
      </c>
      <c r="H1854" t="s">
        <v>187</v>
      </c>
      <c r="I1854" t="s">
        <v>58</v>
      </c>
      <c r="J1854" t="s">
        <v>58</v>
      </c>
      <c r="K1854" t="s">
        <v>58</v>
      </c>
      <c r="L1854" t="s">
        <v>58</v>
      </c>
      <c r="M1854" t="s">
        <v>58</v>
      </c>
      <c r="O1854" t="s">
        <v>61</v>
      </c>
      <c r="Q1854" t="s">
        <v>58</v>
      </c>
      <c r="R1854" s="11" t="str">
        <f>HYPERLINK("\\imagefiles.bcgov\imagery\scanned_maps\moe_terrain_maps\Scanned_T_maps_all\K17\K17-2312","\\imagefiles.bcgov\imagery\scanned_maps\moe_terrain_maps\Scanned_T_maps_all\K17\K17-2312")</f>
        <v>\\imagefiles.bcgov\imagery\scanned_maps\moe_terrain_maps\Scanned_T_maps_all\K17\K17-2312</v>
      </c>
      <c r="S1854" t="s">
        <v>62</v>
      </c>
      <c r="T1854" s="11" t="str">
        <f>HYPERLINK("http://www.env.gov.bc.ca/esd/distdata/ecosystems/TEI_Scanned_Maps/K17/K17-2312","http://www.env.gov.bc.ca/esd/distdata/ecosystems/TEI_Scanned_Maps/K17/K17-2312")</f>
        <v>http://www.env.gov.bc.ca/esd/distdata/ecosystems/TEI_Scanned_Maps/K17/K17-2312</v>
      </c>
      <c r="U1854" t="s">
        <v>58</v>
      </c>
      <c r="V1854" t="s">
        <v>58</v>
      </c>
      <c r="W1854" t="s">
        <v>58</v>
      </c>
      <c r="X1854" t="s">
        <v>58</v>
      </c>
      <c r="Y1854" t="s">
        <v>58</v>
      </c>
      <c r="Z1854" t="s">
        <v>58</v>
      </c>
      <c r="AA1854" t="s">
        <v>58</v>
      </c>
      <c r="AC1854" t="s">
        <v>58</v>
      </c>
      <c r="AE1854" t="s">
        <v>58</v>
      </c>
      <c r="AG1854" t="s">
        <v>63</v>
      </c>
      <c r="AH1854" s="11" t="str">
        <f t="shared" si="141"/>
        <v>mailto: soilterrain@victoria1.gov.bc.ca</v>
      </c>
    </row>
    <row r="1855" spans="1:34">
      <c r="A1855" t="s">
        <v>4276</v>
      </c>
      <c r="B1855" t="s">
        <v>56</v>
      </c>
      <c r="C1855" s="10" t="s">
        <v>1969</v>
      </c>
      <c r="D1855" t="s">
        <v>58</v>
      </c>
      <c r="E1855" t="s">
        <v>4176</v>
      </c>
      <c r="F1855" t="s">
        <v>4277</v>
      </c>
      <c r="G1855">
        <v>125000</v>
      </c>
      <c r="H1855">
        <v>1981</v>
      </c>
      <c r="I1855" t="s">
        <v>58</v>
      </c>
      <c r="J1855" t="s">
        <v>58</v>
      </c>
      <c r="K1855" t="s">
        <v>58</v>
      </c>
      <c r="L1855" t="s">
        <v>58</v>
      </c>
      <c r="M1855" t="s">
        <v>58</v>
      </c>
      <c r="O1855" t="s">
        <v>61</v>
      </c>
      <c r="Q1855" t="s">
        <v>58</v>
      </c>
      <c r="R1855" s="11" t="str">
        <f>HYPERLINK("\\imagefiles.bcgov\imagery\scanned_maps\moe_terrain_maps\Scanned_T_maps_all\K17\K17-2316","\\imagefiles.bcgov\imagery\scanned_maps\moe_terrain_maps\Scanned_T_maps_all\K17\K17-2316")</f>
        <v>\\imagefiles.bcgov\imagery\scanned_maps\moe_terrain_maps\Scanned_T_maps_all\K17\K17-2316</v>
      </c>
      <c r="S1855" t="s">
        <v>62</v>
      </c>
      <c r="T1855" s="11" t="str">
        <f>HYPERLINK("http://www.env.gov.bc.ca/esd/distdata/ecosystems/TEI_Scanned_Maps/K17/K17-2316","http://www.env.gov.bc.ca/esd/distdata/ecosystems/TEI_Scanned_Maps/K17/K17-2316")</f>
        <v>http://www.env.gov.bc.ca/esd/distdata/ecosystems/TEI_Scanned_Maps/K17/K17-2316</v>
      </c>
      <c r="U1855" t="s">
        <v>58</v>
      </c>
      <c r="V1855" t="s">
        <v>58</v>
      </c>
      <c r="W1855" t="s">
        <v>58</v>
      </c>
      <c r="X1855" t="s">
        <v>58</v>
      </c>
      <c r="Y1855" t="s">
        <v>58</v>
      </c>
      <c r="Z1855" t="s">
        <v>58</v>
      </c>
      <c r="AA1855" t="s">
        <v>58</v>
      </c>
      <c r="AC1855" t="s">
        <v>58</v>
      </c>
      <c r="AE1855" t="s">
        <v>58</v>
      </c>
      <c r="AG1855" t="s">
        <v>63</v>
      </c>
      <c r="AH1855" s="11" t="str">
        <f t="shared" si="141"/>
        <v>mailto: soilterrain@victoria1.gov.bc.ca</v>
      </c>
    </row>
    <row r="1856" spans="1:34">
      <c r="A1856" t="s">
        <v>4278</v>
      </c>
      <c r="B1856" t="s">
        <v>56</v>
      </c>
      <c r="C1856" s="10" t="s">
        <v>3157</v>
      </c>
      <c r="D1856" t="s">
        <v>58</v>
      </c>
      <c r="E1856" t="s">
        <v>4176</v>
      </c>
      <c r="F1856" t="s">
        <v>4279</v>
      </c>
      <c r="G1856">
        <v>125000</v>
      </c>
      <c r="H1856">
        <v>1980</v>
      </c>
      <c r="I1856" t="s">
        <v>58</v>
      </c>
      <c r="J1856" t="s">
        <v>58</v>
      </c>
      <c r="K1856" t="s">
        <v>58</v>
      </c>
      <c r="L1856" t="s">
        <v>58</v>
      </c>
      <c r="M1856" t="s">
        <v>58</v>
      </c>
      <c r="O1856" t="s">
        <v>61</v>
      </c>
      <c r="Q1856" t="s">
        <v>58</v>
      </c>
      <c r="R1856" s="11" t="str">
        <f>HYPERLINK("\\imagefiles.bcgov\imagery\scanned_maps\moe_terrain_maps\Scanned_T_maps_all\K17\K17-2343","\\imagefiles.bcgov\imagery\scanned_maps\moe_terrain_maps\Scanned_T_maps_all\K17\K17-2343")</f>
        <v>\\imagefiles.bcgov\imagery\scanned_maps\moe_terrain_maps\Scanned_T_maps_all\K17\K17-2343</v>
      </c>
      <c r="S1856" t="s">
        <v>62</v>
      </c>
      <c r="T1856" s="11" t="str">
        <f>HYPERLINK("http://www.env.gov.bc.ca/esd/distdata/ecosystems/TEI_Scanned_Maps/K17/K17-2343","http://www.env.gov.bc.ca/esd/distdata/ecosystems/TEI_Scanned_Maps/K17/K17-2343")</f>
        <v>http://www.env.gov.bc.ca/esd/distdata/ecosystems/TEI_Scanned_Maps/K17/K17-2343</v>
      </c>
      <c r="U1856" t="s">
        <v>58</v>
      </c>
      <c r="V1856" t="s">
        <v>58</v>
      </c>
      <c r="W1856" t="s">
        <v>58</v>
      </c>
      <c r="X1856" t="s">
        <v>58</v>
      </c>
      <c r="Y1856" t="s">
        <v>58</v>
      </c>
      <c r="Z1856" t="s">
        <v>58</v>
      </c>
      <c r="AA1856" t="s">
        <v>58</v>
      </c>
      <c r="AC1856" t="s">
        <v>58</v>
      </c>
      <c r="AE1856" t="s">
        <v>58</v>
      </c>
      <c r="AG1856" t="s">
        <v>63</v>
      </c>
      <c r="AH1856" s="11" t="str">
        <f t="shared" si="141"/>
        <v>mailto: soilterrain@victoria1.gov.bc.ca</v>
      </c>
    </row>
    <row r="1857" spans="1:34">
      <c r="A1857" t="s">
        <v>4280</v>
      </c>
      <c r="B1857" t="s">
        <v>56</v>
      </c>
      <c r="C1857" s="10" t="s">
        <v>3162</v>
      </c>
      <c r="D1857" t="s">
        <v>58</v>
      </c>
      <c r="E1857" t="s">
        <v>4176</v>
      </c>
      <c r="F1857" t="s">
        <v>4281</v>
      </c>
      <c r="G1857">
        <v>125000</v>
      </c>
      <c r="H1857">
        <v>1979</v>
      </c>
      <c r="I1857" t="s">
        <v>58</v>
      </c>
      <c r="J1857" t="s">
        <v>58</v>
      </c>
      <c r="K1857" t="s">
        <v>58</v>
      </c>
      <c r="L1857" t="s">
        <v>58</v>
      </c>
      <c r="M1857" t="s">
        <v>58</v>
      </c>
      <c r="O1857" t="s">
        <v>61</v>
      </c>
      <c r="Q1857" t="s">
        <v>58</v>
      </c>
      <c r="R1857" s="11" t="str">
        <f>HYPERLINK("\\imagefiles.bcgov\imagery\scanned_maps\moe_terrain_maps\Scanned_T_maps_all\K17\K17-2352","\\imagefiles.bcgov\imagery\scanned_maps\moe_terrain_maps\Scanned_T_maps_all\K17\K17-2352")</f>
        <v>\\imagefiles.bcgov\imagery\scanned_maps\moe_terrain_maps\Scanned_T_maps_all\K17\K17-2352</v>
      </c>
      <c r="S1857" t="s">
        <v>62</v>
      </c>
      <c r="T1857" s="11" t="str">
        <f>HYPERLINK("http://www.env.gov.bc.ca/esd/distdata/ecosystems/TEI_Scanned_Maps/K17/K17-2352","http://www.env.gov.bc.ca/esd/distdata/ecosystems/TEI_Scanned_Maps/K17/K17-2352")</f>
        <v>http://www.env.gov.bc.ca/esd/distdata/ecosystems/TEI_Scanned_Maps/K17/K17-2352</v>
      </c>
      <c r="U1857" t="s">
        <v>58</v>
      </c>
      <c r="V1857" t="s">
        <v>58</v>
      </c>
      <c r="W1857" t="s">
        <v>58</v>
      </c>
      <c r="X1857" t="s">
        <v>58</v>
      </c>
      <c r="Y1857" t="s">
        <v>58</v>
      </c>
      <c r="Z1857" t="s">
        <v>58</v>
      </c>
      <c r="AA1857" t="s">
        <v>58</v>
      </c>
      <c r="AC1857" t="s">
        <v>58</v>
      </c>
      <c r="AE1857" t="s">
        <v>58</v>
      </c>
      <c r="AG1857" t="s">
        <v>63</v>
      </c>
      <c r="AH1857" s="11" t="str">
        <f t="shared" si="141"/>
        <v>mailto: soilterrain@victoria1.gov.bc.ca</v>
      </c>
    </row>
    <row r="1858" spans="1:34">
      <c r="A1858" t="s">
        <v>4282</v>
      </c>
      <c r="B1858" t="s">
        <v>56</v>
      </c>
      <c r="C1858" s="10" t="s">
        <v>3165</v>
      </c>
      <c r="D1858" t="s">
        <v>58</v>
      </c>
      <c r="E1858" t="s">
        <v>4176</v>
      </c>
      <c r="F1858" t="s">
        <v>4283</v>
      </c>
      <c r="G1858">
        <v>125000</v>
      </c>
      <c r="H1858">
        <v>1978</v>
      </c>
      <c r="I1858" t="s">
        <v>58</v>
      </c>
      <c r="J1858" t="s">
        <v>58</v>
      </c>
      <c r="K1858" t="s">
        <v>58</v>
      </c>
      <c r="L1858" t="s">
        <v>58</v>
      </c>
      <c r="M1858" t="s">
        <v>58</v>
      </c>
      <c r="O1858" t="s">
        <v>61</v>
      </c>
      <c r="Q1858" t="s">
        <v>58</v>
      </c>
      <c r="R1858" s="11" t="str">
        <f>HYPERLINK("\\imagefiles.bcgov\imagery\scanned_maps\moe_terrain_maps\Scanned_T_maps_all\K17\K17-2382","\\imagefiles.bcgov\imagery\scanned_maps\moe_terrain_maps\Scanned_T_maps_all\K17\K17-2382")</f>
        <v>\\imagefiles.bcgov\imagery\scanned_maps\moe_terrain_maps\Scanned_T_maps_all\K17\K17-2382</v>
      </c>
      <c r="S1858" t="s">
        <v>62</v>
      </c>
      <c r="T1858" s="11" t="str">
        <f>HYPERLINK("http://www.env.gov.bc.ca/esd/distdata/ecosystems/TEI_Scanned_Maps/K17/K17-2382","http://www.env.gov.bc.ca/esd/distdata/ecosystems/TEI_Scanned_Maps/K17/K17-2382")</f>
        <v>http://www.env.gov.bc.ca/esd/distdata/ecosystems/TEI_Scanned_Maps/K17/K17-2382</v>
      </c>
      <c r="U1858" t="s">
        <v>58</v>
      </c>
      <c r="V1858" t="s">
        <v>58</v>
      </c>
      <c r="W1858" t="s">
        <v>58</v>
      </c>
      <c r="X1858" t="s">
        <v>58</v>
      </c>
      <c r="Y1858" t="s">
        <v>58</v>
      </c>
      <c r="Z1858" t="s">
        <v>58</v>
      </c>
      <c r="AA1858" t="s">
        <v>58</v>
      </c>
      <c r="AC1858" t="s">
        <v>58</v>
      </c>
      <c r="AE1858" t="s">
        <v>58</v>
      </c>
      <c r="AG1858" t="s">
        <v>63</v>
      </c>
      <c r="AH1858" s="11" t="str">
        <f t="shared" ref="AH1858:AH1921" si="142">HYPERLINK("mailto: soilterrain@victoria1.gov.bc.ca","mailto: soilterrain@victoria1.gov.bc.ca")</f>
        <v>mailto: soilterrain@victoria1.gov.bc.ca</v>
      </c>
    </row>
    <row r="1859" spans="1:34">
      <c r="A1859" t="s">
        <v>4284</v>
      </c>
      <c r="B1859" t="s">
        <v>56</v>
      </c>
      <c r="C1859" s="10" t="s">
        <v>1971</v>
      </c>
      <c r="D1859" t="s">
        <v>58</v>
      </c>
      <c r="E1859" t="s">
        <v>4176</v>
      </c>
      <c r="F1859" t="s">
        <v>4285</v>
      </c>
      <c r="G1859">
        <v>125000</v>
      </c>
      <c r="H1859">
        <v>1980</v>
      </c>
      <c r="I1859" t="s">
        <v>58</v>
      </c>
      <c r="J1859" t="s">
        <v>58</v>
      </c>
      <c r="K1859" t="s">
        <v>58</v>
      </c>
      <c r="L1859" t="s">
        <v>58</v>
      </c>
      <c r="M1859" t="s">
        <v>58</v>
      </c>
      <c r="O1859" t="s">
        <v>61</v>
      </c>
      <c r="Q1859" t="s">
        <v>58</v>
      </c>
      <c r="R1859" s="11" t="str">
        <f>HYPERLINK("\\imagefiles.bcgov\imagery\scanned_maps\moe_terrain_maps\Scanned_T_maps_all\K17\K17-2405","\\imagefiles.bcgov\imagery\scanned_maps\moe_terrain_maps\Scanned_T_maps_all\K17\K17-2405")</f>
        <v>\\imagefiles.bcgov\imagery\scanned_maps\moe_terrain_maps\Scanned_T_maps_all\K17\K17-2405</v>
      </c>
      <c r="S1859" t="s">
        <v>62</v>
      </c>
      <c r="T1859" s="11" t="str">
        <f>HYPERLINK("http://www.env.gov.bc.ca/esd/distdata/ecosystems/TEI_Scanned_Maps/K17/K17-2405","http://www.env.gov.bc.ca/esd/distdata/ecosystems/TEI_Scanned_Maps/K17/K17-2405")</f>
        <v>http://www.env.gov.bc.ca/esd/distdata/ecosystems/TEI_Scanned_Maps/K17/K17-2405</v>
      </c>
      <c r="U1859" t="s">
        <v>58</v>
      </c>
      <c r="V1859" t="s">
        <v>58</v>
      </c>
      <c r="W1859" t="s">
        <v>58</v>
      </c>
      <c r="X1859" t="s">
        <v>58</v>
      </c>
      <c r="Y1859" t="s">
        <v>58</v>
      </c>
      <c r="Z1859" t="s">
        <v>58</v>
      </c>
      <c r="AA1859" t="s">
        <v>58</v>
      </c>
      <c r="AC1859" t="s">
        <v>58</v>
      </c>
      <c r="AE1859" t="s">
        <v>58</v>
      </c>
      <c r="AG1859" t="s">
        <v>63</v>
      </c>
      <c r="AH1859" s="11" t="str">
        <f t="shared" si="142"/>
        <v>mailto: soilterrain@victoria1.gov.bc.ca</v>
      </c>
    </row>
    <row r="1860" spans="1:34">
      <c r="A1860" t="s">
        <v>4286</v>
      </c>
      <c r="B1860" t="s">
        <v>56</v>
      </c>
      <c r="C1860" s="10" t="s">
        <v>1975</v>
      </c>
      <c r="D1860" t="s">
        <v>58</v>
      </c>
      <c r="E1860" t="s">
        <v>4176</v>
      </c>
      <c r="F1860" t="s">
        <v>4287</v>
      </c>
      <c r="G1860">
        <v>100000</v>
      </c>
      <c r="H1860">
        <v>1984</v>
      </c>
      <c r="I1860" t="s">
        <v>58</v>
      </c>
      <c r="J1860" t="s">
        <v>58</v>
      </c>
      <c r="K1860" t="s">
        <v>58</v>
      </c>
      <c r="L1860" t="s">
        <v>58</v>
      </c>
      <c r="M1860" t="s">
        <v>58</v>
      </c>
      <c r="O1860" t="s">
        <v>61</v>
      </c>
      <c r="Q1860" t="s">
        <v>58</v>
      </c>
      <c r="R1860" s="11" t="str">
        <f>HYPERLINK("\\imagefiles.bcgov\imagery\scanned_maps\moe_terrain_maps\Scanned_T_maps_all\K17\K17-2410","\\imagefiles.bcgov\imagery\scanned_maps\moe_terrain_maps\Scanned_T_maps_all\K17\K17-2410")</f>
        <v>\\imagefiles.bcgov\imagery\scanned_maps\moe_terrain_maps\Scanned_T_maps_all\K17\K17-2410</v>
      </c>
      <c r="S1860" t="s">
        <v>62</v>
      </c>
      <c r="T1860" s="11" t="str">
        <f>HYPERLINK("http://www.env.gov.bc.ca/esd/distdata/ecosystems/TEI_Scanned_Maps/K17/K17-2410","http://www.env.gov.bc.ca/esd/distdata/ecosystems/TEI_Scanned_Maps/K17/K17-2410")</f>
        <v>http://www.env.gov.bc.ca/esd/distdata/ecosystems/TEI_Scanned_Maps/K17/K17-2410</v>
      </c>
      <c r="U1860" t="s">
        <v>58</v>
      </c>
      <c r="V1860" t="s">
        <v>58</v>
      </c>
      <c r="W1860" t="s">
        <v>58</v>
      </c>
      <c r="X1860" t="s">
        <v>58</v>
      </c>
      <c r="Y1860" t="s">
        <v>58</v>
      </c>
      <c r="Z1860" t="s">
        <v>58</v>
      </c>
      <c r="AA1860" t="s">
        <v>58</v>
      </c>
      <c r="AC1860" t="s">
        <v>58</v>
      </c>
      <c r="AE1860" t="s">
        <v>58</v>
      </c>
      <c r="AG1860" t="s">
        <v>63</v>
      </c>
      <c r="AH1860" s="11" t="str">
        <f t="shared" si="142"/>
        <v>mailto: soilterrain@victoria1.gov.bc.ca</v>
      </c>
    </row>
    <row r="1861" spans="1:34">
      <c r="A1861" t="s">
        <v>4288</v>
      </c>
      <c r="B1861" t="s">
        <v>56</v>
      </c>
      <c r="C1861" s="10" t="s">
        <v>1985</v>
      </c>
      <c r="D1861" t="s">
        <v>58</v>
      </c>
      <c r="E1861" t="s">
        <v>4176</v>
      </c>
      <c r="F1861" t="s">
        <v>4289</v>
      </c>
      <c r="G1861">
        <v>100000</v>
      </c>
      <c r="H1861" t="s">
        <v>187</v>
      </c>
      <c r="I1861" t="s">
        <v>58</v>
      </c>
      <c r="J1861" t="s">
        <v>58</v>
      </c>
      <c r="K1861" t="s">
        <v>58</v>
      </c>
      <c r="L1861" t="s">
        <v>58</v>
      </c>
      <c r="M1861" t="s">
        <v>58</v>
      </c>
      <c r="O1861" t="s">
        <v>61</v>
      </c>
      <c r="Q1861" t="s">
        <v>58</v>
      </c>
      <c r="R1861" s="11" t="str">
        <f>HYPERLINK("\\imagefiles.bcgov\imagery\scanned_maps\moe_terrain_maps\Scanned_T_maps_all\K17\K17-2448","\\imagefiles.bcgov\imagery\scanned_maps\moe_terrain_maps\Scanned_T_maps_all\K17\K17-2448")</f>
        <v>\\imagefiles.bcgov\imagery\scanned_maps\moe_terrain_maps\Scanned_T_maps_all\K17\K17-2448</v>
      </c>
      <c r="S1861" t="s">
        <v>62</v>
      </c>
      <c r="T1861" s="11" t="str">
        <f>HYPERLINK("http://www.env.gov.bc.ca/esd/distdata/ecosystems/TEI_Scanned_Maps/K17/K17-2448","http://www.env.gov.bc.ca/esd/distdata/ecosystems/TEI_Scanned_Maps/K17/K17-2448")</f>
        <v>http://www.env.gov.bc.ca/esd/distdata/ecosystems/TEI_Scanned_Maps/K17/K17-2448</v>
      </c>
      <c r="U1861" t="s">
        <v>58</v>
      </c>
      <c r="V1861" t="s">
        <v>58</v>
      </c>
      <c r="W1861" t="s">
        <v>58</v>
      </c>
      <c r="X1861" t="s">
        <v>58</v>
      </c>
      <c r="Y1861" t="s">
        <v>58</v>
      </c>
      <c r="Z1861" t="s">
        <v>58</v>
      </c>
      <c r="AA1861" t="s">
        <v>58</v>
      </c>
      <c r="AC1861" t="s">
        <v>58</v>
      </c>
      <c r="AE1861" t="s">
        <v>58</v>
      </c>
      <c r="AG1861" t="s">
        <v>63</v>
      </c>
      <c r="AH1861" s="11" t="str">
        <f t="shared" si="142"/>
        <v>mailto: soilterrain@victoria1.gov.bc.ca</v>
      </c>
    </row>
    <row r="1862" spans="1:34">
      <c r="A1862" t="s">
        <v>4290</v>
      </c>
      <c r="B1862" t="s">
        <v>56</v>
      </c>
      <c r="C1862" s="10" t="s">
        <v>1988</v>
      </c>
      <c r="D1862" t="s">
        <v>58</v>
      </c>
      <c r="E1862" t="s">
        <v>4176</v>
      </c>
      <c r="F1862" t="s">
        <v>4291</v>
      </c>
      <c r="G1862">
        <v>100000</v>
      </c>
      <c r="H1862">
        <v>1981</v>
      </c>
      <c r="I1862" t="s">
        <v>58</v>
      </c>
      <c r="J1862" t="s">
        <v>58</v>
      </c>
      <c r="K1862" t="s">
        <v>58</v>
      </c>
      <c r="L1862" t="s">
        <v>58</v>
      </c>
      <c r="M1862" t="s">
        <v>58</v>
      </c>
      <c r="O1862" t="s">
        <v>61</v>
      </c>
      <c r="Q1862" t="s">
        <v>58</v>
      </c>
      <c r="R1862" s="11" t="str">
        <f>HYPERLINK("\\imagefiles.bcgov\imagery\scanned_maps\moe_terrain_maps\Scanned_T_maps_all\K17\K17-2457","\\imagefiles.bcgov\imagery\scanned_maps\moe_terrain_maps\Scanned_T_maps_all\K17\K17-2457")</f>
        <v>\\imagefiles.bcgov\imagery\scanned_maps\moe_terrain_maps\Scanned_T_maps_all\K17\K17-2457</v>
      </c>
      <c r="S1862" t="s">
        <v>62</v>
      </c>
      <c r="T1862" s="11" t="str">
        <f>HYPERLINK("http://www.env.gov.bc.ca/esd/distdata/ecosystems/TEI_Scanned_Maps/K17/K17-2457","http://www.env.gov.bc.ca/esd/distdata/ecosystems/TEI_Scanned_Maps/K17/K17-2457")</f>
        <v>http://www.env.gov.bc.ca/esd/distdata/ecosystems/TEI_Scanned_Maps/K17/K17-2457</v>
      </c>
      <c r="U1862" t="s">
        <v>58</v>
      </c>
      <c r="V1862" t="s">
        <v>58</v>
      </c>
      <c r="W1862" t="s">
        <v>58</v>
      </c>
      <c r="X1862" t="s">
        <v>58</v>
      </c>
      <c r="Y1862" t="s">
        <v>58</v>
      </c>
      <c r="Z1862" t="s">
        <v>58</v>
      </c>
      <c r="AA1862" t="s">
        <v>58</v>
      </c>
      <c r="AC1862" t="s">
        <v>58</v>
      </c>
      <c r="AE1862" t="s">
        <v>58</v>
      </c>
      <c r="AG1862" t="s">
        <v>63</v>
      </c>
      <c r="AH1862" s="11" t="str">
        <f t="shared" si="142"/>
        <v>mailto: soilterrain@victoria1.gov.bc.ca</v>
      </c>
    </row>
    <row r="1863" spans="1:34">
      <c r="A1863" t="s">
        <v>4292</v>
      </c>
      <c r="B1863" t="s">
        <v>56</v>
      </c>
      <c r="C1863" s="10" t="s">
        <v>1991</v>
      </c>
      <c r="D1863" t="s">
        <v>58</v>
      </c>
      <c r="E1863" t="s">
        <v>4176</v>
      </c>
      <c r="F1863" t="s">
        <v>4293</v>
      </c>
      <c r="G1863">
        <v>100000</v>
      </c>
      <c r="H1863">
        <v>1980</v>
      </c>
      <c r="I1863" t="s">
        <v>58</v>
      </c>
      <c r="J1863" t="s">
        <v>58</v>
      </c>
      <c r="K1863" t="s">
        <v>58</v>
      </c>
      <c r="L1863" t="s">
        <v>58</v>
      </c>
      <c r="M1863" t="s">
        <v>58</v>
      </c>
      <c r="O1863" t="s">
        <v>61</v>
      </c>
      <c r="Q1863" t="s">
        <v>58</v>
      </c>
      <c r="R1863" s="11" t="str">
        <f>HYPERLINK("\\imagefiles.bcgov\imagery\scanned_maps\moe_terrain_maps\Scanned_T_maps_all\K17\K17-2512","\\imagefiles.bcgov\imagery\scanned_maps\moe_terrain_maps\Scanned_T_maps_all\K17\K17-2512")</f>
        <v>\\imagefiles.bcgov\imagery\scanned_maps\moe_terrain_maps\Scanned_T_maps_all\K17\K17-2512</v>
      </c>
      <c r="S1863" t="s">
        <v>62</v>
      </c>
      <c r="T1863" s="11" t="str">
        <f>HYPERLINK("http://www.env.gov.bc.ca/esd/distdata/ecosystems/TEI_Scanned_Maps/K17/K17-2512","http://www.env.gov.bc.ca/esd/distdata/ecosystems/TEI_Scanned_Maps/K17/K17-2512")</f>
        <v>http://www.env.gov.bc.ca/esd/distdata/ecosystems/TEI_Scanned_Maps/K17/K17-2512</v>
      </c>
      <c r="U1863" t="s">
        <v>58</v>
      </c>
      <c r="V1863" t="s">
        <v>58</v>
      </c>
      <c r="W1863" t="s">
        <v>58</v>
      </c>
      <c r="X1863" t="s">
        <v>58</v>
      </c>
      <c r="Y1863" t="s">
        <v>58</v>
      </c>
      <c r="Z1863" t="s">
        <v>58</v>
      </c>
      <c r="AA1863" t="s">
        <v>58</v>
      </c>
      <c r="AC1863" t="s">
        <v>58</v>
      </c>
      <c r="AE1863" t="s">
        <v>58</v>
      </c>
      <c r="AG1863" t="s">
        <v>63</v>
      </c>
      <c r="AH1863" s="11" t="str">
        <f t="shared" si="142"/>
        <v>mailto: soilterrain@victoria1.gov.bc.ca</v>
      </c>
    </row>
    <row r="1864" spans="1:34">
      <c r="A1864" t="s">
        <v>4294</v>
      </c>
      <c r="B1864" t="s">
        <v>56</v>
      </c>
      <c r="C1864" s="10" t="s">
        <v>1994</v>
      </c>
      <c r="D1864" t="s">
        <v>58</v>
      </c>
      <c r="E1864" t="s">
        <v>4176</v>
      </c>
      <c r="F1864" t="s">
        <v>4295</v>
      </c>
      <c r="G1864">
        <v>100000</v>
      </c>
      <c r="H1864">
        <v>1979</v>
      </c>
      <c r="I1864" t="s">
        <v>58</v>
      </c>
      <c r="J1864" t="s">
        <v>58</v>
      </c>
      <c r="K1864" t="s">
        <v>58</v>
      </c>
      <c r="L1864" t="s">
        <v>58</v>
      </c>
      <c r="M1864" t="s">
        <v>58</v>
      </c>
      <c r="O1864" t="s">
        <v>61</v>
      </c>
      <c r="Q1864" t="s">
        <v>58</v>
      </c>
      <c r="R1864" s="11" t="str">
        <f>HYPERLINK("\\imagefiles.bcgov\imagery\scanned_maps\moe_terrain_maps\Scanned_T_maps_all\K17\K17-2522","\\imagefiles.bcgov\imagery\scanned_maps\moe_terrain_maps\Scanned_T_maps_all\K17\K17-2522")</f>
        <v>\\imagefiles.bcgov\imagery\scanned_maps\moe_terrain_maps\Scanned_T_maps_all\K17\K17-2522</v>
      </c>
      <c r="S1864" t="s">
        <v>62</v>
      </c>
      <c r="T1864" s="11" t="str">
        <f>HYPERLINK("http://www.env.gov.bc.ca/esd/distdata/ecosystems/TEI_Scanned_Maps/K17/K17-2522","http://www.env.gov.bc.ca/esd/distdata/ecosystems/TEI_Scanned_Maps/K17/K17-2522")</f>
        <v>http://www.env.gov.bc.ca/esd/distdata/ecosystems/TEI_Scanned_Maps/K17/K17-2522</v>
      </c>
      <c r="U1864" t="s">
        <v>58</v>
      </c>
      <c r="V1864" t="s">
        <v>58</v>
      </c>
      <c r="W1864" t="s">
        <v>58</v>
      </c>
      <c r="X1864" t="s">
        <v>58</v>
      </c>
      <c r="Y1864" t="s">
        <v>58</v>
      </c>
      <c r="Z1864" t="s">
        <v>58</v>
      </c>
      <c r="AA1864" t="s">
        <v>58</v>
      </c>
      <c r="AC1864" t="s">
        <v>58</v>
      </c>
      <c r="AE1864" t="s">
        <v>58</v>
      </c>
      <c r="AG1864" t="s">
        <v>63</v>
      </c>
      <c r="AH1864" s="11" t="str">
        <f t="shared" si="142"/>
        <v>mailto: soilterrain@victoria1.gov.bc.ca</v>
      </c>
    </row>
    <row r="1865" spans="1:34">
      <c r="A1865" t="s">
        <v>4296</v>
      </c>
      <c r="B1865" t="s">
        <v>56</v>
      </c>
      <c r="C1865" s="10" t="s">
        <v>977</v>
      </c>
      <c r="D1865" t="s">
        <v>58</v>
      </c>
      <c r="E1865" t="s">
        <v>4176</v>
      </c>
      <c r="F1865" t="s">
        <v>4297</v>
      </c>
      <c r="G1865">
        <v>100000</v>
      </c>
      <c r="H1865">
        <v>1978</v>
      </c>
      <c r="I1865" t="s">
        <v>58</v>
      </c>
      <c r="J1865" t="s">
        <v>58</v>
      </c>
      <c r="K1865" t="s">
        <v>58</v>
      </c>
      <c r="L1865" t="s">
        <v>58</v>
      </c>
      <c r="M1865" t="s">
        <v>58</v>
      </c>
      <c r="O1865" t="s">
        <v>61</v>
      </c>
      <c r="Q1865" t="s">
        <v>58</v>
      </c>
      <c r="R1865" s="11" t="str">
        <f>HYPERLINK("\\imagefiles.bcgov\imagery\scanned_maps\moe_terrain_maps\Scanned_T_maps_all\K17\K17-2533","\\imagefiles.bcgov\imagery\scanned_maps\moe_terrain_maps\Scanned_T_maps_all\K17\K17-2533")</f>
        <v>\\imagefiles.bcgov\imagery\scanned_maps\moe_terrain_maps\Scanned_T_maps_all\K17\K17-2533</v>
      </c>
      <c r="S1865" t="s">
        <v>62</v>
      </c>
      <c r="T1865" s="11" t="str">
        <f>HYPERLINK("http://www.env.gov.bc.ca/esd/distdata/ecosystems/TEI_Scanned_Maps/K17/K17-2533","http://www.env.gov.bc.ca/esd/distdata/ecosystems/TEI_Scanned_Maps/K17/K17-2533")</f>
        <v>http://www.env.gov.bc.ca/esd/distdata/ecosystems/TEI_Scanned_Maps/K17/K17-2533</v>
      </c>
      <c r="U1865" t="s">
        <v>58</v>
      </c>
      <c r="V1865" t="s">
        <v>58</v>
      </c>
      <c r="W1865" t="s">
        <v>58</v>
      </c>
      <c r="X1865" t="s">
        <v>58</v>
      </c>
      <c r="Y1865" t="s">
        <v>58</v>
      </c>
      <c r="Z1865" t="s">
        <v>58</v>
      </c>
      <c r="AA1865" t="s">
        <v>58</v>
      </c>
      <c r="AC1865" t="s">
        <v>58</v>
      </c>
      <c r="AE1865" t="s">
        <v>58</v>
      </c>
      <c r="AG1865" t="s">
        <v>63</v>
      </c>
      <c r="AH1865" s="11" t="str">
        <f t="shared" si="142"/>
        <v>mailto: soilterrain@victoria1.gov.bc.ca</v>
      </c>
    </row>
    <row r="1866" spans="1:34">
      <c r="A1866" t="s">
        <v>4298</v>
      </c>
      <c r="B1866" t="s">
        <v>56</v>
      </c>
      <c r="C1866" s="10" t="s">
        <v>4299</v>
      </c>
      <c r="D1866" t="s">
        <v>58</v>
      </c>
      <c r="E1866" t="s">
        <v>4176</v>
      </c>
      <c r="F1866" t="s">
        <v>4300</v>
      </c>
      <c r="G1866">
        <v>125000</v>
      </c>
      <c r="H1866">
        <v>1980</v>
      </c>
      <c r="I1866" t="s">
        <v>58</v>
      </c>
      <c r="J1866" t="s">
        <v>58</v>
      </c>
      <c r="K1866" t="s">
        <v>58</v>
      </c>
      <c r="L1866" t="s">
        <v>58</v>
      </c>
      <c r="M1866" t="s">
        <v>58</v>
      </c>
      <c r="O1866" t="s">
        <v>61</v>
      </c>
      <c r="Q1866" t="s">
        <v>58</v>
      </c>
      <c r="R1866" s="11" t="str">
        <f>HYPERLINK("\\imagefiles.bcgov\imagery\scanned_maps\moe_terrain_maps\Scanned_T_maps_all\K17\K17-2542","\\imagefiles.bcgov\imagery\scanned_maps\moe_terrain_maps\Scanned_T_maps_all\K17\K17-2542")</f>
        <v>\\imagefiles.bcgov\imagery\scanned_maps\moe_terrain_maps\Scanned_T_maps_all\K17\K17-2542</v>
      </c>
      <c r="S1866" t="s">
        <v>62</v>
      </c>
      <c r="T1866" s="11" t="str">
        <f>HYPERLINK("http://www.env.gov.bc.ca/esd/distdata/ecosystems/TEI_Scanned_Maps/K17/K17-2542","http://www.env.gov.bc.ca/esd/distdata/ecosystems/TEI_Scanned_Maps/K17/K17-2542")</f>
        <v>http://www.env.gov.bc.ca/esd/distdata/ecosystems/TEI_Scanned_Maps/K17/K17-2542</v>
      </c>
      <c r="U1866" t="s">
        <v>58</v>
      </c>
      <c r="V1866" t="s">
        <v>58</v>
      </c>
      <c r="W1866" t="s">
        <v>58</v>
      </c>
      <c r="X1866" t="s">
        <v>58</v>
      </c>
      <c r="Y1866" t="s">
        <v>58</v>
      </c>
      <c r="Z1866" t="s">
        <v>58</v>
      </c>
      <c r="AA1866" t="s">
        <v>58</v>
      </c>
      <c r="AC1866" t="s">
        <v>58</v>
      </c>
      <c r="AE1866" t="s">
        <v>58</v>
      </c>
      <c r="AG1866" t="s">
        <v>63</v>
      </c>
      <c r="AH1866" s="11" t="str">
        <f t="shared" si="142"/>
        <v>mailto: soilterrain@victoria1.gov.bc.ca</v>
      </c>
    </row>
    <row r="1867" spans="1:34">
      <c r="A1867" t="s">
        <v>4301</v>
      </c>
      <c r="B1867" t="s">
        <v>56</v>
      </c>
      <c r="C1867" s="10" t="s">
        <v>3186</v>
      </c>
      <c r="D1867" t="s">
        <v>58</v>
      </c>
      <c r="E1867" t="s">
        <v>4176</v>
      </c>
      <c r="F1867" t="s">
        <v>4229</v>
      </c>
      <c r="G1867">
        <v>100000</v>
      </c>
      <c r="H1867">
        <v>1979</v>
      </c>
      <c r="I1867" t="s">
        <v>58</v>
      </c>
      <c r="J1867" t="s">
        <v>58</v>
      </c>
      <c r="K1867" t="s">
        <v>58</v>
      </c>
      <c r="L1867" t="s">
        <v>58</v>
      </c>
      <c r="M1867" t="s">
        <v>58</v>
      </c>
      <c r="O1867" t="s">
        <v>61</v>
      </c>
      <c r="Q1867" t="s">
        <v>58</v>
      </c>
      <c r="R1867" s="11" t="str">
        <f>HYPERLINK("\\imagefiles.bcgov\imagery\scanned_maps\moe_terrain_maps\Scanned_T_maps_all\K17\K17-2567","\\imagefiles.bcgov\imagery\scanned_maps\moe_terrain_maps\Scanned_T_maps_all\K17\K17-2567")</f>
        <v>\\imagefiles.bcgov\imagery\scanned_maps\moe_terrain_maps\Scanned_T_maps_all\K17\K17-2567</v>
      </c>
      <c r="S1867" t="s">
        <v>62</v>
      </c>
      <c r="T1867" s="11" t="str">
        <f>HYPERLINK("http://www.env.gov.bc.ca/esd/distdata/ecosystems/TEI_Scanned_Maps/K17/K17-2567","http://www.env.gov.bc.ca/esd/distdata/ecosystems/TEI_Scanned_Maps/K17/K17-2567")</f>
        <v>http://www.env.gov.bc.ca/esd/distdata/ecosystems/TEI_Scanned_Maps/K17/K17-2567</v>
      </c>
      <c r="U1867" t="s">
        <v>58</v>
      </c>
      <c r="V1867" t="s">
        <v>58</v>
      </c>
      <c r="W1867" t="s">
        <v>58</v>
      </c>
      <c r="X1867" t="s">
        <v>58</v>
      </c>
      <c r="Y1867" t="s">
        <v>58</v>
      </c>
      <c r="Z1867" t="s">
        <v>58</v>
      </c>
      <c r="AA1867" t="s">
        <v>58</v>
      </c>
      <c r="AC1867" t="s">
        <v>58</v>
      </c>
      <c r="AE1867" t="s">
        <v>58</v>
      </c>
      <c r="AG1867" t="s">
        <v>63</v>
      </c>
      <c r="AH1867" s="11" t="str">
        <f t="shared" si="142"/>
        <v>mailto: soilterrain@victoria1.gov.bc.ca</v>
      </c>
    </row>
    <row r="1868" spans="1:34">
      <c r="A1868" t="s">
        <v>4302</v>
      </c>
      <c r="B1868" t="s">
        <v>56</v>
      </c>
      <c r="C1868" s="10" t="s">
        <v>981</v>
      </c>
      <c r="D1868" t="s">
        <v>58</v>
      </c>
      <c r="E1868" t="s">
        <v>4176</v>
      </c>
      <c r="F1868" t="s">
        <v>4303</v>
      </c>
      <c r="G1868">
        <v>100000</v>
      </c>
      <c r="H1868" t="s">
        <v>187</v>
      </c>
      <c r="I1868" t="s">
        <v>58</v>
      </c>
      <c r="J1868" t="s">
        <v>58</v>
      </c>
      <c r="K1868" t="s">
        <v>58</v>
      </c>
      <c r="L1868" t="s">
        <v>58</v>
      </c>
      <c r="M1868" t="s">
        <v>58</v>
      </c>
      <c r="O1868" t="s">
        <v>61</v>
      </c>
      <c r="Q1868" t="s">
        <v>58</v>
      </c>
      <c r="R1868" s="11" t="str">
        <f>HYPERLINK("\\imagefiles.bcgov\imagery\scanned_maps\moe_terrain_maps\Scanned_T_maps_all\K17\K17-2573","\\imagefiles.bcgov\imagery\scanned_maps\moe_terrain_maps\Scanned_T_maps_all\K17\K17-2573")</f>
        <v>\\imagefiles.bcgov\imagery\scanned_maps\moe_terrain_maps\Scanned_T_maps_all\K17\K17-2573</v>
      </c>
      <c r="S1868" t="s">
        <v>62</v>
      </c>
      <c r="T1868" s="11" t="str">
        <f>HYPERLINK("http://www.env.gov.bc.ca/esd/distdata/ecosystems/TEI_Scanned_Maps/K17/K17-2573","http://www.env.gov.bc.ca/esd/distdata/ecosystems/TEI_Scanned_Maps/K17/K17-2573")</f>
        <v>http://www.env.gov.bc.ca/esd/distdata/ecosystems/TEI_Scanned_Maps/K17/K17-2573</v>
      </c>
      <c r="U1868" t="s">
        <v>58</v>
      </c>
      <c r="V1868" t="s">
        <v>58</v>
      </c>
      <c r="W1868" t="s">
        <v>58</v>
      </c>
      <c r="X1868" t="s">
        <v>58</v>
      </c>
      <c r="Y1868" t="s">
        <v>58</v>
      </c>
      <c r="Z1868" t="s">
        <v>58</v>
      </c>
      <c r="AA1868" t="s">
        <v>58</v>
      </c>
      <c r="AC1868" t="s">
        <v>58</v>
      </c>
      <c r="AE1868" t="s">
        <v>58</v>
      </c>
      <c r="AG1868" t="s">
        <v>63</v>
      </c>
      <c r="AH1868" s="11" t="str">
        <f t="shared" si="142"/>
        <v>mailto: soilterrain@victoria1.gov.bc.ca</v>
      </c>
    </row>
    <row r="1869" spans="1:34">
      <c r="A1869" t="s">
        <v>4304</v>
      </c>
      <c r="B1869" t="s">
        <v>56</v>
      </c>
      <c r="C1869" s="10" t="s">
        <v>3192</v>
      </c>
      <c r="D1869" t="s">
        <v>58</v>
      </c>
      <c r="E1869" t="s">
        <v>4176</v>
      </c>
      <c r="F1869" t="s">
        <v>4305</v>
      </c>
      <c r="G1869">
        <v>125000</v>
      </c>
      <c r="H1869" t="s">
        <v>187</v>
      </c>
      <c r="I1869" t="s">
        <v>58</v>
      </c>
      <c r="J1869" t="s">
        <v>58</v>
      </c>
      <c r="K1869" t="s">
        <v>58</v>
      </c>
      <c r="L1869" t="s">
        <v>58</v>
      </c>
      <c r="M1869" t="s">
        <v>58</v>
      </c>
      <c r="O1869" t="s">
        <v>61</v>
      </c>
      <c r="Q1869" t="s">
        <v>58</v>
      </c>
      <c r="R1869" s="11" t="str">
        <f>HYPERLINK("\\imagefiles.bcgov\imagery\scanned_maps\moe_terrain_maps\Scanned_T_maps_all\K17\K17-2597","\\imagefiles.bcgov\imagery\scanned_maps\moe_terrain_maps\Scanned_T_maps_all\K17\K17-2597")</f>
        <v>\\imagefiles.bcgov\imagery\scanned_maps\moe_terrain_maps\Scanned_T_maps_all\K17\K17-2597</v>
      </c>
      <c r="S1869" t="s">
        <v>62</v>
      </c>
      <c r="T1869" s="11" t="str">
        <f>HYPERLINK("http://www.env.gov.bc.ca/esd/distdata/ecosystems/TEI_Scanned_Maps/K17/K17-2597","http://www.env.gov.bc.ca/esd/distdata/ecosystems/TEI_Scanned_Maps/K17/K17-2597")</f>
        <v>http://www.env.gov.bc.ca/esd/distdata/ecosystems/TEI_Scanned_Maps/K17/K17-2597</v>
      </c>
      <c r="U1869" t="s">
        <v>58</v>
      </c>
      <c r="V1869" t="s">
        <v>58</v>
      </c>
      <c r="W1869" t="s">
        <v>58</v>
      </c>
      <c r="X1869" t="s">
        <v>58</v>
      </c>
      <c r="Y1869" t="s">
        <v>58</v>
      </c>
      <c r="Z1869" t="s">
        <v>58</v>
      </c>
      <c r="AA1869" t="s">
        <v>58</v>
      </c>
      <c r="AC1869" t="s">
        <v>58</v>
      </c>
      <c r="AE1869" t="s">
        <v>58</v>
      </c>
      <c r="AG1869" t="s">
        <v>63</v>
      </c>
      <c r="AH1869" s="11" t="str">
        <f t="shared" si="142"/>
        <v>mailto: soilterrain@victoria1.gov.bc.ca</v>
      </c>
    </row>
    <row r="1870" spans="1:34">
      <c r="A1870" t="s">
        <v>4306</v>
      </c>
      <c r="B1870" t="s">
        <v>56</v>
      </c>
      <c r="C1870" s="10" t="s">
        <v>3197</v>
      </c>
      <c r="D1870" t="s">
        <v>58</v>
      </c>
      <c r="E1870" t="s">
        <v>4176</v>
      </c>
      <c r="F1870" t="s">
        <v>4307</v>
      </c>
      <c r="G1870">
        <v>125000</v>
      </c>
      <c r="H1870">
        <v>1981</v>
      </c>
      <c r="I1870" t="s">
        <v>58</v>
      </c>
      <c r="J1870" t="s">
        <v>58</v>
      </c>
      <c r="K1870" t="s">
        <v>58</v>
      </c>
      <c r="L1870" t="s">
        <v>58</v>
      </c>
      <c r="M1870" t="s">
        <v>58</v>
      </c>
      <c r="O1870" t="s">
        <v>61</v>
      </c>
      <c r="Q1870" t="s">
        <v>58</v>
      </c>
      <c r="R1870" s="11" t="str">
        <f>HYPERLINK("\\imagefiles.bcgov\imagery\scanned_maps\moe_terrain_maps\Scanned_T_maps_all\K17\K17-2599","\\imagefiles.bcgov\imagery\scanned_maps\moe_terrain_maps\Scanned_T_maps_all\K17\K17-2599")</f>
        <v>\\imagefiles.bcgov\imagery\scanned_maps\moe_terrain_maps\Scanned_T_maps_all\K17\K17-2599</v>
      </c>
      <c r="S1870" t="s">
        <v>62</v>
      </c>
      <c r="T1870" s="11" t="str">
        <f>HYPERLINK("http://www.env.gov.bc.ca/esd/distdata/ecosystems/TEI_Scanned_Maps/K17/K17-2599","http://www.env.gov.bc.ca/esd/distdata/ecosystems/TEI_Scanned_Maps/K17/K17-2599")</f>
        <v>http://www.env.gov.bc.ca/esd/distdata/ecosystems/TEI_Scanned_Maps/K17/K17-2599</v>
      </c>
      <c r="U1870" t="s">
        <v>58</v>
      </c>
      <c r="V1870" t="s">
        <v>58</v>
      </c>
      <c r="W1870" t="s">
        <v>58</v>
      </c>
      <c r="X1870" t="s">
        <v>58</v>
      </c>
      <c r="Y1870" t="s">
        <v>58</v>
      </c>
      <c r="Z1870" t="s">
        <v>58</v>
      </c>
      <c r="AA1870" t="s">
        <v>58</v>
      </c>
      <c r="AC1870" t="s">
        <v>58</v>
      </c>
      <c r="AE1870" t="s">
        <v>58</v>
      </c>
      <c r="AG1870" t="s">
        <v>63</v>
      </c>
      <c r="AH1870" s="11" t="str">
        <f t="shared" si="142"/>
        <v>mailto: soilterrain@victoria1.gov.bc.ca</v>
      </c>
    </row>
    <row r="1871" spans="1:34">
      <c r="A1871" t="s">
        <v>4308</v>
      </c>
      <c r="B1871" t="s">
        <v>56</v>
      </c>
      <c r="C1871" s="10" t="s">
        <v>3199</v>
      </c>
      <c r="D1871" t="s">
        <v>58</v>
      </c>
      <c r="E1871" t="s">
        <v>4176</v>
      </c>
      <c r="F1871" t="s">
        <v>4309</v>
      </c>
      <c r="G1871">
        <v>125000</v>
      </c>
      <c r="H1871">
        <v>1980</v>
      </c>
      <c r="I1871" t="s">
        <v>58</v>
      </c>
      <c r="J1871" t="s">
        <v>58</v>
      </c>
      <c r="K1871" t="s">
        <v>58</v>
      </c>
      <c r="L1871" t="s">
        <v>58</v>
      </c>
      <c r="M1871" t="s">
        <v>58</v>
      </c>
      <c r="O1871" t="s">
        <v>61</v>
      </c>
      <c r="Q1871" t="s">
        <v>58</v>
      </c>
      <c r="R1871" s="11" t="str">
        <f>HYPERLINK("\\imagefiles.bcgov\imagery\scanned_maps\moe_terrain_maps\Scanned_T_maps_all\K17\K17-2601","\\imagefiles.bcgov\imagery\scanned_maps\moe_terrain_maps\Scanned_T_maps_all\K17\K17-2601")</f>
        <v>\\imagefiles.bcgov\imagery\scanned_maps\moe_terrain_maps\Scanned_T_maps_all\K17\K17-2601</v>
      </c>
      <c r="S1871" t="s">
        <v>62</v>
      </c>
      <c r="T1871" s="11" t="str">
        <f>HYPERLINK("http://www.env.gov.bc.ca/esd/distdata/ecosystems/TEI_Scanned_Maps/K17/K17-2601","http://www.env.gov.bc.ca/esd/distdata/ecosystems/TEI_Scanned_Maps/K17/K17-2601")</f>
        <v>http://www.env.gov.bc.ca/esd/distdata/ecosystems/TEI_Scanned_Maps/K17/K17-2601</v>
      </c>
      <c r="U1871" t="s">
        <v>58</v>
      </c>
      <c r="V1871" t="s">
        <v>58</v>
      </c>
      <c r="W1871" t="s">
        <v>58</v>
      </c>
      <c r="X1871" t="s">
        <v>58</v>
      </c>
      <c r="Y1871" t="s">
        <v>58</v>
      </c>
      <c r="Z1871" t="s">
        <v>58</v>
      </c>
      <c r="AA1871" t="s">
        <v>58</v>
      </c>
      <c r="AC1871" t="s">
        <v>58</v>
      </c>
      <c r="AE1871" t="s">
        <v>58</v>
      </c>
      <c r="AG1871" t="s">
        <v>63</v>
      </c>
      <c r="AH1871" s="11" t="str">
        <f t="shared" si="142"/>
        <v>mailto: soilterrain@victoria1.gov.bc.ca</v>
      </c>
    </row>
    <row r="1872" spans="1:34">
      <c r="A1872" t="s">
        <v>4310</v>
      </c>
      <c r="B1872" t="s">
        <v>56</v>
      </c>
      <c r="C1872" s="10" t="s">
        <v>3201</v>
      </c>
      <c r="D1872" t="s">
        <v>58</v>
      </c>
      <c r="E1872" t="s">
        <v>4176</v>
      </c>
      <c r="F1872" t="s">
        <v>4311</v>
      </c>
      <c r="G1872">
        <v>125000</v>
      </c>
      <c r="H1872">
        <v>1979</v>
      </c>
      <c r="I1872" t="s">
        <v>58</v>
      </c>
      <c r="J1872" t="s">
        <v>58</v>
      </c>
      <c r="K1872" t="s">
        <v>58</v>
      </c>
      <c r="L1872" t="s">
        <v>58</v>
      </c>
      <c r="M1872" t="s">
        <v>58</v>
      </c>
      <c r="O1872" t="s">
        <v>61</v>
      </c>
      <c r="Q1872" t="s">
        <v>58</v>
      </c>
      <c r="R1872" s="11" t="str">
        <f>HYPERLINK("\\imagefiles.bcgov\imagery\scanned_maps\moe_terrain_maps\Scanned_T_maps_all\K17\K17-2603","\\imagefiles.bcgov\imagery\scanned_maps\moe_terrain_maps\Scanned_T_maps_all\K17\K17-2603")</f>
        <v>\\imagefiles.bcgov\imagery\scanned_maps\moe_terrain_maps\Scanned_T_maps_all\K17\K17-2603</v>
      </c>
      <c r="S1872" t="s">
        <v>62</v>
      </c>
      <c r="T1872" s="11" t="str">
        <f>HYPERLINK("http://www.env.gov.bc.ca/esd/distdata/ecosystems/TEI_Scanned_Maps/K17/K17-2603","http://www.env.gov.bc.ca/esd/distdata/ecosystems/TEI_Scanned_Maps/K17/K17-2603")</f>
        <v>http://www.env.gov.bc.ca/esd/distdata/ecosystems/TEI_Scanned_Maps/K17/K17-2603</v>
      </c>
      <c r="U1872" t="s">
        <v>58</v>
      </c>
      <c r="V1872" t="s">
        <v>58</v>
      </c>
      <c r="W1872" t="s">
        <v>58</v>
      </c>
      <c r="X1872" t="s">
        <v>58</v>
      </c>
      <c r="Y1872" t="s">
        <v>58</v>
      </c>
      <c r="Z1872" t="s">
        <v>58</v>
      </c>
      <c r="AA1872" t="s">
        <v>58</v>
      </c>
      <c r="AC1872" t="s">
        <v>58</v>
      </c>
      <c r="AE1872" t="s">
        <v>58</v>
      </c>
      <c r="AG1872" t="s">
        <v>63</v>
      </c>
      <c r="AH1872" s="11" t="str">
        <f t="shared" si="142"/>
        <v>mailto: soilterrain@victoria1.gov.bc.ca</v>
      </c>
    </row>
    <row r="1873" spans="1:34">
      <c r="A1873" t="s">
        <v>4312</v>
      </c>
      <c r="B1873" t="s">
        <v>56</v>
      </c>
      <c r="C1873" s="10" t="s">
        <v>983</v>
      </c>
      <c r="D1873" t="s">
        <v>58</v>
      </c>
      <c r="E1873" t="s">
        <v>4176</v>
      </c>
      <c r="F1873" t="s">
        <v>4313</v>
      </c>
      <c r="G1873">
        <v>100000</v>
      </c>
      <c r="H1873">
        <v>1983</v>
      </c>
      <c r="I1873" t="s">
        <v>58</v>
      </c>
      <c r="J1873" t="s">
        <v>58</v>
      </c>
      <c r="K1873" t="s">
        <v>58</v>
      </c>
      <c r="L1873" t="s">
        <v>58</v>
      </c>
      <c r="M1873" t="s">
        <v>58</v>
      </c>
      <c r="O1873" t="s">
        <v>61</v>
      </c>
      <c r="Q1873" t="s">
        <v>58</v>
      </c>
      <c r="R1873" s="11" t="str">
        <f>HYPERLINK("\\imagefiles.bcgov\imagery\scanned_maps\moe_terrain_maps\Scanned_T_maps_all\K17\K17-2616","\\imagefiles.bcgov\imagery\scanned_maps\moe_terrain_maps\Scanned_T_maps_all\K17\K17-2616")</f>
        <v>\\imagefiles.bcgov\imagery\scanned_maps\moe_terrain_maps\Scanned_T_maps_all\K17\K17-2616</v>
      </c>
      <c r="S1873" t="s">
        <v>62</v>
      </c>
      <c r="T1873" s="11" t="str">
        <f>HYPERLINK("http://www.env.gov.bc.ca/esd/distdata/ecosystems/TEI_Scanned_Maps/K17/K17-2616","http://www.env.gov.bc.ca/esd/distdata/ecosystems/TEI_Scanned_Maps/K17/K17-2616")</f>
        <v>http://www.env.gov.bc.ca/esd/distdata/ecosystems/TEI_Scanned_Maps/K17/K17-2616</v>
      </c>
      <c r="U1873" t="s">
        <v>58</v>
      </c>
      <c r="V1873" t="s">
        <v>58</v>
      </c>
      <c r="W1873" t="s">
        <v>58</v>
      </c>
      <c r="X1873" t="s">
        <v>58</v>
      </c>
      <c r="Y1873" t="s">
        <v>58</v>
      </c>
      <c r="Z1873" t="s">
        <v>58</v>
      </c>
      <c r="AA1873" t="s">
        <v>58</v>
      </c>
      <c r="AC1873" t="s">
        <v>58</v>
      </c>
      <c r="AE1873" t="s">
        <v>58</v>
      </c>
      <c r="AG1873" t="s">
        <v>63</v>
      </c>
      <c r="AH1873" s="11" t="str">
        <f t="shared" si="142"/>
        <v>mailto: soilterrain@victoria1.gov.bc.ca</v>
      </c>
    </row>
    <row r="1874" spans="1:34">
      <c r="A1874" t="s">
        <v>4314</v>
      </c>
      <c r="B1874" t="s">
        <v>56</v>
      </c>
      <c r="C1874" s="10" t="s">
        <v>985</v>
      </c>
      <c r="D1874" t="s">
        <v>58</v>
      </c>
      <c r="E1874" t="s">
        <v>4176</v>
      </c>
      <c r="F1874" t="s">
        <v>4315</v>
      </c>
      <c r="G1874">
        <v>100000</v>
      </c>
      <c r="H1874">
        <v>1980</v>
      </c>
      <c r="I1874" t="s">
        <v>58</v>
      </c>
      <c r="J1874" t="s">
        <v>58</v>
      </c>
      <c r="K1874" t="s">
        <v>58</v>
      </c>
      <c r="L1874" t="s">
        <v>58</v>
      </c>
      <c r="M1874" t="s">
        <v>58</v>
      </c>
      <c r="O1874" t="s">
        <v>61</v>
      </c>
      <c r="Q1874" t="s">
        <v>58</v>
      </c>
      <c r="R1874" s="11" t="str">
        <f>HYPERLINK("\\imagefiles.bcgov\imagery\scanned_maps\moe_terrain_maps\Scanned_T_maps_all\K17\K17-2674","\\imagefiles.bcgov\imagery\scanned_maps\moe_terrain_maps\Scanned_T_maps_all\K17\K17-2674")</f>
        <v>\\imagefiles.bcgov\imagery\scanned_maps\moe_terrain_maps\Scanned_T_maps_all\K17\K17-2674</v>
      </c>
      <c r="S1874" t="s">
        <v>62</v>
      </c>
      <c r="T1874" s="11" t="str">
        <f>HYPERLINK("http://www.env.gov.bc.ca/esd/distdata/ecosystems/TEI_Scanned_Maps/K17/K17-2674","http://www.env.gov.bc.ca/esd/distdata/ecosystems/TEI_Scanned_Maps/K17/K17-2674")</f>
        <v>http://www.env.gov.bc.ca/esd/distdata/ecosystems/TEI_Scanned_Maps/K17/K17-2674</v>
      </c>
      <c r="U1874" t="s">
        <v>58</v>
      </c>
      <c r="V1874" t="s">
        <v>58</v>
      </c>
      <c r="W1874" t="s">
        <v>58</v>
      </c>
      <c r="X1874" t="s">
        <v>58</v>
      </c>
      <c r="Y1874" t="s">
        <v>58</v>
      </c>
      <c r="Z1874" t="s">
        <v>58</v>
      </c>
      <c r="AA1874" t="s">
        <v>58</v>
      </c>
      <c r="AC1874" t="s">
        <v>58</v>
      </c>
      <c r="AE1874" t="s">
        <v>58</v>
      </c>
      <c r="AG1874" t="s">
        <v>63</v>
      </c>
      <c r="AH1874" s="11" t="str">
        <f t="shared" si="142"/>
        <v>mailto: soilterrain@victoria1.gov.bc.ca</v>
      </c>
    </row>
    <row r="1875" spans="1:34">
      <c r="A1875" t="s">
        <v>4316</v>
      </c>
      <c r="B1875" t="s">
        <v>56</v>
      </c>
      <c r="C1875" s="10" t="s">
        <v>987</v>
      </c>
      <c r="D1875" t="s">
        <v>58</v>
      </c>
      <c r="E1875" t="s">
        <v>4176</v>
      </c>
      <c r="F1875" t="s">
        <v>4317</v>
      </c>
      <c r="G1875">
        <v>100000</v>
      </c>
      <c r="H1875">
        <v>1979</v>
      </c>
      <c r="I1875" t="s">
        <v>58</v>
      </c>
      <c r="J1875" t="s">
        <v>58</v>
      </c>
      <c r="K1875" t="s">
        <v>58</v>
      </c>
      <c r="L1875" t="s">
        <v>58</v>
      </c>
      <c r="M1875" t="s">
        <v>58</v>
      </c>
      <c r="O1875" t="s">
        <v>61</v>
      </c>
      <c r="Q1875" t="s">
        <v>58</v>
      </c>
      <c r="R1875" s="11" t="str">
        <f>HYPERLINK("\\imagefiles.bcgov\imagery\scanned_maps\moe_terrain_maps\Scanned_T_maps_all\K17\K17-2679","\\imagefiles.bcgov\imagery\scanned_maps\moe_terrain_maps\Scanned_T_maps_all\K17\K17-2679")</f>
        <v>\\imagefiles.bcgov\imagery\scanned_maps\moe_terrain_maps\Scanned_T_maps_all\K17\K17-2679</v>
      </c>
      <c r="S1875" t="s">
        <v>62</v>
      </c>
      <c r="T1875" s="11" t="str">
        <f>HYPERLINK("http://www.env.gov.bc.ca/esd/distdata/ecosystems/TEI_Scanned_Maps/K17/K17-2679","http://www.env.gov.bc.ca/esd/distdata/ecosystems/TEI_Scanned_Maps/K17/K17-2679")</f>
        <v>http://www.env.gov.bc.ca/esd/distdata/ecosystems/TEI_Scanned_Maps/K17/K17-2679</v>
      </c>
      <c r="U1875" t="s">
        <v>58</v>
      </c>
      <c r="V1875" t="s">
        <v>58</v>
      </c>
      <c r="W1875" t="s">
        <v>58</v>
      </c>
      <c r="X1875" t="s">
        <v>58</v>
      </c>
      <c r="Y1875" t="s">
        <v>58</v>
      </c>
      <c r="Z1875" t="s">
        <v>58</v>
      </c>
      <c r="AA1875" t="s">
        <v>58</v>
      </c>
      <c r="AC1875" t="s">
        <v>58</v>
      </c>
      <c r="AE1875" t="s">
        <v>58</v>
      </c>
      <c r="AG1875" t="s">
        <v>63</v>
      </c>
      <c r="AH1875" s="11" t="str">
        <f t="shared" si="142"/>
        <v>mailto: soilterrain@victoria1.gov.bc.ca</v>
      </c>
    </row>
    <row r="1876" spans="1:34">
      <c r="A1876" t="s">
        <v>4318</v>
      </c>
      <c r="B1876" t="s">
        <v>56</v>
      </c>
      <c r="C1876" s="10" t="s">
        <v>989</v>
      </c>
      <c r="D1876" t="s">
        <v>58</v>
      </c>
      <c r="E1876" t="s">
        <v>4176</v>
      </c>
      <c r="F1876" t="s">
        <v>4229</v>
      </c>
      <c r="G1876">
        <v>126720</v>
      </c>
      <c r="H1876">
        <v>1981</v>
      </c>
      <c r="I1876" t="s">
        <v>58</v>
      </c>
      <c r="J1876" t="s">
        <v>58</v>
      </c>
      <c r="K1876" t="s">
        <v>58</v>
      </c>
      <c r="L1876" t="s">
        <v>58</v>
      </c>
      <c r="M1876" t="s">
        <v>58</v>
      </c>
      <c r="O1876" t="s">
        <v>61</v>
      </c>
      <c r="Q1876" t="s">
        <v>58</v>
      </c>
      <c r="R1876" s="11" t="str">
        <f>HYPERLINK("\\imagefiles.bcgov\imagery\scanned_maps\moe_terrain_maps\Scanned_T_maps_all\K17\K17-2684","\\imagefiles.bcgov\imagery\scanned_maps\moe_terrain_maps\Scanned_T_maps_all\K17\K17-2684")</f>
        <v>\\imagefiles.bcgov\imagery\scanned_maps\moe_terrain_maps\Scanned_T_maps_all\K17\K17-2684</v>
      </c>
      <c r="S1876" t="s">
        <v>62</v>
      </c>
      <c r="T1876" s="11" t="str">
        <f>HYPERLINK("http://www.env.gov.bc.ca/esd/distdata/ecosystems/TEI_Scanned_Maps/K17/K17-2684","http://www.env.gov.bc.ca/esd/distdata/ecosystems/TEI_Scanned_Maps/K17/K17-2684")</f>
        <v>http://www.env.gov.bc.ca/esd/distdata/ecosystems/TEI_Scanned_Maps/K17/K17-2684</v>
      </c>
      <c r="U1876" t="s">
        <v>58</v>
      </c>
      <c r="V1876" t="s">
        <v>58</v>
      </c>
      <c r="W1876" t="s">
        <v>58</v>
      </c>
      <c r="X1876" t="s">
        <v>58</v>
      </c>
      <c r="Y1876" t="s">
        <v>58</v>
      </c>
      <c r="Z1876" t="s">
        <v>58</v>
      </c>
      <c r="AA1876" t="s">
        <v>58</v>
      </c>
      <c r="AC1876" t="s">
        <v>58</v>
      </c>
      <c r="AE1876" t="s">
        <v>58</v>
      </c>
      <c r="AG1876" t="s">
        <v>63</v>
      </c>
      <c r="AH1876" s="11" t="str">
        <f t="shared" si="142"/>
        <v>mailto: soilterrain@victoria1.gov.bc.ca</v>
      </c>
    </row>
    <row r="1877" spans="1:34">
      <c r="A1877" t="s">
        <v>4319</v>
      </c>
      <c r="B1877" t="s">
        <v>56</v>
      </c>
      <c r="C1877" s="10" t="s">
        <v>991</v>
      </c>
      <c r="D1877" t="s">
        <v>58</v>
      </c>
      <c r="E1877" t="s">
        <v>4176</v>
      </c>
      <c r="F1877" t="s">
        <v>4239</v>
      </c>
      <c r="G1877">
        <v>126720</v>
      </c>
      <c r="H1877">
        <v>1980</v>
      </c>
      <c r="I1877" t="s">
        <v>58</v>
      </c>
      <c r="J1877" t="s">
        <v>58</v>
      </c>
      <c r="K1877" t="s">
        <v>58</v>
      </c>
      <c r="L1877" t="s">
        <v>58</v>
      </c>
      <c r="M1877" t="s">
        <v>58</v>
      </c>
      <c r="O1877" t="s">
        <v>61</v>
      </c>
      <c r="Q1877" t="s">
        <v>58</v>
      </c>
      <c r="R1877" s="11" t="str">
        <f>HYPERLINK("\\imagefiles.bcgov\imagery\scanned_maps\moe_terrain_maps\Scanned_T_maps_all\K17\K17-2689","\\imagefiles.bcgov\imagery\scanned_maps\moe_terrain_maps\Scanned_T_maps_all\K17\K17-2689")</f>
        <v>\\imagefiles.bcgov\imagery\scanned_maps\moe_terrain_maps\Scanned_T_maps_all\K17\K17-2689</v>
      </c>
      <c r="S1877" t="s">
        <v>62</v>
      </c>
      <c r="T1877" s="11" t="str">
        <f>HYPERLINK("http://www.env.gov.bc.ca/esd/distdata/ecosystems/TEI_Scanned_Maps/K17/K17-2689","http://www.env.gov.bc.ca/esd/distdata/ecosystems/TEI_Scanned_Maps/K17/K17-2689")</f>
        <v>http://www.env.gov.bc.ca/esd/distdata/ecosystems/TEI_Scanned_Maps/K17/K17-2689</v>
      </c>
      <c r="U1877" t="s">
        <v>58</v>
      </c>
      <c r="V1877" t="s">
        <v>58</v>
      </c>
      <c r="W1877" t="s">
        <v>58</v>
      </c>
      <c r="X1877" t="s">
        <v>58</v>
      </c>
      <c r="Y1877" t="s">
        <v>58</v>
      </c>
      <c r="Z1877" t="s">
        <v>58</v>
      </c>
      <c r="AA1877" t="s">
        <v>58</v>
      </c>
      <c r="AC1877" t="s">
        <v>58</v>
      </c>
      <c r="AE1877" t="s">
        <v>58</v>
      </c>
      <c r="AG1877" t="s">
        <v>63</v>
      </c>
      <c r="AH1877" s="11" t="str">
        <f t="shared" si="142"/>
        <v>mailto: soilterrain@victoria1.gov.bc.ca</v>
      </c>
    </row>
    <row r="1878" spans="1:34">
      <c r="A1878" t="s">
        <v>4320</v>
      </c>
      <c r="B1878" t="s">
        <v>56</v>
      </c>
      <c r="C1878" s="10" t="s">
        <v>993</v>
      </c>
      <c r="D1878" t="s">
        <v>58</v>
      </c>
      <c r="E1878" t="s">
        <v>4176</v>
      </c>
      <c r="F1878" t="s">
        <v>4239</v>
      </c>
      <c r="G1878">
        <v>126720</v>
      </c>
      <c r="H1878">
        <v>1979</v>
      </c>
      <c r="I1878" t="s">
        <v>58</v>
      </c>
      <c r="J1878" t="s">
        <v>58</v>
      </c>
      <c r="K1878" t="s">
        <v>58</v>
      </c>
      <c r="L1878" t="s">
        <v>58</v>
      </c>
      <c r="M1878" t="s">
        <v>58</v>
      </c>
      <c r="O1878" t="s">
        <v>61</v>
      </c>
      <c r="Q1878" t="s">
        <v>58</v>
      </c>
      <c r="R1878" s="11" t="str">
        <f>HYPERLINK("\\imagefiles.bcgov\imagery\scanned_maps\moe_terrain_maps\Scanned_T_maps_all\K17\K17-2722","\\imagefiles.bcgov\imagery\scanned_maps\moe_terrain_maps\Scanned_T_maps_all\K17\K17-2722")</f>
        <v>\\imagefiles.bcgov\imagery\scanned_maps\moe_terrain_maps\Scanned_T_maps_all\K17\K17-2722</v>
      </c>
      <c r="S1878" t="s">
        <v>62</v>
      </c>
      <c r="T1878" s="11" t="str">
        <f>HYPERLINK("http://www.env.gov.bc.ca/esd/distdata/ecosystems/TEI_Scanned_Maps/K17/K17-2722","http://www.env.gov.bc.ca/esd/distdata/ecosystems/TEI_Scanned_Maps/K17/K17-2722")</f>
        <v>http://www.env.gov.bc.ca/esd/distdata/ecosystems/TEI_Scanned_Maps/K17/K17-2722</v>
      </c>
      <c r="U1878" t="s">
        <v>58</v>
      </c>
      <c r="V1878" t="s">
        <v>58</v>
      </c>
      <c r="W1878" t="s">
        <v>58</v>
      </c>
      <c r="X1878" t="s">
        <v>58</v>
      </c>
      <c r="Y1878" t="s">
        <v>58</v>
      </c>
      <c r="Z1878" t="s">
        <v>58</v>
      </c>
      <c r="AA1878" t="s">
        <v>58</v>
      </c>
      <c r="AC1878" t="s">
        <v>58</v>
      </c>
      <c r="AE1878" t="s">
        <v>58</v>
      </c>
      <c r="AG1878" t="s">
        <v>63</v>
      </c>
      <c r="AH1878" s="11" t="str">
        <f t="shared" si="142"/>
        <v>mailto: soilterrain@victoria1.gov.bc.ca</v>
      </c>
    </row>
    <row r="1879" spans="1:34">
      <c r="A1879" t="s">
        <v>4321</v>
      </c>
      <c r="B1879" t="s">
        <v>56</v>
      </c>
      <c r="C1879" s="10" t="s">
        <v>995</v>
      </c>
      <c r="D1879" t="s">
        <v>58</v>
      </c>
      <c r="E1879" t="s">
        <v>4176</v>
      </c>
      <c r="F1879" t="s">
        <v>4239</v>
      </c>
      <c r="G1879">
        <v>126720</v>
      </c>
      <c r="H1879">
        <v>1978</v>
      </c>
      <c r="I1879" t="s">
        <v>58</v>
      </c>
      <c r="J1879" t="s">
        <v>58</v>
      </c>
      <c r="K1879" t="s">
        <v>58</v>
      </c>
      <c r="L1879" t="s">
        <v>58</v>
      </c>
      <c r="M1879" t="s">
        <v>58</v>
      </c>
      <c r="O1879" t="s">
        <v>61</v>
      </c>
      <c r="Q1879" t="s">
        <v>58</v>
      </c>
      <c r="R1879" s="11" t="str">
        <f>HYPERLINK("\\imagefiles.bcgov\imagery\scanned_maps\moe_terrain_maps\Scanned_T_maps_all\K17\K17-2726","\\imagefiles.bcgov\imagery\scanned_maps\moe_terrain_maps\Scanned_T_maps_all\K17\K17-2726")</f>
        <v>\\imagefiles.bcgov\imagery\scanned_maps\moe_terrain_maps\Scanned_T_maps_all\K17\K17-2726</v>
      </c>
      <c r="S1879" t="s">
        <v>62</v>
      </c>
      <c r="T1879" s="11" t="str">
        <f>HYPERLINK("http://www.env.gov.bc.ca/esd/distdata/ecosystems/TEI_Scanned_Maps/K17/K17-2726","http://www.env.gov.bc.ca/esd/distdata/ecosystems/TEI_Scanned_Maps/K17/K17-2726")</f>
        <v>http://www.env.gov.bc.ca/esd/distdata/ecosystems/TEI_Scanned_Maps/K17/K17-2726</v>
      </c>
      <c r="U1879" t="s">
        <v>58</v>
      </c>
      <c r="V1879" t="s">
        <v>58</v>
      </c>
      <c r="W1879" t="s">
        <v>58</v>
      </c>
      <c r="X1879" t="s">
        <v>58</v>
      </c>
      <c r="Y1879" t="s">
        <v>58</v>
      </c>
      <c r="Z1879" t="s">
        <v>58</v>
      </c>
      <c r="AA1879" t="s">
        <v>58</v>
      </c>
      <c r="AC1879" t="s">
        <v>58</v>
      </c>
      <c r="AE1879" t="s">
        <v>58</v>
      </c>
      <c r="AG1879" t="s">
        <v>63</v>
      </c>
      <c r="AH1879" s="11" t="str">
        <f t="shared" si="142"/>
        <v>mailto: soilterrain@victoria1.gov.bc.ca</v>
      </c>
    </row>
    <row r="1880" spans="1:34">
      <c r="A1880" t="s">
        <v>4322</v>
      </c>
      <c r="B1880" t="s">
        <v>56</v>
      </c>
      <c r="C1880" s="10" t="s">
        <v>997</v>
      </c>
      <c r="D1880" t="s">
        <v>58</v>
      </c>
      <c r="E1880" t="s">
        <v>4176</v>
      </c>
      <c r="F1880" t="s">
        <v>4323</v>
      </c>
      <c r="G1880">
        <v>100000</v>
      </c>
      <c r="H1880">
        <v>1980</v>
      </c>
      <c r="I1880" t="s">
        <v>58</v>
      </c>
      <c r="J1880" t="s">
        <v>58</v>
      </c>
      <c r="K1880" t="s">
        <v>58</v>
      </c>
      <c r="L1880" t="s">
        <v>58</v>
      </c>
      <c r="M1880" t="s">
        <v>58</v>
      </c>
      <c r="O1880" t="s">
        <v>61</v>
      </c>
      <c r="Q1880" t="s">
        <v>58</v>
      </c>
      <c r="R1880" s="11" t="str">
        <f>HYPERLINK("\\imagefiles.bcgov\imagery\scanned_maps\moe_terrain_maps\Scanned_T_maps_all\K17\K17-2729","\\imagefiles.bcgov\imagery\scanned_maps\moe_terrain_maps\Scanned_T_maps_all\K17\K17-2729")</f>
        <v>\\imagefiles.bcgov\imagery\scanned_maps\moe_terrain_maps\Scanned_T_maps_all\K17\K17-2729</v>
      </c>
      <c r="S1880" t="s">
        <v>62</v>
      </c>
      <c r="T1880" s="11" t="str">
        <f>HYPERLINK("http://www.env.gov.bc.ca/esd/distdata/ecosystems/TEI_Scanned_Maps/K17/K17-2729","http://www.env.gov.bc.ca/esd/distdata/ecosystems/TEI_Scanned_Maps/K17/K17-2729")</f>
        <v>http://www.env.gov.bc.ca/esd/distdata/ecosystems/TEI_Scanned_Maps/K17/K17-2729</v>
      </c>
      <c r="U1880" t="s">
        <v>58</v>
      </c>
      <c r="V1880" t="s">
        <v>58</v>
      </c>
      <c r="W1880" t="s">
        <v>58</v>
      </c>
      <c r="X1880" t="s">
        <v>58</v>
      </c>
      <c r="Y1880" t="s">
        <v>58</v>
      </c>
      <c r="Z1880" t="s">
        <v>58</v>
      </c>
      <c r="AA1880" t="s">
        <v>58</v>
      </c>
      <c r="AC1880" t="s">
        <v>58</v>
      </c>
      <c r="AE1880" t="s">
        <v>58</v>
      </c>
      <c r="AG1880" t="s">
        <v>63</v>
      </c>
      <c r="AH1880" s="11" t="str">
        <f t="shared" si="142"/>
        <v>mailto: soilterrain@victoria1.gov.bc.ca</v>
      </c>
    </row>
    <row r="1881" spans="1:34">
      <c r="A1881" t="s">
        <v>4324</v>
      </c>
      <c r="B1881" t="s">
        <v>56</v>
      </c>
      <c r="C1881" s="10" t="s">
        <v>999</v>
      </c>
      <c r="D1881" t="s">
        <v>58</v>
      </c>
      <c r="E1881" t="s">
        <v>4176</v>
      </c>
      <c r="F1881" t="s">
        <v>4325</v>
      </c>
      <c r="G1881">
        <v>100000</v>
      </c>
      <c r="H1881">
        <v>1979</v>
      </c>
      <c r="I1881" t="s">
        <v>58</v>
      </c>
      <c r="J1881" t="s">
        <v>58</v>
      </c>
      <c r="K1881" t="s">
        <v>58</v>
      </c>
      <c r="L1881" t="s">
        <v>58</v>
      </c>
      <c r="M1881" t="s">
        <v>58</v>
      </c>
      <c r="O1881" t="s">
        <v>61</v>
      </c>
      <c r="Q1881" t="s">
        <v>58</v>
      </c>
      <c r="R1881" s="11" t="str">
        <f>HYPERLINK("\\imagefiles.bcgov\imagery\scanned_maps\moe_terrain_maps\Scanned_T_maps_all\K17\K17-2734","\\imagefiles.bcgov\imagery\scanned_maps\moe_terrain_maps\Scanned_T_maps_all\K17\K17-2734")</f>
        <v>\\imagefiles.bcgov\imagery\scanned_maps\moe_terrain_maps\Scanned_T_maps_all\K17\K17-2734</v>
      </c>
      <c r="S1881" t="s">
        <v>62</v>
      </c>
      <c r="T1881" s="11" t="str">
        <f>HYPERLINK("http://www.env.gov.bc.ca/esd/distdata/ecosystems/TEI_Scanned_Maps/K17/K17-2734","http://www.env.gov.bc.ca/esd/distdata/ecosystems/TEI_Scanned_Maps/K17/K17-2734")</f>
        <v>http://www.env.gov.bc.ca/esd/distdata/ecosystems/TEI_Scanned_Maps/K17/K17-2734</v>
      </c>
      <c r="U1881" t="s">
        <v>58</v>
      </c>
      <c r="V1881" t="s">
        <v>58</v>
      </c>
      <c r="W1881" t="s">
        <v>58</v>
      </c>
      <c r="X1881" t="s">
        <v>58</v>
      </c>
      <c r="Y1881" t="s">
        <v>58</v>
      </c>
      <c r="Z1881" t="s">
        <v>58</v>
      </c>
      <c r="AA1881" t="s">
        <v>58</v>
      </c>
      <c r="AC1881" t="s">
        <v>58</v>
      </c>
      <c r="AE1881" t="s">
        <v>58</v>
      </c>
      <c r="AG1881" t="s">
        <v>63</v>
      </c>
      <c r="AH1881" s="11" t="str">
        <f t="shared" si="142"/>
        <v>mailto: soilterrain@victoria1.gov.bc.ca</v>
      </c>
    </row>
    <row r="1882" spans="1:34">
      <c r="A1882" t="s">
        <v>4326</v>
      </c>
      <c r="B1882" t="s">
        <v>56</v>
      </c>
      <c r="C1882" s="10" t="s">
        <v>1001</v>
      </c>
      <c r="D1882" t="s">
        <v>58</v>
      </c>
      <c r="E1882" t="s">
        <v>4176</v>
      </c>
      <c r="F1882" t="s">
        <v>4239</v>
      </c>
      <c r="G1882">
        <v>126720</v>
      </c>
      <c r="H1882">
        <v>1978</v>
      </c>
      <c r="I1882" t="s">
        <v>58</v>
      </c>
      <c r="J1882" t="s">
        <v>58</v>
      </c>
      <c r="K1882" t="s">
        <v>58</v>
      </c>
      <c r="L1882" t="s">
        <v>58</v>
      </c>
      <c r="M1882" t="s">
        <v>58</v>
      </c>
      <c r="O1882" t="s">
        <v>61</v>
      </c>
      <c r="Q1882" t="s">
        <v>58</v>
      </c>
      <c r="R1882" s="11" t="str">
        <f>HYPERLINK("\\imagefiles.bcgov\imagery\scanned_maps\moe_terrain_maps\Scanned_T_maps_all\K17\K17-2756","\\imagefiles.bcgov\imagery\scanned_maps\moe_terrain_maps\Scanned_T_maps_all\K17\K17-2756")</f>
        <v>\\imagefiles.bcgov\imagery\scanned_maps\moe_terrain_maps\Scanned_T_maps_all\K17\K17-2756</v>
      </c>
      <c r="S1882" t="s">
        <v>62</v>
      </c>
      <c r="T1882" s="11" t="str">
        <f>HYPERLINK("http://www.env.gov.bc.ca/esd/distdata/ecosystems/TEI_Scanned_Maps/K17/K17-2756","http://www.env.gov.bc.ca/esd/distdata/ecosystems/TEI_Scanned_Maps/K17/K17-2756")</f>
        <v>http://www.env.gov.bc.ca/esd/distdata/ecosystems/TEI_Scanned_Maps/K17/K17-2756</v>
      </c>
      <c r="U1882" t="s">
        <v>58</v>
      </c>
      <c r="V1882" t="s">
        <v>58</v>
      </c>
      <c r="W1882" t="s">
        <v>58</v>
      </c>
      <c r="X1882" t="s">
        <v>58</v>
      </c>
      <c r="Y1882" t="s">
        <v>58</v>
      </c>
      <c r="Z1882" t="s">
        <v>58</v>
      </c>
      <c r="AA1882" t="s">
        <v>58</v>
      </c>
      <c r="AC1882" t="s">
        <v>58</v>
      </c>
      <c r="AE1882" t="s">
        <v>58</v>
      </c>
      <c r="AG1882" t="s">
        <v>63</v>
      </c>
      <c r="AH1882" s="11" t="str">
        <f t="shared" si="142"/>
        <v>mailto: soilterrain@victoria1.gov.bc.ca</v>
      </c>
    </row>
    <row r="1883" spans="1:34">
      <c r="A1883" t="s">
        <v>4327</v>
      </c>
      <c r="B1883" t="s">
        <v>56</v>
      </c>
      <c r="C1883" s="10" t="s">
        <v>1003</v>
      </c>
      <c r="D1883" t="s">
        <v>58</v>
      </c>
      <c r="E1883" t="s">
        <v>4176</v>
      </c>
      <c r="F1883" t="s">
        <v>4229</v>
      </c>
      <c r="G1883">
        <v>100000</v>
      </c>
      <c r="H1883">
        <v>1978</v>
      </c>
      <c r="I1883" t="s">
        <v>58</v>
      </c>
      <c r="J1883" t="s">
        <v>58</v>
      </c>
      <c r="K1883" t="s">
        <v>58</v>
      </c>
      <c r="L1883" t="s">
        <v>58</v>
      </c>
      <c r="M1883" t="s">
        <v>58</v>
      </c>
      <c r="O1883" t="s">
        <v>61</v>
      </c>
      <c r="Q1883" t="s">
        <v>58</v>
      </c>
      <c r="R1883" s="11" t="str">
        <f>HYPERLINK("\\imagefiles.bcgov\imagery\scanned_maps\moe_terrain_maps\Scanned_T_maps_all\K17\K17-2761","\\imagefiles.bcgov\imagery\scanned_maps\moe_terrain_maps\Scanned_T_maps_all\K17\K17-2761")</f>
        <v>\\imagefiles.bcgov\imagery\scanned_maps\moe_terrain_maps\Scanned_T_maps_all\K17\K17-2761</v>
      </c>
      <c r="S1883" t="s">
        <v>62</v>
      </c>
      <c r="T1883" s="11" t="str">
        <f>HYPERLINK("http://www.env.gov.bc.ca/esd/distdata/ecosystems/TEI_Scanned_Maps/K17/K17-2761","http://www.env.gov.bc.ca/esd/distdata/ecosystems/TEI_Scanned_Maps/K17/K17-2761")</f>
        <v>http://www.env.gov.bc.ca/esd/distdata/ecosystems/TEI_Scanned_Maps/K17/K17-2761</v>
      </c>
      <c r="U1883" t="s">
        <v>58</v>
      </c>
      <c r="V1883" t="s">
        <v>58</v>
      </c>
      <c r="W1883" t="s">
        <v>58</v>
      </c>
      <c r="X1883" t="s">
        <v>58</v>
      </c>
      <c r="Y1883" t="s">
        <v>58</v>
      </c>
      <c r="Z1883" t="s">
        <v>58</v>
      </c>
      <c r="AA1883" t="s">
        <v>58</v>
      </c>
      <c r="AC1883" t="s">
        <v>58</v>
      </c>
      <c r="AE1883" t="s">
        <v>58</v>
      </c>
      <c r="AG1883" t="s">
        <v>63</v>
      </c>
      <c r="AH1883" s="11" t="str">
        <f t="shared" si="142"/>
        <v>mailto: soilterrain@victoria1.gov.bc.ca</v>
      </c>
    </row>
    <row r="1884" spans="1:34">
      <c r="A1884" t="s">
        <v>4328</v>
      </c>
      <c r="B1884" t="s">
        <v>56</v>
      </c>
      <c r="C1884" s="10" t="s">
        <v>1003</v>
      </c>
      <c r="D1884" t="s">
        <v>58</v>
      </c>
      <c r="E1884" t="s">
        <v>4176</v>
      </c>
      <c r="F1884" t="s">
        <v>4329</v>
      </c>
      <c r="G1884">
        <v>100000</v>
      </c>
      <c r="H1884">
        <v>1978</v>
      </c>
      <c r="I1884" t="s">
        <v>58</v>
      </c>
      <c r="J1884" t="s">
        <v>58</v>
      </c>
      <c r="K1884" t="s">
        <v>58</v>
      </c>
      <c r="L1884" t="s">
        <v>58</v>
      </c>
      <c r="M1884" t="s">
        <v>58</v>
      </c>
      <c r="O1884" t="s">
        <v>61</v>
      </c>
      <c r="Q1884" t="s">
        <v>58</v>
      </c>
      <c r="R1884" s="11" t="str">
        <f>HYPERLINK("\\imagefiles.bcgov\imagery\scanned_maps\moe_terrain_maps\Scanned_T_maps_all\K17\K17-2762","\\imagefiles.bcgov\imagery\scanned_maps\moe_terrain_maps\Scanned_T_maps_all\K17\K17-2762")</f>
        <v>\\imagefiles.bcgov\imagery\scanned_maps\moe_terrain_maps\Scanned_T_maps_all\K17\K17-2762</v>
      </c>
      <c r="S1884" t="s">
        <v>62</v>
      </c>
      <c r="T1884" s="11" t="str">
        <f>HYPERLINK("http://www.env.gov.bc.ca/esd/distdata/ecosystems/TEI_Scanned_Maps/K17/K17-2762","http://www.env.gov.bc.ca/esd/distdata/ecosystems/TEI_Scanned_Maps/K17/K17-2762")</f>
        <v>http://www.env.gov.bc.ca/esd/distdata/ecosystems/TEI_Scanned_Maps/K17/K17-2762</v>
      </c>
      <c r="U1884" t="s">
        <v>58</v>
      </c>
      <c r="V1884" t="s">
        <v>58</v>
      </c>
      <c r="W1884" t="s">
        <v>58</v>
      </c>
      <c r="X1884" t="s">
        <v>58</v>
      </c>
      <c r="Y1884" t="s">
        <v>58</v>
      </c>
      <c r="Z1884" t="s">
        <v>58</v>
      </c>
      <c r="AA1884" t="s">
        <v>58</v>
      </c>
      <c r="AC1884" t="s">
        <v>58</v>
      </c>
      <c r="AE1884" t="s">
        <v>58</v>
      </c>
      <c r="AG1884" t="s">
        <v>63</v>
      </c>
      <c r="AH1884" s="11" t="str">
        <f t="shared" si="142"/>
        <v>mailto: soilterrain@victoria1.gov.bc.ca</v>
      </c>
    </row>
    <row r="1885" spans="1:34">
      <c r="A1885" t="s">
        <v>4330</v>
      </c>
      <c r="B1885" t="s">
        <v>56</v>
      </c>
      <c r="C1885" s="10" t="s">
        <v>1005</v>
      </c>
      <c r="D1885" t="s">
        <v>58</v>
      </c>
      <c r="E1885" t="s">
        <v>4176</v>
      </c>
      <c r="F1885" t="s">
        <v>4239</v>
      </c>
      <c r="G1885">
        <v>0</v>
      </c>
      <c r="H1885">
        <v>1978</v>
      </c>
      <c r="I1885" t="s">
        <v>58</v>
      </c>
      <c r="J1885" t="s">
        <v>58</v>
      </c>
      <c r="K1885" t="s">
        <v>58</v>
      </c>
      <c r="L1885" t="s">
        <v>58</v>
      </c>
      <c r="M1885" t="s">
        <v>58</v>
      </c>
      <c r="O1885" t="s">
        <v>61</v>
      </c>
      <c r="Q1885" t="s">
        <v>58</v>
      </c>
      <c r="R1885" s="11" t="str">
        <f>HYPERLINK("\\imagefiles.bcgov\imagery\scanned_maps\moe_terrain_maps\Scanned_T_maps_all\K17\K17-2789","\\imagefiles.bcgov\imagery\scanned_maps\moe_terrain_maps\Scanned_T_maps_all\K17\K17-2789")</f>
        <v>\\imagefiles.bcgov\imagery\scanned_maps\moe_terrain_maps\Scanned_T_maps_all\K17\K17-2789</v>
      </c>
      <c r="S1885" t="s">
        <v>62</v>
      </c>
      <c r="T1885" s="11" t="str">
        <f>HYPERLINK("http://www.env.gov.bc.ca/esd/distdata/ecosystems/TEI_Scanned_Maps/K17/K17-2789","http://www.env.gov.bc.ca/esd/distdata/ecosystems/TEI_Scanned_Maps/K17/K17-2789")</f>
        <v>http://www.env.gov.bc.ca/esd/distdata/ecosystems/TEI_Scanned_Maps/K17/K17-2789</v>
      </c>
      <c r="U1885" t="s">
        <v>58</v>
      </c>
      <c r="V1885" t="s">
        <v>58</v>
      </c>
      <c r="W1885" t="s">
        <v>58</v>
      </c>
      <c r="X1885" t="s">
        <v>58</v>
      </c>
      <c r="Y1885" t="s">
        <v>58</v>
      </c>
      <c r="Z1885" t="s">
        <v>58</v>
      </c>
      <c r="AA1885" t="s">
        <v>58</v>
      </c>
      <c r="AC1885" t="s">
        <v>58</v>
      </c>
      <c r="AE1885" t="s">
        <v>58</v>
      </c>
      <c r="AG1885" t="s">
        <v>63</v>
      </c>
      <c r="AH1885" s="11" t="str">
        <f t="shared" si="142"/>
        <v>mailto: soilterrain@victoria1.gov.bc.ca</v>
      </c>
    </row>
    <row r="1886" spans="1:34">
      <c r="A1886" t="s">
        <v>4331</v>
      </c>
      <c r="B1886" t="s">
        <v>56</v>
      </c>
      <c r="C1886" s="10" t="s">
        <v>4332</v>
      </c>
      <c r="D1886" t="s">
        <v>58</v>
      </c>
      <c r="E1886" t="s">
        <v>4176</v>
      </c>
      <c r="F1886" t="s">
        <v>4333</v>
      </c>
      <c r="G1886">
        <v>126720</v>
      </c>
      <c r="H1886">
        <v>1978</v>
      </c>
      <c r="I1886" t="s">
        <v>58</v>
      </c>
      <c r="J1886" t="s">
        <v>58</v>
      </c>
      <c r="K1886" t="s">
        <v>58</v>
      </c>
      <c r="L1886" t="s">
        <v>58</v>
      </c>
      <c r="M1886" t="s">
        <v>58</v>
      </c>
      <c r="O1886" t="s">
        <v>61</v>
      </c>
      <c r="Q1886" t="s">
        <v>58</v>
      </c>
      <c r="R1886" s="11" t="str">
        <f>HYPERLINK("\\imagefiles.bcgov\imagery\scanned_maps\moe_terrain_maps\Scanned_T_maps_all\K17\K17-361","\\imagefiles.bcgov\imagery\scanned_maps\moe_terrain_maps\Scanned_T_maps_all\K17\K17-361")</f>
        <v>\\imagefiles.bcgov\imagery\scanned_maps\moe_terrain_maps\Scanned_T_maps_all\K17\K17-361</v>
      </c>
      <c r="S1886" t="s">
        <v>62</v>
      </c>
      <c r="T1886" s="11" t="str">
        <f>HYPERLINK("http://www.env.gov.bc.ca/esd/distdata/ecosystems/TEI_Scanned_Maps/K17/K17-361","http://www.env.gov.bc.ca/esd/distdata/ecosystems/TEI_Scanned_Maps/K17/K17-361")</f>
        <v>http://www.env.gov.bc.ca/esd/distdata/ecosystems/TEI_Scanned_Maps/K17/K17-361</v>
      </c>
      <c r="U1886" t="s">
        <v>58</v>
      </c>
      <c r="V1886" t="s">
        <v>58</v>
      </c>
      <c r="W1886" t="s">
        <v>58</v>
      </c>
      <c r="X1886" t="s">
        <v>58</v>
      </c>
      <c r="Y1886" t="s">
        <v>58</v>
      </c>
      <c r="Z1886" t="s">
        <v>58</v>
      </c>
      <c r="AA1886" t="s">
        <v>58</v>
      </c>
      <c r="AC1886" t="s">
        <v>58</v>
      </c>
      <c r="AE1886" t="s">
        <v>58</v>
      </c>
      <c r="AG1886" t="s">
        <v>63</v>
      </c>
      <c r="AH1886" s="11" t="str">
        <f t="shared" si="142"/>
        <v>mailto: soilterrain@victoria1.gov.bc.ca</v>
      </c>
    </row>
    <row r="1887" spans="1:34">
      <c r="A1887" t="s">
        <v>4334</v>
      </c>
      <c r="B1887" t="s">
        <v>56</v>
      </c>
      <c r="C1887" s="10" t="s">
        <v>2009</v>
      </c>
      <c r="D1887" t="s">
        <v>58</v>
      </c>
      <c r="E1887" t="s">
        <v>4176</v>
      </c>
      <c r="F1887" t="s">
        <v>4335</v>
      </c>
      <c r="G1887">
        <v>100000</v>
      </c>
      <c r="H1887">
        <v>1978</v>
      </c>
      <c r="I1887" t="s">
        <v>58</v>
      </c>
      <c r="J1887" t="s">
        <v>58</v>
      </c>
      <c r="K1887" t="s">
        <v>58</v>
      </c>
      <c r="L1887" t="s">
        <v>58</v>
      </c>
      <c r="M1887" t="s">
        <v>58</v>
      </c>
      <c r="O1887" t="s">
        <v>61</v>
      </c>
      <c r="Q1887" t="s">
        <v>58</v>
      </c>
      <c r="R1887" s="11" t="str">
        <f>HYPERLINK("\\imagefiles.bcgov\imagery\scanned_maps\moe_terrain_maps\Scanned_T_maps_all\K17\K17-364","\\imagefiles.bcgov\imagery\scanned_maps\moe_terrain_maps\Scanned_T_maps_all\K17\K17-364")</f>
        <v>\\imagefiles.bcgov\imagery\scanned_maps\moe_terrain_maps\Scanned_T_maps_all\K17\K17-364</v>
      </c>
      <c r="S1887" t="s">
        <v>62</v>
      </c>
      <c r="T1887" s="11" t="str">
        <f>HYPERLINK("http://www.env.gov.bc.ca/esd/distdata/ecosystems/TEI_Scanned_Maps/K17/K17-364","http://www.env.gov.bc.ca/esd/distdata/ecosystems/TEI_Scanned_Maps/K17/K17-364")</f>
        <v>http://www.env.gov.bc.ca/esd/distdata/ecosystems/TEI_Scanned_Maps/K17/K17-364</v>
      </c>
      <c r="U1887" t="s">
        <v>58</v>
      </c>
      <c r="V1887" t="s">
        <v>58</v>
      </c>
      <c r="W1887" t="s">
        <v>58</v>
      </c>
      <c r="X1887" t="s">
        <v>58</v>
      </c>
      <c r="Y1887" t="s">
        <v>58</v>
      </c>
      <c r="Z1887" t="s">
        <v>58</v>
      </c>
      <c r="AA1887" t="s">
        <v>58</v>
      </c>
      <c r="AC1887" t="s">
        <v>58</v>
      </c>
      <c r="AE1887" t="s">
        <v>58</v>
      </c>
      <c r="AG1887" t="s">
        <v>63</v>
      </c>
      <c r="AH1887" s="11" t="str">
        <f t="shared" si="142"/>
        <v>mailto: soilterrain@victoria1.gov.bc.ca</v>
      </c>
    </row>
    <row r="1888" spans="1:34">
      <c r="A1888" t="s">
        <v>4336</v>
      </c>
      <c r="B1888" t="s">
        <v>56</v>
      </c>
      <c r="C1888" s="10" t="s">
        <v>2012</v>
      </c>
      <c r="D1888" t="s">
        <v>58</v>
      </c>
      <c r="E1888" t="s">
        <v>4176</v>
      </c>
      <c r="F1888" t="s">
        <v>4337</v>
      </c>
      <c r="G1888">
        <v>126720</v>
      </c>
      <c r="H1888">
        <v>1978</v>
      </c>
      <c r="I1888" t="s">
        <v>58</v>
      </c>
      <c r="J1888" t="s">
        <v>58</v>
      </c>
      <c r="K1888" t="s">
        <v>58</v>
      </c>
      <c r="L1888" t="s">
        <v>58</v>
      </c>
      <c r="M1888" t="s">
        <v>58</v>
      </c>
      <c r="O1888" t="s">
        <v>61</v>
      </c>
      <c r="Q1888" t="s">
        <v>58</v>
      </c>
      <c r="R1888" s="11" t="str">
        <f>HYPERLINK("\\imagefiles.bcgov\imagery\scanned_maps\moe_terrain_maps\Scanned_T_maps_all\K17\K17-368","\\imagefiles.bcgov\imagery\scanned_maps\moe_terrain_maps\Scanned_T_maps_all\K17\K17-368")</f>
        <v>\\imagefiles.bcgov\imagery\scanned_maps\moe_terrain_maps\Scanned_T_maps_all\K17\K17-368</v>
      </c>
      <c r="S1888" t="s">
        <v>62</v>
      </c>
      <c r="T1888" s="11" t="str">
        <f>HYPERLINK("http://www.env.gov.bc.ca/esd/distdata/ecosystems/TEI_Scanned_Maps/K17/K17-368","http://www.env.gov.bc.ca/esd/distdata/ecosystems/TEI_Scanned_Maps/K17/K17-368")</f>
        <v>http://www.env.gov.bc.ca/esd/distdata/ecosystems/TEI_Scanned_Maps/K17/K17-368</v>
      </c>
      <c r="U1888" t="s">
        <v>58</v>
      </c>
      <c r="V1888" t="s">
        <v>58</v>
      </c>
      <c r="W1888" t="s">
        <v>58</v>
      </c>
      <c r="X1888" t="s">
        <v>58</v>
      </c>
      <c r="Y1888" t="s">
        <v>58</v>
      </c>
      <c r="Z1888" t="s">
        <v>58</v>
      </c>
      <c r="AA1888" t="s">
        <v>58</v>
      </c>
      <c r="AC1888" t="s">
        <v>58</v>
      </c>
      <c r="AE1888" t="s">
        <v>58</v>
      </c>
      <c r="AG1888" t="s">
        <v>63</v>
      </c>
      <c r="AH1888" s="11" t="str">
        <f t="shared" si="142"/>
        <v>mailto: soilterrain@victoria1.gov.bc.ca</v>
      </c>
    </row>
    <row r="1889" spans="1:34">
      <c r="A1889" t="s">
        <v>4338</v>
      </c>
      <c r="B1889" t="s">
        <v>56</v>
      </c>
      <c r="C1889" s="10" t="s">
        <v>2015</v>
      </c>
      <c r="D1889" t="s">
        <v>58</v>
      </c>
      <c r="E1889" t="s">
        <v>4176</v>
      </c>
      <c r="F1889" t="s">
        <v>4339</v>
      </c>
      <c r="G1889">
        <v>100000</v>
      </c>
      <c r="H1889">
        <v>1978</v>
      </c>
      <c r="I1889" t="s">
        <v>58</v>
      </c>
      <c r="J1889" t="s">
        <v>58</v>
      </c>
      <c r="K1889" t="s">
        <v>58</v>
      </c>
      <c r="L1889" t="s">
        <v>58</v>
      </c>
      <c r="M1889" t="s">
        <v>58</v>
      </c>
      <c r="O1889" t="s">
        <v>61</v>
      </c>
      <c r="Q1889" t="s">
        <v>58</v>
      </c>
      <c r="R1889" s="11" t="str">
        <f>HYPERLINK("\\imagefiles.bcgov\imagery\scanned_maps\moe_terrain_maps\Scanned_T_maps_all\K17\K17-371","\\imagefiles.bcgov\imagery\scanned_maps\moe_terrain_maps\Scanned_T_maps_all\K17\K17-371")</f>
        <v>\\imagefiles.bcgov\imagery\scanned_maps\moe_terrain_maps\Scanned_T_maps_all\K17\K17-371</v>
      </c>
      <c r="S1889" t="s">
        <v>62</v>
      </c>
      <c r="T1889" s="11" t="str">
        <f>HYPERLINK("http://www.env.gov.bc.ca/esd/distdata/ecosystems/TEI_Scanned_Maps/K17/K17-371","http://www.env.gov.bc.ca/esd/distdata/ecosystems/TEI_Scanned_Maps/K17/K17-371")</f>
        <v>http://www.env.gov.bc.ca/esd/distdata/ecosystems/TEI_Scanned_Maps/K17/K17-371</v>
      </c>
      <c r="U1889" t="s">
        <v>58</v>
      </c>
      <c r="V1889" t="s">
        <v>58</v>
      </c>
      <c r="W1889" t="s">
        <v>58</v>
      </c>
      <c r="X1889" t="s">
        <v>58</v>
      </c>
      <c r="Y1889" t="s">
        <v>58</v>
      </c>
      <c r="Z1889" t="s">
        <v>58</v>
      </c>
      <c r="AA1889" t="s">
        <v>58</v>
      </c>
      <c r="AC1889" t="s">
        <v>58</v>
      </c>
      <c r="AE1889" t="s">
        <v>58</v>
      </c>
      <c r="AG1889" t="s">
        <v>63</v>
      </c>
      <c r="AH1889" s="11" t="str">
        <f t="shared" si="142"/>
        <v>mailto: soilterrain@victoria1.gov.bc.ca</v>
      </c>
    </row>
    <row r="1890" spans="1:34">
      <c r="A1890" t="s">
        <v>4340</v>
      </c>
      <c r="B1890" t="s">
        <v>56</v>
      </c>
      <c r="C1890" s="10" t="s">
        <v>4341</v>
      </c>
      <c r="D1890" t="s">
        <v>58</v>
      </c>
      <c r="E1890" t="s">
        <v>4176</v>
      </c>
      <c r="F1890" t="s">
        <v>4342</v>
      </c>
      <c r="G1890">
        <v>100000</v>
      </c>
      <c r="H1890">
        <v>1978</v>
      </c>
      <c r="I1890" t="s">
        <v>58</v>
      </c>
      <c r="J1890" t="s">
        <v>58</v>
      </c>
      <c r="K1890" t="s">
        <v>58</v>
      </c>
      <c r="L1890" t="s">
        <v>58</v>
      </c>
      <c r="M1890" t="s">
        <v>58</v>
      </c>
      <c r="O1890" t="s">
        <v>61</v>
      </c>
      <c r="Q1890" t="s">
        <v>58</v>
      </c>
      <c r="R1890" s="11" t="str">
        <f>HYPERLINK("\\imagefiles.bcgov\imagery\scanned_maps\moe_terrain_maps\Scanned_T_maps_all\K17\K17-38","\\imagefiles.bcgov\imagery\scanned_maps\moe_terrain_maps\Scanned_T_maps_all\K17\K17-38")</f>
        <v>\\imagefiles.bcgov\imagery\scanned_maps\moe_terrain_maps\Scanned_T_maps_all\K17\K17-38</v>
      </c>
      <c r="S1890" t="s">
        <v>62</v>
      </c>
      <c r="T1890" s="11" t="str">
        <f>HYPERLINK("http://www.env.gov.bc.ca/esd/distdata/ecosystems/TEI_Scanned_Maps/K17/K17-38","http://www.env.gov.bc.ca/esd/distdata/ecosystems/TEI_Scanned_Maps/K17/K17-38")</f>
        <v>http://www.env.gov.bc.ca/esd/distdata/ecosystems/TEI_Scanned_Maps/K17/K17-38</v>
      </c>
      <c r="U1890" t="s">
        <v>58</v>
      </c>
      <c r="V1890" t="s">
        <v>58</v>
      </c>
      <c r="W1890" t="s">
        <v>58</v>
      </c>
      <c r="X1890" t="s">
        <v>58</v>
      </c>
      <c r="Y1890" t="s">
        <v>58</v>
      </c>
      <c r="Z1890" t="s">
        <v>58</v>
      </c>
      <c r="AA1890" t="s">
        <v>58</v>
      </c>
      <c r="AC1890" t="s">
        <v>58</v>
      </c>
      <c r="AE1890" t="s">
        <v>58</v>
      </c>
      <c r="AG1890" t="s">
        <v>63</v>
      </c>
      <c r="AH1890" s="11" t="str">
        <f t="shared" si="142"/>
        <v>mailto: soilterrain@victoria1.gov.bc.ca</v>
      </c>
    </row>
    <row r="1891" spans="1:34">
      <c r="A1891" t="s">
        <v>4343</v>
      </c>
      <c r="B1891" t="s">
        <v>56</v>
      </c>
      <c r="C1891" s="10" t="s">
        <v>2057</v>
      </c>
      <c r="D1891" t="s">
        <v>58</v>
      </c>
      <c r="E1891" t="s">
        <v>4176</v>
      </c>
      <c r="F1891" t="s">
        <v>4344</v>
      </c>
      <c r="G1891">
        <v>126720</v>
      </c>
      <c r="H1891">
        <v>1978</v>
      </c>
      <c r="I1891" t="s">
        <v>58</v>
      </c>
      <c r="J1891" t="s">
        <v>58</v>
      </c>
      <c r="K1891" t="s">
        <v>58</v>
      </c>
      <c r="L1891" t="s">
        <v>58</v>
      </c>
      <c r="M1891" t="s">
        <v>58</v>
      </c>
      <c r="O1891" t="s">
        <v>61</v>
      </c>
      <c r="Q1891" t="s">
        <v>58</v>
      </c>
      <c r="R1891" s="11" t="str">
        <f>HYPERLINK("\\imagefiles.bcgov\imagery\scanned_maps\moe_terrain_maps\Scanned_T_maps_all\K17\K17-447","\\imagefiles.bcgov\imagery\scanned_maps\moe_terrain_maps\Scanned_T_maps_all\K17\K17-447")</f>
        <v>\\imagefiles.bcgov\imagery\scanned_maps\moe_terrain_maps\Scanned_T_maps_all\K17\K17-447</v>
      </c>
      <c r="S1891" t="s">
        <v>62</v>
      </c>
      <c r="T1891" s="11" t="str">
        <f>HYPERLINK("http://www.env.gov.bc.ca/esd/distdata/ecosystems/TEI_Scanned_Maps/K17/K17-447","http://www.env.gov.bc.ca/esd/distdata/ecosystems/TEI_Scanned_Maps/K17/K17-447")</f>
        <v>http://www.env.gov.bc.ca/esd/distdata/ecosystems/TEI_Scanned_Maps/K17/K17-447</v>
      </c>
      <c r="U1891" t="s">
        <v>58</v>
      </c>
      <c r="V1891" t="s">
        <v>58</v>
      </c>
      <c r="W1891" t="s">
        <v>58</v>
      </c>
      <c r="X1891" t="s">
        <v>58</v>
      </c>
      <c r="Y1891" t="s">
        <v>58</v>
      </c>
      <c r="Z1891" t="s">
        <v>58</v>
      </c>
      <c r="AA1891" t="s">
        <v>58</v>
      </c>
      <c r="AC1891" t="s">
        <v>58</v>
      </c>
      <c r="AE1891" t="s">
        <v>58</v>
      </c>
      <c r="AG1891" t="s">
        <v>63</v>
      </c>
      <c r="AH1891" s="11" t="str">
        <f t="shared" si="142"/>
        <v>mailto: soilterrain@victoria1.gov.bc.ca</v>
      </c>
    </row>
    <row r="1892" spans="1:34">
      <c r="A1892" t="s">
        <v>4345</v>
      </c>
      <c r="B1892" t="s">
        <v>56</v>
      </c>
      <c r="C1892" s="10" t="s">
        <v>2483</v>
      </c>
      <c r="D1892" t="s">
        <v>58</v>
      </c>
      <c r="E1892" t="s">
        <v>4176</v>
      </c>
      <c r="F1892" t="s">
        <v>4346</v>
      </c>
      <c r="G1892">
        <v>126720</v>
      </c>
      <c r="H1892">
        <v>1978</v>
      </c>
      <c r="I1892" t="s">
        <v>58</v>
      </c>
      <c r="J1892" t="s">
        <v>58</v>
      </c>
      <c r="K1892" t="s">
        <v>58</v>
      </c>
      <c r="L1892" t="s">
        <v>58</v>
      </c>
      <c r="M1892" t="s">
        <v>58</v>
      </c>
      <c r="O1892" t="s">
        <v>61</v>
      </c>
      <c r="Q1892" t="s">
        <v>58</v>
      </c>
      <c r="R1892" s="11" t="str">
        <f>HYPERLINK("\\imagefiles.bcgov\imagery\scanned_maps\moe_terrain_maps\Scanned_T_maps_all\K17\K17-451","\\imagefiles.bcgov\imagery\scanned_maps\moe_terrain_maps\Scanned_T_maps_all\K17\K17-451")</f>
        <v>\\imagefiles.bcgov\imagery\scanned_maps\moe_terrain_maps\Scanned_T_maps_all\K17\K17-451</v>
      </c>
      <c r="S1892" t="s">
        <v>62</v>
      </c>
      <c r="T1892" s="11" t="str">
        <f>HYPERLINK("http://www.env.gov.bc.ca/esd/distdata/ecosystems/TEI_Scanned_Maps/K17/K17-451","http://www.env.gov.bc.ca/esd/distdata/ecosystems/TEI_Scanned_Maps/K17/K17-451")</f>
        <v>http://www.env.gov.bc.ca/esd/distdata/ecosystems/TEI_Scanned_Maps/K17/K17-451</v>
      </c>
      <c r="U1892" t="s">
        <v>58</v>
      </c>
      <c r="V1892" t="s">
        <v>58</v>
      </c>
      <c r="W1892" t="s">
        <v>58</v>
      </c>
      <c r="X1892" t="s">
        <v>58</v>
      </c>
      <c r="Y1892" t="s">
        <v>58</v>
      </c>
      <c r="Z1892" t="s">
        <v>58</v>
      </c>
      <c r="AA1892" t="s">
        <v>58</v>
      </c>
      <c r="AC1892" t="s">
        <v>58</v>
      </c>
      <c r="AE1892" t="s">
        <v>58</v>
      </c>
      <c r="AG1892" t="s">
        <v>63</v>
      </c>
      <c r="AH1892" s="11" t="str">
        <f t="shared" si="142"/>
        <v>mailto: soilterrain@victoria1.gov.bc.ca</v>
      </c>
    </row>
    <row r="1893" spans="1:34">
      <c r="A1893" t="s">
        <v>4347</v>
      </c>
      <c r="B1893" t="s">
        <v>56</v>
      </c>
      <c r="C1893" s="10" t="s">
        <v>3018</v>
      </c>
      <c r="D1893" t="s">
        <v>58</v>
      </c>
      <c r="E1893" t="s">
        <v>4176</v>
      </c>
      <c r="F1893" t="s">
        <v>4348</v>
      </c>
      <c r="G1893">
        <v>126720</v>
      </c>
      <c r="H1893">
        <v>1978</v>
      </c>
      <c r="I1893" t="s">
        <v>58</v>
      </c>
      <c r="J1893" t="s">
        <v>58</v>
      </c>
      <c r="K1893" t="s">
        <v>58</v>
      </c>
      <c r="L1893" t="s">
        <v>58</v>
      </c>
      <c r="M1893" t="s">
        <v>58</v>
      </c>
      <c r="O1893" t="s">
        <v>61</v>
      </c>
      <c r="Q1893" t="s">
        <v>58</v>
      </c>
      <c r="R1893" s="11" t="str">
        <f>HYPERLINK("\\imagefiles.bcgov\imagery\scanned_maps\moe_terrain_maps\Scanned_T_maps_all\K17\K17-455","\\imagefiles.bcgov\imagery\scanned_maps\moe_terrain_maps\Scanned_T_maps_all\K17\K17-455")</f>
        <v>\\imagefiles.bcgov\imagery\scanned_maps\moe_terrain_maps\Scanned_T_maps_all\K17\K17-455</v>
      </c>
      <c r="S1893" t="s">
        <v>62</v>
      </c>
      <c r="T1893" s="11" t="str">
        <f>HYPERLINK("http://www.env.gov.bc.ca/esd/distdata/ecosystems/TEI_Scanned_Maps/K17/K17-455","http://www.env.gov.bc.ca/esd/distdata/ecosystems/TEI_Scanned_Maps/K17/K17-455")</f>
        <v>http://www.env.gov.bc.ca/esd/distdata/ecosystems/TEI_Scanned_Maps/K17/K17-455</v>
      </c>
      <c r="U1893" t="s">
        <v>58</v>
      </c>
      <c r="V1893" t="s">
        <v>58</v>
      </c>
      <c r="W1893" t="s">
        <v>58</v>
      </c>
      <c r="X1893" t="s">
        <v>58</v>
      </c>
      <c r="Y1893" t="s">
        <v>58</v>
      </c>
      <c r="Z1893" t="s">
        <v>58</v>
      </c>
      <c r="AA1893" t="s">
        <v>58</v>
      </c>
      <c r="AC1893" t="s">
        <v>58</v>
      </c>
      <c r="AE1893" t="s">
        <v>58</v>
      </c>
      <c r="AG1893" t="s">
        <v>63</v>
      </c>
      <c r="AH1893" s="11" t="str">
        <f t="shared" si="142"/>
        <v>mailto: soilterrain@victoria1.gov.bc.ca</v>
      </c>
    </row>
    <row r="1894" spans="1:34">
      <c r="A1894" t="s">
        <v>4349</v>
      </c>
      <c r="B1894" t="s">
        <v>56</v>
      </c>
      <c r="C1894" s="10" t="s">
        <v>3021</v>
      </c>
      <c r="D1894" t="s">
        <v>58</v>
      </c>
      <c r="E1894" t="s">
        <v>4176</v>
      </c>
      <c r="F1894" t="s">
        <v>4350</v>
      </c>
      <c r="G1894">
        <v>126720</v>
      </c>
      <c r="H1894">
        <v>1978</v>
      </c>
      <c r="I1894" t="s">
        <v>58</v>
      </c>
      <c r="J1894" t="s">
        <v>58</v>
      </c>
      <c r="K1894" t="s">
        <v>58</v>
      </c>
      <c r="L1894" t="s">
        <v>58</v>
      </c>
      <c r="M1894" t="s">
        <v>58</v>
      </c>
      <c r="O1894" t="s">
        <v>61</v>
      </c>
      <c r="Q1894" t="s">
        <v>58</v>
      </c>
      <c r="R1894" s="11" t="str">
        <f>HYPERLINK("\\imagefiles.bcgov\imagery\scanned_maps\moe_terrain_maps\Scanned_T_maps_all\K17\K17-459","\\imagefiles.bcgov\imagery\scanned_maps\moe_terrain_maps\Scanned_T_maps_all\K17\K17-459")</f>
        <v>\\imagefiles.bcgov\imagery\scanned_maps\moe_terrain_maps\Scanned_T_maps_all\K17\K17-459</v>
      </c>
      <c r="S1894" t="s">
        <v>62</v>
      </c>
      <c r="T1894" s="11" t="str">
        <f>HYPERLINK("http://www.env.gov.bc.ca/esd/distdata/ecosystems/TEI_Scanned_Maps/K17/K17-459","http://www.env.gov.bc.ca/esd/distdata/ecosystems/TEI_Scanned_Maps/K17/K17-459")</f>
        <v>http://www.env.gov.bc.ca/esd/distdata/ecosystems/TEI_Scanned_Maps/K17/K17-459</v>
      </c>
      <c r="U1894" t="s">
        <v>58</v>
      </c>
      <c r="V1894" t="s">
        <v>58</v>
      </c>
      <c r="W1894" t="s">
        <v>58</v>
      </c>
      <c r="X1894" t="s">
        <v>58</v>
      </c>
      <c r="Y1894" t="s">
        <v>58</v>
      </c>
      <c r="Z1894" t="s">
        <v>58</v>
      </c>
      <c r="AA1894" t="s">
        <v>58</v>
      </c>
      <c r="AC1894" t="s">
        <v>58</v>
      </c>
      <c r="AE1894" t="s">
        <v>58</v>
      </c>
      <c r="AG1894" t="s">
        <v>63</v>
      </c>
      <c r="AH1894" s="11" t="str">
        <f t="shared" si="142"/>
        <v>mailto: soilterrain@victoria1.gov.bc.ca</v>
      </c>
    </row>
    <row r="1895" spans="1:34">
      <c r="A1895" t="s">
        <v>4351</v>
      </c>
      <c r="B1895" t="s">
        <v>56</v>
      </c>
      <c r="C1895" s="10" t="s">
        <v>4352</v>
      </c>
      <c r="D1895" t="s">
        <v>58</v>
      </c>
      <c r="E1895" t="s">
        <v>4176</v>
      </c>
      <c r="F1895" t="s">
        <v>4353</v>
      </c>
      <c r="G1895">
        <v>100000</v>
      </c>
      <c r="H1895">
        <v>1978</v>
      </c>
      <c r="I1895" t="s">
        <v>58</v>
      </c>
      <c r="J1895" t="s">
        <v>58</v>
      </c>
      <c r="K1895" t="s">
        <v>58</v>
      </c>
      <c r="L1895" t="s">
        <v>58</v>
      </c>
      <c r="M1895" t="s">
        <v>58</v>
      </c>
      <c r="O1895" t="s">
        <v>61</v>
      </c>
      <c r="Q1895" t="s">
        <v>58</v>
      </c>
      <c r="R1895" s="11" t="str">
        <f>HYPERLINK("\\imagefiles.bcgov\imagery\scanned_maps\moe_terrain_maps\Scanned_T_maps_all\K17\K17-49","\\imagefiles.bcgov\imagery\scanned_maps\moe_terrain_maps\Scanned_T_maps_all\K17\K17-49")</f>
        <v>\\imagefiles.bcgov\imagery\scanned_maps\moe_terrain_maps\Scanned_T_maps_all\K17\K17-49</v>
      </c>
      <c r="S1895" t="s">
        <v>62</v>
      </c>
      <c r="T1895" s="11" t="str">
        <f>HYPERLINK("http://www.env.gov.bc.ca/esd/distdata/ecosystems/TEI_Scanned_Maps/K17/K17-49","http://www.env.gov.bc.ca/esd/distdata/ecosystems/TEI_Scanned_Maps/K17/K17-49")</f>
        <v>http://www.env.gov.bc.ca/esd/distdata/ecosystems/TEI_Scanned_Maps/K17/K17-49</v>
      </c>
      <c r="U1895" t="s">
        <v>58</v>
      </c>
      <c r="V1895" t="s">
        <v>58</v>
      </c>
      <c r="W1895" t="s">
        <v>58</v>
      </c>
      <c r="X1895" t="s">
        <v>58</v>
      </c>
      <c r="Y1895" t="s">
        <v>58</v>
      </c>
      <c r="Z1895" t="s">
        <v>58</v>
      </c>
      <c r="AA1895" t="s">
        <v>58</v>
      </c>
      <c r="AC1895" t="s">
        <v>58</v>
      </c>
      <c r="AE1895" t="s">
        <v>58</v>
      </c>
      <c r="AG1895" t="s">
        <v>63</v>
      </c>
      <c r="AH1895" s="11" t="str">
        <f t="shared" si="142"/>
        <v>mailto: soilterrain@victoria1.gov.bc.ca</v>
      </c>
    </row>
    <row r="1896" spans="1:34">
      <c r="A1896" t="s">
        <v>4354</v>
      </c>
      <c r="B1896" t="s">
        <v>56</v>
      </c>
      <c r="C1896" s="10" t="s">
        <v>1007</v>
      </c>
      <c r="D1896" t="s">
        <v>58</v>
      </c>
      <c r="E1896" t="s">
        <v>4176</v>
      </c>
      <c r="F1896" t="s">
        <v>4239</v>
      </c>
      <c r="G1896">
        <v>126720</v>
      </c>
      <c r="H1896">
        <v>1970</v>
      </c>
      <c r="I1896" t="s">
        <v>58</v>
      </c>
      <c r="J1896" t="s">
        <v>58</v>
      </c>
      <c r="K1896" t="s">
        <v>58</v>
      </c>
      <c r="L1896" t="s">
        <v>58</v>
      </c>
      <c r="M1896" t="s">
        <v>58</v>
      </c>
      <c r="O1896" t="s">
        <v>61</v>
      </c>
      <c r="Q1896" t="s">
        <v>58</v>
      </c>
      <c r="R1896" s="11" t="str">
        <f>HYPERLINK("\\imagefiles.bcgov\imagery\scanned_maps\moe_terrain_maps\Scanned_T_maps_all\K17\K17-4942","\\imagefiles.bcgov\imagery\scanned_maps\moe_terrain_maps\Scanned_T_maps_all\K17\K17-4942")</f>
        <v>\\imagefiles.bcgov\imagery\scanned_maps\moe_terrain_maps\Scanned_T_maps_all\K17\K17-4942</v>
      </c>
      <c r="S1896" t="s">
        <v>62</v>
      </c>
      <c r="T1896" s="11" t="str">
        <f>HYPERLINK("http://www.env.gov.bc.ca/esd/distdata/ecosystems/TEI_Scanned_Maps/K17/K17-4942","http://www.env.gov.bc.ca/esd/distdata/ecosystems/TEI_Scanned_Maps/K17/K17-4942")</f>
        <v>http://www.env.gov.bc.ca/esd/distdata/ecosystems/TEI_Scanned_Maps/K17/K17-4942</v>
      </c>
      <c r="U1896" t="s">
        <v>58</v>
      </c>
      <c r="V1896" t="s">
        <v>58</v>
      </c>
      <c r="W1896" t="s">
        <v>58</v>
      </c>
      <c r="X1896" t="s">
        <v>58</v>
      </c>
      <c r="Y1896" t="s">
        <v>58</v>
      </c>
      <c r="Z1896" t="s">
        <v>58</v>
      </c>
      <c r="AA1896" t="s">
        <v>58</v>
      </c>
      <c r="AC1896" t="s">
        <v>58</v>
      </c>
      <c r="AE1896" t="s">
        <v>58</v>
      </c>
      <c r="AG1896" t="s">
        <v>63</v>
      </c>
      <c r="AH1896" s="11" t="str">
        <f t="shared" si="142"/>
        <v>mailto: soilterrain@victoria1.gov.bc.ca</v>
      </c>
    </row>
    <row r="1897" spans="1:34">
      <c r="A1897" t="s">
        <v>4355</v>
      </c>
      <c r="B1897" t="s">
        <v>56</v>
      </c>
      <c r="C1897" s="10" t="s">
        <v>2154</v>
      </c>
      <c r="D1897" t="s">
        <v>58</v>
      </c>
      <c r="E1897" t="s">
        <v>4176</v>
      </c>
      <c r="F1897" t="s">
        <v>4356</v>
      </c>
      <c r="G1897">
        <v>126720</v>
      </c>
      <c r="H1897">
        <v>1977</v>
      </c>
      <c r="I1897" t="s">
        <v>58</v>
      </c>
      <c r="J1897" t="s">
        <v>58</v>
      </c>
      <c r="K1897" t="s">
        <v>58</v>
      </c>
      <c r="L1897" t="s">
        <v>58</v>
      </c>
      <c r="M1897" t="s">
        <v>58</v>
      </c>
      <c r="O1897" t="s">
        <v>61</v>
      </c>
      <c r="Q1897" t="s">
        <v>58</v>
      </c>
      <c r="R1897" s="11" t="str">
        <f>HYPERLINK("\\imagefiles.bcgov\imagery\scanned_maps\moe_terrain_maps\Scanned_T_maps_all\K17\K17-5071","\\imagefiles.bcgov\imagery\scanned_maps\moe_terrain_maps\Scanned_T_maps_all\K17\K17-5071")</f>
        <v>\\imagefiles.bcgov\imagery\scanned_maps\moe_terrain_maps\Scanned_T_maps_all\K17\K17-5071</v>
      </c>
      <c r="S1897" t="s">
        <v>62</v>
      </c>
      <c r="T1897" s="11" t="str">
        <f>HYPERLINK("http://www.env.gov.bc.ca/esd/distdata/ecosystems/TEI_Scanned_Maps/K17/K17-5071","http://www.env.gov.bc.ca/esd/distdata/ecosystems/TEI_Scanned_Maps/K17/K17-5071")</f>
        <v>http://www.env.gov.bc.ca/esd/distdata/ecosystems/TEI_Scanned_Maps/K17/K17-5071</v>
      </c>
      <c r="U1897" t="s">
        <v>58</v>
      </c>
      <c r="V1897" t="s">
        <v>58</v>
      </c>
      <c r="W1897" t="s">
        <v>58</v>
      </c>
      <c r="X1897" t="s">
        <v>58</v>
      </c>
      <c r="Y1897" t="s">
        <v>58</v>
      </c>
      <c r="Z1897" t="s">
        <v>58</v>
      </c>
      <c r="AA1897" t="s">
        <v>58</v>
      </c>
      <c r="AC1897" t="s">
        <v>58</v>
      </c>
      <c r="AE1897" t="s">
        <v>58</v>
      </c>
      <c r="AG1897" t="s">
        <v>63</v>
      </c>
      <c r="AH1897" s="11" t="str">
        <f t="shared" si="142"/>
        <v>mailto: soilterrain@victoria1.gov.bc.ca</v>
      </c>
    </row>
    <row r="1898" spans="1:34">
      <c r="A1898" t="s">
        <v>4357</v>
      </c>
      <c r="B1898" t="s">
        <v>56</v>
      </c>
      <c r="C1898" s="10" t="s">
        <v>1975</v>
      </c>
      <c r="D1898" t="s">
        <v>58</v>
      </c>
      <c r="E1898" t="s">
        <v>4176</v>
      </c>
      <c r="F1898" t="s">
        <v>4358</v>
      </c>
      <c r="G1898">
        <v>125000</v>
      </c>
      <c r="H1898">
        <v>1974</v>
      </c>
      <c r="I1898" t="s">
        <v>58</v>
      </c>
      <c r="J1898" t="s">
        <v>58</v>
      </c>
      <c r="K1898" t="s">
        <v>58</v>
      </c>
      <c r="L1898" t="s">
        <v>58</v>
      </c>
      <c r="M1898" t="s">
        <v>58</v>
      </c>
      <c r="O1898" t="s">
        <v>61</v>
      </c>
      <c r="Q1898" t="s">
        <v>58</v>
      </c>
      <c r="R1898" s="11" t="str">
        <f>HYPERLINK("\\imagefiles.bcgov\imagery\scanned_maps\moe_terrain_maps\Scanned_T_maps_all\K17\K17-5072","\\imagefiles.bcgov\imagery\scanned_maps\moe_terrain_maps\Scanned_T_maps_all\K17\K17-5072")</f>
        <v>\\imagefiles.bcgov\imagery\scanned_maps\moe_terrain_maps\Scanned_T_maps_all\K17\K17-5072</v>
      </c>
      <c r="S1898" t="s">
        <v>62</v>
      </c>
      <c r="T1898" s="11" t="str">
        <f>HYPERLINK("http://www.env.gov.bc.ca/esd/distdata/ecosystems/TEI_Scanned_Maps/K17/K17-5072","http://www.env.gov.bc.ca/esd/distdata/ecosystems/TEI_Scanned_Maps/K17/K17-5072")</f>
        <v>http://www.env.gov.bc.ca/esd/distdata/ecosystems/TEI_Scanned_Maps/K17/K17-5072</v>
      </c>
      <c r="U1898" t="s">
        <v>58</v>
      </c>
      <c r="V1898" t="s">
        <v>58</v>
      </c>
      <c r="W1898" t="s">
        <v>58</v>
      </c>
      <c r="X1898" t="s">
        <v>58</v>
      </c>
      <c r="Y1898" t="s">
        <v>58</v>
      </c>
      <c r="Z1898" t="s">
        <v>58</v>
      </c>
      <c r="AA1898" t="s">
        <v>58</v>
      </c>
      <c r="AC1898" t="s">
        <v>58</v>
      </c>
      <c r="AE1898" t="s">
        <v>58</v>
      </c>
      <c r="AG1898" t="s">
        <v>63</v>
      </c>
      <c r="AH1898" s="11" t="str">
        <f t="shared" si="142"/>
        <v>mailto: soilterrain@victoria1.gov.bc.ca</v>
      </c>
    </row>
    <row r="1899" spans="1:34">
      <c r="A1899" t="s">
        <v>4359</v>
      </c>
      <c r="B1899" t="s">
        <v>56</v>
      </c>
      <c r="C1899" s="10" t="s">
        <v>983</v>
      </c>
      <c r="D1899" t="s">
        <v>58</v>
      </c>
      <c r="E1899" t="s">
        <v>4176</v>
      </c>
      <c r="F1899" t="s">
        <v>4360</v>
      </c>
      <c r="G1899">
        <v>126720</v>
      </c>
      <c r="H1899">
        <v>1970</v>
      </c>
      <c r="I1899" t="s">
        <v>58</v>
      </c>
      <c r="J1899" t="s">
        <v>58</v>
      </c>
      <c r="K1899" t="s">
        <v>58</v>
      </c>
      <c r="L1899" t="s">
        <v>58</v>
      </c>
      <c r="M1899" t="s">
        <v>58</v>
      </c>
      <c r="O1899" t="s">
        <v>61</v>
      </c>
      <c r="Q1899" t="s">
        <v>58</v>
      </c>
      <c r="R1899" s="11" t="str">
        <f>HYPERLINK("\\imagefiles.bcgov\imagery\scanned_maps\moe_terrain_maps\Scanned_T_maps_all\K17\K17-5073","\\imagefiles.bcgov\imagery\scanned_maps\moe_terrain_maps\Scanned_T_maps_all\K17\K17-5073")</f>
        <v>\\imagefiles.bcgov\imagery\scanned_maps\moe_terrain_maps\Scanned_T_maps_all\K17\K17-5073</v>
      </c>
      <c r="S1899" t="s">
        <v>62</v>
      </c>
      <c r="T1899" s="11" t="str">
        <f>HYPERLINK("http://www.env.gov.bc.ca/esd/distdata/ecosystems/TEI_Scanned_Maps/K17/K17-5073","http://www.env.gov.bc.ca/esd/distdata/ecosystems/TEI_Scanned_Maps/K17/K17-5073")</f>
        <v>http://www.env.gov.bc.ca/esd/distdata/ecosystems/TEI_Scanned_Maps/K17/K17-5073</v>
      </c>
      <c r="U1899" t="s">
        <v>58</v>
      </c>
      <c r="V1899" t="s">
        <v>58</v>
      </c>
      <c r="W1899" t="s">
        <v>58</v>
      </c>
      <c r="X1899" t="s">
        <v>58</v>
      </c>
      <c r="Y1899" t="s">
        <v>58</v>
      </c>
      <c r="Z1899" t="s">
        <v>58</v>
      </c>
      <c r="AA1899" t="s">
        <v>58</v>
      </c>
      <c r="AC1899" t="s">
        <v>58</v>
      </c>
      <c r="AE1899" t="s">
        <v>58</v>
      </c>
      <c r="AG1899" t="s">
        <v>63</v>
      </c>
      <c r="AH1899" s="11" t="str">
        <f t="shared" si="142"/>
        <v>mailto: soilterrain@victoria1.gov.bc.ca</v>
      </c>
    </row>
    <row r="1900" spans="1:34">
      <c r="A1900" t="s">
        <v>4361</v>
      </c>
      <c r="B1900" t="s">
        <v>56</v>
      </c>
      <c r="C1900" s="10" t="s">
        <v>2109</v>
      </c>
      <c r="D1900" t="s">
        <v>58</v>
      </c>
      <c r="E1900" t="s">
        <v>4176</v>
      </c>
      <c r="F1900" t="s">
        <v>4362</v>
      </c>
      <c r="G1900">
        <v>126720</v>
      </c>
      <c r="H1900">
        <v>1978</v>
      </c>
      <c r="I1900" t="s">
        <v>58</v>
      </c>
      <c r="J1900" t="s">
        <v>58</v>
      </c>
      <c r="K1900" t="s">
        <v>58</v>
      </c>
      <c r="L1900" t="s">
        <v>58</v>
      </c>
      <c r="M1900" t="s">
        <v>58</v>
      </c>
      <c r="O1900" t="s">
        <v>61</v>
      </c>
      <c r="Q1900" t="s">
        <v>58</v>
      </c>
      <c r="R1900" s="11" t="str">
        <f>HYPERLINK("\\imagefiles.bcgov\imagery\scanned_maps\moe_terrain_maps\Scanned_T_maps_all\K17\K17-591","\\imagefiles.bcgov\imagery\scanned_maps\moe_terrain_maps\Scanned_T_maps_all\K17\K17-591")</f>
        <v>\\imagefiles.bcgov\imagery\scanned_maps\moe_terrain_maps\Scanned_T_maps_all\K17\K17-591</v>
      </c>
      <c r="S1900" t="s">
        <v>62</v>
      </c>
      <c r="T1900" s="11" t="str">
        <f>HYPERLINK("http://www.env.gov.bc.ca/esd/distdata/ecosystems/TEI_Scanned_Maps/K17/K17-591","http://www.env.gov.bc.ca/esd/distdata/ecosystems/TEI_Scanned_Maps/K17/K17-591")</f>
        <v>http://www.env.gov.bc.ca/esd/distdata/ecosystems/TEI_Scanned_Maps/K17/K17-591</v>
      </c>
      <c r="U1900" t="s">
        <v>58</v>
      </c>
      <c r="V1900" t="s">
        <v>58</v>
      </c>
      <c r="W1900" t="s">
        <v>58</v>
      </c>
      <c r="X1900" t="s">
        <v>58</v>
      </c>
      <c r="Y1900" t="s">
        <v>58</v>
      </c>
      <c r="Z1900" t="s">
        <v>58</v>
      </c>
      <c r="AA1900" t="s">
        <v>58</v>
      </c>
      <c r="AC1900" t="s">
        <v>58</v>
      </c>
      <c r="AE1900" t="s">
        <v>58</v>
      </c>
      <c r="AG1900" t="s">
        <v>63</v>
      </c>
      <c r="AH1900" s="11" t="str">
        <f t="shared" si="142"/>
        <v>mailto: soilterrain@victoria1.gov.bc.ca</v>
      </c>
    </row>
    <row r="1901" spans="1:34">
      <c r="A1901" t="s">
        <v>4363</v>
      </c>
      <c r="B1901" t="s">
        <v>56</v>
      </c>
      <c r="C1901" s="10" t="s">
        <v>2115</v>
      </c>
      <c r="D1901" t="s">
        <v>58</v>
      </c>
      <c r="E1901" t="s">
        <v>4176</v>
      </c>
      <c r="F1901" t="s">
        <v>4364</v>
      </c>
      <c r="G1901">
        <v>126720</v>
      </c>
      <c r="H1901">
        <v>1978</v>
      </c>
      <c r="I1901" t="s">
        <v>58</v>
      </c>
      <c r="J1901" t="s">
        <v>58</v>
      </c>
      <c r="K1901" t="s">
        <v>58</v>
      </c>
      <c r="L1901" t="s">
        <v>58</v>
      </c>
      <c r="M1901" t="s">
        <v>58</v>
      </c>
      <c r="O1901" t="s">
        <v>61</v>
      </c>
      <c r="Q1901" t="s">
        <v>58</v>
      </c>
      <c r="R1901" s="11" t="str">
        <f>HYPERLINK("\\imagefiles.bcgov\imagery\scanned_maps\moe_terrain_maps\Scanned_T_maps_all\K17\K17-595","\\imagefiles.bcgov\imagery\scanned_maps\moe_terrain_maps\Scanned_T_maps_all\K17\K17-595")</f>
        <v>\\imagefiles.bcgov\imagery\scanned_maps\moe_terrain_maps\Scanned_T_maps_all\K17\K17-595</v>
      </c>
      <c r="S1901" t="s">
        <v>62</v>
      </c>
      <c r="T1901" s="11" t="str">
        <f>HYPERLINK("http://www.env.gov.bc.ca/esd/distdata/ecosystems/TEI_Scanned_Maps/K17/K17-595","http://www.env.gov.bc.ca/esd/distdata/ecosystems/TEI_Scanned_Maps/K17/K17-595")</f>
        <v>http://www.env.gov.bc.ca/esd/distdata/ecosystems/TEI_Scanned_Maps/K17/K17-595</v>
      </c>
      <c r="U1901" t="s">
        <v>58</v>
      </c>
      <c r="V1901" t="s">
        <v>58</v>
      </c>
      <c r="W1901" t="s">
        <v>58</v>
      </c>
      <c r="X1901" t="s">
        <v>58</v>
      </c>
      <c r="Y1901" t="s">
        <v>58</v>
      </c>
      <c r="Z1901" t="s">
        <v>58</v>
      </c>
      <c r="AA1901" t="s">
        <v>58</v>
      </c>
      <c r="AC1901" t="s">
        <v>58</v>
      </c>
      <c r="AE1901" t="s">
        <v>58</v>
      </c>
      <c r="AG1901" t="s">
        <v>63</v>
      </c>
      <c r="AH1901" s="11" t="str">
        <f t="shared" si="142"/>
        <v>mailto: soilterrain@victoria1.gov.bc.ca</v>
      </c>
    </row>
    <row r="1902" spans="1:34">
      <c r="A1902" t="s">
        <v>4365</v>
      </c>
      <c r="B1902" t="s">
        <v>56</v>
      </c>
      <c r="C1902" s="10" t="s">
        <v>2112</v>
      </c>
      <c r="D1902" t="s">
        <v>58</v>
      </c>
      <c r="E1902" t="s">
        <v>4176</v>
      </c>
      <c r="F1902" t="s">
        <v>4366</v>
      </c>
      <c r="G1902">
        <v>126720</v>
      </c>
      <c r="H1902">
        <v>1978</v>
      </c>
      <c r="I1902" t="s">
        <v>58</v>
      </c>
      <c r="J1902" t="s">
        <v>58</v>
      </c>
      <c r="K1902" t="s">
        <v>58</v>
      </c>
      <c r="L1902" t="s">
        <v>58</v>
      </c>
      <c r="M1902" t="s">
        <v>58</v>
      </c>
      <c r="O1902" t="s">
        <v>61</v>
      </c>
      <c r="Q1902" t="s">
        <v>58</v>
      </c>
      <c r="R1902" s="11" t="str">
        <f>HYPERLINK("\\imagefiles.bcgov\imagery\scanned_maps\moe_terrain_maps\Scanned_T_maps_all\K17\K17-598","\\imagefiles.bcgov\imagery\scanned_maps\moe_terrain_maps\Scanned_T_maps_all\K17\K17-598")</f>
        <v>\\imagefiles.bcgov\imagery\scanned_maps\moe_terrain_maps\Scanned_T_maps_all\K17\K17-598</v>
      </c>
      <c r="S1902" t="s">
        <v>62</v>
      </c>
      <c r="T1902" s="11" t="str">
        <f>HYPERLINK("http://www.env.gov.bc.ca/esd/distdata/ecosystems/TEI_Scanned_Maps/K17/K17-598","http://www.env.gov.bc.ca/esd/distdata/ecosystems/TEI_Scanned_Maps/K17/K17-598")</f>
        <v>http://www.env.gov.bc.ca/esd/distdata/ecosystems/TEI_Scanned_Maps/K17/K17-598</v>
      </c>
      <c r="U1902" t="s">
        <v>2490</v>
      </c>
      <c r="V1902" s="11" t="str">
        <f>HYPERLINK("http://res.agr.ca/cansis/publications/surveys/bc/","http://res.agr.ca/cansis/publications/surveys/bc/")</f>
        <v>http://res.agr.ca/cansis/publications/surveys/bc/</v>
      </c>
      <c r="W1902" t="s">
        <v>58</v>
      </c>
      <c r="X1902" t="s">
        <v>58</v>
      </c>
      <c r="Y1902" t="s">
        <v>58</v>
      </c>
      <c r="Z1902" t="s">
        <v>58</v>
      </c>
      <c r="AA1902" t="s">
        <v>58</v>
      </c>
      <c r="AC1902" t="s">
        <v>58</v>
      </c>
      <c r="AE1902" t="s">
        <v>58</v>
      </c>
      <c r="AG1902" t="s">
        <v>63</v>
      </c>
      <c r="AH1902" s="11" t="str">
        <f t="shared" si="142"/>
        <v>mailto: soilterrain@victoria1.gov.bc.ca</v>
      </c>
    </row>
    <row r="1903" spans="1:34">
      <c r="A1903" t="s">
        <v>4367</v>
      </c>
      <c r="B1903" t="s">
        <v>56</v>
      </c>
      <c r="C1903" s="10" t="s">
        <v>2118</v>
      </c>
      <c r="D1903" t="s">
        <v>58</v>
      </c>
      <c r="E1903" t="s">
        <v>4176</v>
      </c>
      <c r="F1903" t="s">
        <v>4368</v>
      </c>
      <c r="G1903">
        <v>126720</v>
      </c>
      <c r="H1903">
        <v>1977</v>
      </c>
      <c r="I1903" t="s">
        <v>58</v>
      </c>
      <c r="J1903" t="s">
        <v>58</v>
      </c>
      <c r="K1903" t="s">
        <v>58</v>
      </c>
      <c r="L1903" t="s">
        <v>58</v>
      </c>
      <c r="M1903" t="s">
        <v>58</v>
      </c>
      <c r="O1903" t="s">
        <v>61</v>
      </c>
      <c r="Q1903" t="s">
        <v>58</v>
      </c>
      <c r="R1903" s="11" t="str">
        <f>HYPERLINK("\\imagefiles.bcgov\imagery\scanned_maps\moe_terrain_maps\Scanned_T_maps_all\K17\K17-602","\\imagefiles.bcgov\imagery\scanned_maps\moe_terrain_maps\Scanned_T_maps_all\K17\K17-602")</f>
        <v>\\imagefiles.bcgov\imagery\scanned_maps\moe_terrain_maps\Scanned_T_maps_all\K17\K17-602</v>
      </c>
      <c r="S1903" t="s">
        <v>62</v>
      </c>
      <c r="T1903" s="11" t="str">
        <f>HYPERLINK("http://www.env.gov.bc.ca/esd/distdata/ecosystems/TEI_Scanned_Maps/K17/K17-602","http://www.env.gov.bc.ca/esd/distdata/ecosystems/TEI_Scanned_Maps/K17/K17-602")</f>
        <v>http://www.env.gov.bc.ca/esd/distdata/ecosystems/TEI_Scanned_Maps/K17/K17-602</v>
      </c>
      <c r="U1903" t="s">
        <v>58</v>
      </c>
      <c r="V1903" t="s">
        <v>58</v>
      </c>
      <c r="W1903" t="s">
        <v>58</v>
      </c>
      <c r="X1903" t="s">
        <v>58</v>
      </c>
      <c r="Y1903" t="s">
        <v>58</v>
      </c>
      <c r="Z1903" t="s">
        <v>58</v>
      </c>
      <c r="AA1903" t="s">
        <v>58</v>
      </c>
      <c r="AC1903" t="s">
        <v>58</v>
      </c>
      <c r="AE1903" t="s">
        <v>58</v>
      </c>
      <c r="AG1903" t="s">
        <v>63</v>
      </c>
      <c r="AH1903" s="11" t="str">
        <f t="shared" si="142"/>
        <v>mailto: soilterrain@victoria1.gov.bc.ca</v>
      </c>
    </row>
    <row r="1904" spans="1:34">
      <c r="A1904" t="s">
        <v>4369</v>
      </c>
      <c r="B1904" t="s">
        <v>56</v>
      </c>
      <c r="C1904" s="10" t="s">
        <v>2145</v>
      </c>
      <c r="D1904" t="s">
        <v>58</v>
      </c>
      <c r="E1904" t="s">
        <v>4176</v>
      </c>
      <c r="F1904" t="s">
        <v>4370</v>
      </c>
      <c r="G1904">
        <v>126720</v>
      </c>
      <c r="H1904" t="s">
        <v>4371</v>
      </c>
      <c r="I1904" t="s">
        <v>58</v>
      </c>
      <c r="J1904" t="s">
        <v>58</v>
      </c>
      <c r="K1904" t="s">
        <v>58</v>
      </c>
      <c r="L1904" t="s">
        <v>58</v>
      </c>
      <c r="M1904" t="s">
        <v>58</v>
      </c>
      <c r="O1904" t="s">
        <v>61</v>
      </c>
      <c r="Q1904" t="s">
        <v>58</v>
      </c>
      <c r="R1904" s="11" t="str">
        <f>HYPERLINK("\\imagefiles.bcgov\imagery\scanned_maps\moe_terrain_maps\Scanned_T_maps_all\K17\K17-789","\\imagefiles.bcgov\imagery\scanned_maps\moe_terrain_maps\Scanned_T_maps_all\K17\K17-789")</f>
        <v>\\imagefiles.bcgov\imagery\scanned_maps\moe_terrain_maps\Scanned_T_maps_all\K17\K17-789</v>
      </c>
      <c r="S1904" t="s">
        <v>62</v>
      </c>
      <c r="T1904" s="11" t="str">
        <f>HYPERLINK("http://www.env.gov.bc.ca/esd/distdata/ecosystems/TEI_Scanned_Maps/K17/K17-789","http://www.env.gov.bc.ca/esd/distdata/ecosystems/TEI_Scanned_Maps/K17/K17-789")</f>
        <v>http://www.env.gov.bc.ca/esd/distdata/ecosystems/TEI_Scanned_Maps/K17/K17-789</v>
      </c>
      <c r="U1904" t="s">
        <v>58</v>
      </c>
      <c r="V1904" t="s">
        <v>58</v>
      </c>
      <c r="W1904" t="s">
        <v>58</v>
      </c>
      <c r="X1904" t="s">
        <v>58</v>
      </c>
      <c r="Y1904" t="s">
        <v>58</v>
      </c>
      <c r="Z1904" t="s">
        <v>58</v>
      </c>
      <c r="AA1904" t="s">
        <v>58</v>
      </c>
      <c r="AC1904" t="s">
        <v>58</v>
      </c>
      <c r="AE1904" t="s">
        <v>58</v>
      </c>
      <c r="AG1904" t="s">
        <v>63</v>
      </c>
      <c r="AH1904" s="11" t="str">
        <f t="shared" si="142"/>
        <v>mailto: soilterrain@victoria1.gov.bc.ca</v>
      </c>
    </row>
    <row r="1905" spans="1:34">
      <c r="A1905" t="s">
        <v>4372</v>
      </c>
      <c r="B1905" t="s">
        <v>56</v>
      </c>
      <c r="C1905" s="10" t="s">
        <v>2148</v>
      </c>
      <c r="D1905" t="s">
        <v>58</v>
      </c>
      <c r="E1905" t="s">
        <v>4176</v>
      </c>
      <c r="F1905" t="s">
        <v>4373</v>
      </c>
      <c r="G1905">
        <v>126720</v>
      </c>
      <c r="H1905">
        <v>1977</v>
      </c>
      <c r="I1905" t="s">
        <v>58</v>
      </c>
      <c r="J1905" t="s">
        <v>58</v>
      </c>
      <c r="K1905" t="s">
        <v>58</v>
      </c>
      <c r="L1905" t="s">
        <v>58</v>
      </c>
      <c r="M1905" t="s">
        <v>58</v>
      </c>
      <c r="O1905" t="s">
        <v>61</v>
      </c>
      <c r="Q1905" t="s">
        <v>58</v>
      </c>
      <c r="R1905" s="11" t="str">
        <f>HYPERLINK("\\imagefiles.bcgov\imagery\scanned_maps\moe_terrain_maps\Scanned_T_maps_all\K17\K17-791","\\imagefiles.bcgov\imagery\scanned_maps\moe_terrain_maps\Scanned_T_maps_all\K17\K17-791")</f>
        <v>\\imagefiles.bcgov\imagery\scanned_maps\moe_terrain_maps\Scanned_T_maps_all\K17\K17-791</v>
      </c>
      <c r="S1905" t="s">
        <v>62</v>
      </c>
      <c r="T1905" s="11" t="str">
        <f>HYPERLINK("http://www.env.gov.bc.ca/esd/distdata/ecosystems/TEI_Scanned_Maps/K17/K17-791","http://www.env.gov.bc.ca/esd/distdata/ecosystems/TEI_Scanned_Maps/K17/K17-791")</f>
        <v>http://www.env.gov.bc.ca/esd/distdata/ecosystems/TEI_Scanned_Maps/K17/K17-791</v>
      </c>
      <c r="U1905" t="s">
        <v>58</v>
      </c>
      <c r="V1905" t="s">
        <v>58</v>
      </c>
      <c r="W1905" t="s">
        <v>58</v>
      </c>
      <c r="X1905" t="s">
        <v>58</v>
      </c>
      <c r="Y1905" t="s">
        <v>58</v>
      </c>
      <c r="Z1905" t="s">
        <v>58</v>
      </c>
      <c r="AA1905" t="s">
        <v>58</v>
      </c>
      <c r="AC1905" t="s">
        <v>58</v>
      </c>
      <c r="AE1905" t="s">
        <v>58</v>
      </c>
      <c r="AG1905" t="s">
        <v>63</v>
      </c>
      <c r="AH1905" s="11" t="str">
        <f t="shared" si="142"/>
        <v>mailto: soilterrain@victoria1.gov.bc.ca</v>
      </c>
    </row>
    <row r="1906" spans="1:34">
      <c r="A1906" t="s">
        <v>4374</v>
      </c>
      <c r="B1906" t="s">
        <v>56</v>
      </c>
      <c r="C1906" s="10" t="s">
        <v>2151</v>
      </c>
      <c r="D1906" t="s">
        <v>58</v>
      </c>
      <c r="E1906" t="s">
        <v>4176</v>
      </c>
      <c r="F1906" t="s">
        <v>4375</v>
      </c>
      <c r="G1906">
        <v>126720</v>
      </c>
      <c r="H1906">
        <v>1977</v>
      </c>
      <c r="I1906" t="s">
        <v>58</v>
      </c>
      <c r="J1906" t="s">
        <v>58</v>
      </c>
      <c r="K1906" t="s">
        <v>58</v>
      </c>
      <c r="L1906" t="s">
        <v>58</v>
      </c>
      <c r="M1906" t="s">
        <v>58</v>
      </c>
      <c r="O1906" t="s">
        <v>61</v>
      </c>
      <c r="Q1906" t="s">
        <v>58</v>
      </c>
      <c r="R1906" s="11" t="str">
        <f>HYPERLINK("\\imagefiles.bcgov\imagery\scanned_maps\moe_terrain_maps\Scanned_T_maps_all\K17\K17-798","\\imagefiles.bcgov\imagery\scanned_maps\moe_terrain_maps\Scanned_T_maps_all\K17\K17-798")</f>
        <v>\\imagefiles.bcgov\imagery\scanned_maps\moe_terrain_maps\Scanned_T_maps_all\K17\K17-798</v>
      </c>
      <c r="S1906" t="s">
        <v>62</v>
      </c>
      <c r="T1906" s="11" t="str">
        <f>HYPERLINK("http://www.env.gov.bc.ca/esd/distdata/ecosystems/TEI_Scanned_Maps/K17/K17-798","http://www.env.gov.bc.ca/esd/distdata/ecosystems/TEI_Scanned_Maps/K17/K17-798")</f>
        <v>http://www.env.gov.bc.ca/esd/distdata/ecosystems/TEI_Scanned_Maps/K17/K17-798</v>
      </c>
      <c r="U1906" t="s">
        <v>58</v>
      </c>
      <c r="V1906" t="s">
        <v>58</v>
      </c>
      <c r="W1906" t="s">
        <v>58</v>
      </c>
      <c r="X1906" t="s">
        <v>58</v>
      </c>
      <c r="Y1906" t="s">
        <v>58</v>
      </c>
      <c r="Z1906" t="s">
        <v>58</v>
      </c>
      <c r="AA1906" t="s">
        <v>58</v>
      </c>
      <c r="AC1906" t="s">
        <v>58</v>
      </c>
      <c r="AE1906" t="s">
        <v>58</v>
      </c>
      <c r="AG1906" t="s">
        <v>63</v>
      </c>
      <c r="AH1906" s="11" t="str">
        <f t="shared" si="142"/>
        <v>mailto: soilterrain@victoria1.gov.bc.ca</v>
      </c>
    </row>
    <row r="1907" spans="1:34">
      <c r="A1907" t="s">
        <v>4376</v>
      </c>
      <c r="B1907" t="s">
        <v>56</v>
      </c>
      <c r="C1907" s="10" t="s">
        <v>2154</v>
      </c>
      <c r="D1907" t="s">
        <v>58</v>
      </c>
      <c r="E1907" t="s">
        <v>4176</v>
      </c>
      <c r="F1907" t="s">
        <v>4377</v>
      </c>
      <c r="G1907">
        <v>100000</v>
      </c>
      <c r="H1907">
        <v>1981</v>
      </c>
      <c r="I1907" t="s">
        <v>58</v>
      </c>
      <c r="J1907" t="s">
        <v>58</v>
      </c>
      <c r="K1907" t="s">
        <v>58</v>
      </c>
      <c r="L1907" t="s">
        <v>58</v>
      </c>
      <c r="M1907" t="s">
        <v>58</v>
      </c>
      <c r="O1907" t="s">
        <v>61</v>
      </c>
      <c r="Q1907" t="s">
        <v>58</v>
      </c>
      <c r="R1907" s="11" t="str">
        <f>HYPERLINK("\\imagefiles.bcgov\imagery\scanned_maps\moe_terrain_maps\Scanned_T_maps_all\K17\K17-801","\\imagefiles.bcgov\imagery\scanned_maps\moe_terrain_maps\Scanned_T_maps_all\K17\K17-801")</f>
        <v>\\imagefiles.bcgov\imagery\scanned_maps\moe_terrain_maps\Scanned_T_maps_all\K17\K17-801</v>
      </c>
      <c r="S1907" t="s">
        <v>62</v>
      </c>
      <c r="T1907" s="11" t="str">
        <f>HYPERLINK("http://www.env.gov.bc.ca/esd/distdata/ecosystems/TEI_Scanned_Maps/K17/K17-801","http://www.env.gov.bc.ca/esd/distdata/ecosystems/TEI_Scanned_Maps/K17/K17-801")</f>
        <v>http://www.env.gov.bc.ca/esd/distdata/ecosystems/TEI_Scanned_Maps/K17/K17-801</v>
      </c>
      <c r="U1907" t="s">
        <v>58</v>
      </c>
      <c r="V1907" t="s">
        <v>58</v>
      </c>
      <c r="W1907" t="s">
        <v>58</v>
      </c>
      <c r="X1907" t="s">
        <v>58</v>
      </c>
      <c r="Y1907" t="s">
        <v>58</v>
      </c>
      <c r="Z1907" t="s">
        <v>58</v>
      </c>
      <c r="AA1907" t="s">
        <v>58</v>
      </c>
      <c r="AC1907" t="s">
        <v>58</v>
      </c>
      <c r="AE1907" t="s">
        <v>58</v>
      </c>
      <c r="AG1907" t="s">
        <v>63</v>
      </c>
      <c r="AH1907" s="11" t="str">
        <f t="shared" si="142"/>
        <v>mailto: soilterrain@victoria1.gov.bc.ca</v>
      </c>
    </row>
    <row r="1908" spans="1:34">
      <c r="A1908" t="s">
        <v>4378</v>
      </c>
      <c r="B1908" t="s">
        <v>56</v>
      </c>
      <c r="C1908" s="10" t="s">
        <v>2161</v>
      </c>
      <c r="D1908" t="s">
        <v>58</v>
      </c>
      <c r="E1908" t="s">
        <v>4176</v>
      </c>
      <c r="F1908" t="s">
        <v>4379</v>
      </c>
      <c r="G1908">
        <v>125000</v>
      </c>
      <c r="H1908">
        <v>1977</v>
      </c>
      <c r="I1908" t="s">
        <v>58</v>
      </c>
      <c r="J1908" t="s">
        <v>58</v>
      </c>
      <c r="K1908" t="s">
        <v>58</v>
      </c>
      <c r="L1908" t="s">
        <v>58</v>
      </c>
      <c r="M1908" t="s">
        <v>58</v>
      </c>
      <c r="O1908" t="s">
        <v>61</v>
      </c>
      <c r="Q1908" t="s">
        <v>58</v>
      </c>
      <c r="R1908" s="11" t="str">
        <f>HYPERLINK("\\imagefiles.bcgov\imagery\scanned_maps\moe_terrain_maps\Scanned_T_maps_all\K17\K17-847","\\imagefiles.bcgov\imagery\scanned_maps\moe_terrain_maps\Scanned_T_maps_all\K17\K17-847")</f>
        <v>\\imagefiles.bcgov\imagery\scanned_maps\moe_terrain_maps\Scanned_T_maps_all\K17\K17-847</v>
      </c>
      <c r="S1908" t="s">
        <v>62</v>
      </c>
      <c r="T1908" s="11" t="str">
        <f>HYPERLINK("http://www.env.gov.bc.ca/esd/distdata/ecosystems/TEI_Scanned_Maps/K17/K17-847","http://www.env.gov.bc.ca/esd/distdata/ecosystems/TEI_Scanned_Maps/K17/K17-847")</f>
        <v>http://www.env.gov.bc.ca/esd/distdata/ecosystems/TEI_Scanned_Maps/K17/K17-847</v>
      </c>
      <c r="U1908" t="s">
        <v>58</v>
      </c>
      <c r="V1908" t="s">
        <v>58</v>
      </c>
      <c r="W1908" t="s">
        <v>58</v>
      </c>
      <c r="X1908" t="s">
        <v>58</v>
      </c>
      <c r="Y1908" t="s">
        <v>58</v>
      </c>
      <c r="Z1908" t="s">
        <v>58</v>
      </c>
      <c r="AA1908" t="s">
        <v>58</v>
      </c>
      <c r="AC1908" t="s">
        <v>58</v>
      </c>
      <c r="AE1908" t="s">
        <v>58</v>
      </c>
      <c r="AG1908" t="s">
        <v>63</v>
      </c>
      <c r="AH1908" s="11" t="str">
        <f t="shared" si="142"/>
        <v>mailto: soilterrain@victoria1.gov.bc.ca</v>
      </c>
    </row>
    <row r="1909" spans="1:34">
      <c r="A1909" t="s">
        <v>4380</v>
      </c>
      <c r="B1909" t="s">
        <v>56</v>
      </c>
      <c r="C1909" s="10" t="s">
        <v>2171</v>
      </c>
      <c r="D1909" t="s">
        <v>58</v>
      </c>
      <c r="E1909" t="s">
        <v>4176</v>
      </c>
      <c r="F1909" t="s">
        <v>4381</v>
      </c>
      <c r="G1909">
        <v>125000</v>
      </c>
      <c r="H1909">
        <v>1977</v>
      </c>
      <c r="I1909" t="s">
        <v>58</v>
      </c>
      <c r="J1909" t="s">
        <v>58</v>
      </c>
      <c r="K1909" t="s">
        <v>58</v>
      </c>
      <c r="L1909" t="s">
        <v>58</v>
      </c>
      <c r="M1909" t="s">
        <v>58</v>
      </c>
      <c r="O1909" t="s">
        <v>61</v>
      </c>
      <c r="Q1909" t="s">
        <v>58</v>
      </c>
      <c r="R1909" s="11" t="str">
        <f>HYPERLINK("\\imagefiles.bcgov\imagery\scanned_maps\moe_terrain_maps\Scanned_T_maps_all\K17\K17-862","\\imagefiles.bcgov\imagery\scanned_maps\moe_terrain_maps\Scanned_T_maps_all\K17\K17-862")</f>
        <v>\\imagefiles.bcgov\imagery\scanned_maps\moe_terrain_maps\Scanned_T_maps_all\K17\K17-862</v>
      </c>
      <c r="S1909" t="s">
        <v>62</v>
      </c>
      <c r="T1909" s="11" t="str">
        <f>HYPERLINK("http://www.env.gov.bc.ca/esd/distdata/ecosystems/TEI_Scanned_Maps/K17/K17-862","http://www.env.gov.bc.ca/esd/distdata/ecosystems/TEI_Scanned_Maps/K17/K17-862")</f>
        <v>http://www.env.gov.bc.ca/esd/distdata/ecosystems/TEI_Scanned_Maps/K17/K17-862</v>
      </c>
      <c r="U1909" t="s">
        <v>58</v>
      </c>
      <c r="V1909" t="s">
        <v>58</v>
      </c>
      <c r="W1909" t="s">
        <v>58</v>
      </c>
      <c r="X1909" t="s">
        <v>58</v>
      </c>
      <c r="Y1909" t="s">
        <v>58</v>
      </c>
      <c r="Z1909" t="s">
        <v>58</v>
      </c>
      <c r="AA1909" t="s">
        <v>58</v>
      </c>
      <c r="AC1909" t="s">
        <v>58</v>
      </c>
      <c r="AE1909" t="s">
        <v>58</v>
      </c>
      <c r="AG1909" t="s">
        <v>63</v>
      </c>
      <c r="AH1909" s="11" t="str">
        <f t="shared" si="142"/>
        <v>mailto: soilterrain@victoria1.gov.bc.ca</v>
      </c>
    </row>
    <row r="1910" spans="1:34">
      <c r="A1910" t="s">
        <v>4382</v>
      </c>
      <c r="B1910" t="s">
        <v>56</v>
      </c>
      <c r="C1910" s="10" t="s">
        <v>2077</v>
      </c>
      <c r="D1910" t="s">
        <v>58</v>
      </c>
      <c r="E1910" t="s">
        <v>58</v>
      </c>
      <c r="F1910" t="s">
        <v>4383</v>
      </c>
      <c r="G1910">
        <v>100000</v>
      </c>
      <c r="H1910">
        <v>1980</v>
      </c>
      <c r="I1910" t="s">
        <v>58</v>
      </c>
      <c r="J1910" t="s">
        <v>58</v>
      </c>
      <c r="K1910" t="s">
        <v>58</v>
      </c>
      <c r="L1910" t="s">
        <v>58</v>
      </c>
      <c r="M1910" t="s">
        <v>58</v>
      </c>
      <c r="O1910" t="s">
        <v>61</v>
      </c>
      <c r="Q1910" t="s">
        <v>58</v>
      </c>
      <c r="R1910" s="11" t="str">
        <f>HYPERLINK("\\imagefiles.bcgov\imagery\scanned_maps\moe_terrain_maps\Scanned_T_maps_all\K17\K18-1074","\\imagefiles.bcgov\imagery\scanned_maps\moe_terrain_maps\Scanned_T_maps_all\K17\K18-1074")</f>
        <v>\\imagefiles.bcgov\imagery\scanned_maps\moe_terrain_maps\Scanned_T_maps_all\K17\K18-1074</v>
      </c>
      <c r="S1910" t="s">
        <v>62</v>
      </c>
      <c r="T1910" s="11" t="str">
        <f>HYPERLINK("http://www.env.gov.bc.ca/esd/distdata/ecosystems/TEI_Scanned_Maps/K18/K18-1074","http://www.env.gov.bc.ca/esd/distdata/ecosystems/TEI_Scanned_Maps/K18/K18-1074")</f>
        <v>http://www.env.gov.bc.ca/esd/distdata/ecosystems/TEI_Scanned_Maps/K18/K18-1074</v>
      </c>
      <c r="U1910" t="s">
        <v>58</v>
      </c>
      <c r="V1910" t="s">
        <v>58</v>
      </c>
      <c r="W1910" t="s">
        <v>58</v>
      </c>
      <c r="X1910" t="s">
        <v>58</v>
      </c>
      <c r="Y1910" t="s">
        <v>58</v>
      </c>
      <c r="Z1910" t="s">
        <v>58</v>
      </c>
      <c r="AA1910" t="s">
        <v>58</v>
      </c>
      <c r="AC1910" t="s">
        <v>58</v>
      </c>
      <c r="AE1910" t="s">
        <v>58</v>
      </c>
      <c r="AG1910" t="s">
        <v>63</v>
      </c>
      <c r="AH1910" s="11" t="str">
        <f t="shared" si="142"/>
        <v>mailto: soilterrain@victoria1.gov.bc.ca</v>
      </c>
    </row>
    <row r="1911" spans="1:34">
      <c r="A1911" t="s">
        <v>4384</v>
      </c>
      <c r="B1911" t="s">
        <v>56</v>
      </c>
      <c r="C1911" s="10" t="s">
        <v>3067</v>
      </c>
      <c r="D1911" t="s">
        <v>58</v>
      </c>
      <c r="E1911" t="s">
        <v>58</v>
      </c>
      <c r="F1911" t="s">
        <v>4385</v>
      </c>
      <c r="G1911">
        <v>100000</v>
      </c>
      <c r="H1911">
        <v>1980</v>
      </c>
      <c r="I1911" t="s">
        <v>58</v>
      </c>
      <c r="J1911" t="s">
        <v>58</v>
      </c>
      <c r="K1911" t="s">
        <v>58</v>
      </c>
      <c r="L1911" t="s">
        <v>58</v>
      </c>
      <c r="M1911" t="s">
        <v>58</v>
      </c>
      <c r="O1911" t="s">
        <v>61</v>
      </c>
      <c r="Q1911" t="s">
        <v>58</v>
      </c>
      <c r="R1911" s="11" t="str">
        <f>HYPERLINK("\\imagefiles.bcgov\imagery\scanned_maps\moe_terrain_maps\Scanned_T_maps_all\K17\K18-1097","\\imagefiles.bcgov\imagery\scanned_maps\moe_terrain_maps\Scanned_T_maps_all\K17\K18-1097")</f>
        <v>\\imagefiles.bcgov\imagery\scanned_maps\moe_terrain_maps\Scanned_T_maps_all\K17\K18-1097</v>
      </c>
      <c r="S1911" t="s">
        <v>62</v>
      </c>
      <c r="T1911" s="11" t="str">
        <f>HYPERLINK("http://www.env.gov.bc.ca/esd/distdata/ecosystems/TEI_Scanned_Maps/K18/K18-1097","http://www.env.gov.bc.ca/esd/distdata/ecosystems/TEI_Scanned_Maps/K18/K18-1097")</f>
        <v>http://www.env.gov.bc.ca/esd/distdata/ecosystems/TEI_Scanned_Maps/K18/K18-1097</v>
      </c>
      <c r="U1911" t="s">
        <v>58</v>
      </c>
      <c r="V1911" t="s">
        <v>58</v>
      </c>
      <c r="W1911" t="s">
        <v>58</v>
      </c>
      <c r="X1911" t="s">
        <v>58</v>
      </c>
      <c r="Y1911" t="s">
        <v>58</v>
      </c>
      <c r="Z1911" t="s">
        <v>58</v>
      </c>
      <c r="AA1911" t="s">
        <v>58</v>
      </c>
      <c r="AC1911" t="s">
        <v>58</v>
      </c>
      <c r="AE1911" t="s">
        <v>58</v>
      </c>
      <c r="AG1911" t="s">
        <v>63</v>
      </c>
      <c r="AH1911" s="11" t="str">
        <f t="shared" si="142"/>
        <v>mailto: soilterrain@victoria1.gov.bc.ca</v>
      </c>
    </row>
    <row r="1912" spans="1:34">
      <c r="A1912" t="s">
        <v>4386</v>
      </c>
      <c r="B1912" t="s">
        <v>56</v>
      </c>
      <c r="C1912" s="10" t="s">
        <v>4387</v>
      </c>
      <c r="D1912" t="s">
        <v>58</v>
      </c>
      <c r="E1912" t="s">
        <v>58</v>
      </c>
      <c r="F1912" t="s">
        <v>4388</v>
      </c>
      <c r="G1912">
        <v>100000</v>
      </c>
      <c r="H1912">
        <v>1980</v>
      </c>
      <c r="I1912" t="s">
        <v>58</v>
      </c>
      <c r="J1912" t="s">
        <v>58</v>
      </c>
      <c r="K1912" t="s">
        <v>58</v>
      </c>
      <c r="L1912" t="s">
        <v>58</v>
      </c>
      <c r="M1912" t="s">
        <v>58</v>
      </c>
      <c r="O1912" t="s">
        <v>61</v>
      </c>
      <c r="Q1912" t="s">
        <v>58</v>
      </c>
      <c r="R1912" s="11" t="str">
        <f>HYPERLINK("\\imagefiles.bcgov\imagery\scanned_maps\moe_terrain_maps\Scanned_T_maps_all\K17\K18-1111","\\imagefiles.bcgov\imagery\scanned_maps\moe_terrain_maps\Scanned_T_maps_all\K17\K18-1111")</f>
        <v>\\imagefiles.bcgov\imagery\scanned_maps\moe_terrain_maps\Scanned_T_maps_all\K17\K18-1111</v>
      </c>
      <c r="S1912" t="s">
        <v>62</v>
      </c>
      <c r="T1912" s="11" t="str">
        <f>HYPERLINK("http://www.env.gov.bc.ca/esd/distdata/ecosystems/TEI_Scanned_Maps/K18/K18-1111","http://www.env.gov.bc.ca/esd/distdata/ecosystems/TEI_Scanned_Maps/K18/K18-1111")</f>
        <v>http://www.env.gov.bc.ca/esd/distdata/ecosystems/TEI_Scanned_Maps/K18/K18-1111</v>
      </c>
      <c r="U1912" t="s">
        <v>58</v>
      </c>
      <c r="V1912" t="s">
        <v>58</v>
      </c>
      <c r="W1912" t="s">
        <v>58</v>
      </c>
      <c r="X1912" t="s">
        <v>58</v>
      </c>
      <c r="Y1912" t="s">
        <v>58</v>
      </c>
      <c r="Z1912" t="s">
        <v>58</v>
      </c>
      <c r="AA1912" t="s">
        <v>58</v>
      </c>
      <c r="AC1912" t="s">
        <v>58</v>
      </c>
      <c r="AE1912" t="s">
        <v>58</v>
      </c>
      <c r="AG1912" t="s">
        <v>63</v>
      </c>
      <c r="AH1912" s="11" t="str">
        <f t="shared" si="142"/>
        <v>mailto: soilterrain@victoria1.gov.bc.ca</v>
      </c>
    </row>
    <row r="1913" spans="1:34">
      <c r="A1913" t="s">
        <v>4389</v>
      </c>
      <c r="B1913" t="s">
        <v>56</v>
      </c>
      <c r="C1913" s="10" t="s">
        <v>1878</v>
      </c>
      <c r="D1913" t="s">
        <v>58</v>
      </c>
      <c r="E1913" t="s">
        <v>58</v>
      </c>
      <c r="F1913" t="s">
        <v>4390</v>
      </c>
      <c r="G1913">
        <v>100000</v>
      </c>
      <c r="H1913">
        <v>1980</v>
      </c>
      <c r="I1913" t="s">
        <v>58</v>
      </c>
      <c r="J1913" t="s">
        <v>58</v>
      </c>
      <c r="K1913" t="s">
        <v>58</v>
      </c>
      <c r="L1913" t="s">
        <v>58</v>
      </c>
      <c r="M1913" t="s">
        <v>58</v>
      </c>
      <c r="O1913" t="s">
        <v>61</v>
      </c>
      <c r="Q1913" t="s">
        <v>58</v>
      </c>
      <c r="R1913" s="11" t="str">
        <f>HYPERLINK("\\imagefiles.bcgov\imagery\scanned_maps\moe_terrain_maps\Scanned_T_maps_all\K17\K18-1341","\\imagefiles.bcgov\imagery\scanned_maps\moe_terrain_maps\Scanned_T_maps_all\K17\K18-1341")</f>
        <v>\\imagefiles.bcgov\imagery\scanned_maps\moe_terrain_maps\Scanned_T_maps_all\K17\K18-1341</v>
      </c>
      <c r="S1913" t="s">
        <v>62</v>
      </c>
      <c r="T1913" s="11" t="str">
        <f>HYPERLINK("http://www.env.gov.bc.ca/esd/distdata/ecosystems/TEI_Scanned_Maps/K18/K18-1341","http://www.env.gov.bc.ca/esd/distdata/ecosystems/TEI_Scanned_Maps/K18/K18-1341")</f>
        <v>http://www.env.gov.bc.ca/esd/distdata/ecosystems/TEI_Scanned_Maps/K18/K18-1341</v>
      </c>
      <c r="U1913" t="s">
        <v>58</v>
      </c>
      <c r="V1913" t="s">
        <v>58</v>
      </c>
      <c r="W1913" t="s">
        <v>58</v>
      </c>
      <c r="X1913" t="s">
        <v>58</v>
      </c>
      <c r="Y1913" t="s">
        <v>58</v>
      </c>
      <c r="Z1913" t="s">
        <v>58</v>
      </c>
      <c r="AA1913" t="s">
        <v>58</v>
      </c>
      <c r="AC1913" t="s">
        <v>58</v>
      </c>
      <c r="AE1913" t="s">
        <v>58</v>
      </c>
      <c r="AG1913" t="s">
        <v>63</v>
      </c>
      <c r="AH1913" s="11" t="str">
        <f t="shared" si="142"/>
        <v>mailto: soilterrain@victoria1.gov.bc.ca</v>
      </c>
    </row>
    <row r="1914" spans="1:34">
      <c r="A1914" t="s">
        <v>4391</v>
      </c>
      <c r="B1914" t="s">
        <v>56</v>
      </c>
      <c r="C1914" s="10" t="s">
        <v>1881</v>
      </c>
      <c r="D1914" t="s">
        <v>58</v>
      </c>
      <c r="E1914" t="s">
        <v>58</v>
      </c>
      <c r="F1914" t="s">
        <v>4392</v>
      </c>
      <c r="G1914">
        <v>100000</v>
      </c>
      <c r="H1914">
        <v>1980</v>
      </c>
      <c r="I1914" t="s">
        <v>58</v>
      </c>
      <c r="J1914" t="s">
        <v>58</v>
      </c>
      <c r="K1914" t="s">
        <v>58</v>
      </c>
      <c r="L1914" t="s">
        <v>58</v>
      </c>
      <c r="M1914" t="s">
        <v>58</v>
      </c>
      <c r="O1914" t="s">
        <v>61</v>
      </c>
      <c r="Q1914" t="s">
        <v>58</v>
      </c>
      <c r="R1914" s="11" t="str">
        <f>HYPERLINK("\\imagefiles.bcgov\imagery\scanned_maps\moe_terrain_maps\Scanned_T_maps_all\K17\K18-1348","\\imagefiles.bcgov\imagery\scanned_maps\moe_terrain_maps\Scanned_T_maps_all\K17\K18-1348")</f>
        <v>\\imagefiles.bcgov\imagery\scanned_maps\moe_terrain_maps\Scanned_T_maps_all\K17\K18-1348</v>
      </c>
      <c r="S1914" t="s">
        <v>62</v>
      </c>
      <c r="T1914" s="11" t="str">
        <f>HYPERLINK("http://www.env.gov.bc.ca/esd/distdata/ecosystems/TEI_Scanned_Maps/K18/K18-1348","http://www.env.gov.bc.ca/esd/distdata/ecosystems/TEI_Scanned_Maps/K18/K18-1348")</f>
        <v>http://www.env.gov.bc.ca/esd/distdata/ecosystems/TEI_Scanned_Maps/K18/K18-1348</v>
      </c>
      <c r="U1914" t="s">
        <v>58</v>
      </c>
      <c r="V1914" t="s">
        <v>58</v>
      </c>
      <c r="W1914" t="s">
        <v>58</v>
      </c>
      <c r="X1914" t="s">
        <v>58</v>
      </c>
      <c r="Y1914" t="s">
        <v>58</v>
      </c>
      <c r="Z1914" t="s">
        <v>58</v>
      </c>
      <c r="AA1914" t="s">
        <v>58</v>
      </c>
      <c r="AC1914" t="s">
        <v>58</v>
      </c>
      <c r="AE1914" t="s">
        <v>58</v>
      </c>
      <c r="AG1914" t="s">
        <v>63</v>
      </c>
      <c r="AH1914" s="11" t="str">
        <f t="shared" si="142"/>
        <v>mailto: soilterrain@victoria1.gov.bc.ca</v>
      </c>
    </row>
    <row r="1915" spans="1:34">
      <c r="A1915" t="s">
        <v>4393</v>
      </c>
      <c r="B1915" t="s">
        <v>56</v>
      </c>
      <c r="C1915" s="10" t="s">
        <v>1884</v>
      </c>
      <c r="D1915" t="s">
        <v>58</v>
      </c>
      <c r="E1915" t="s">
        <v>58</v>
      </c>
      <c r="F1915" t="s">
        <v>4394</v>
      </c>
      <c r="G1915">
        <v>100000</v>
      </c>
      <c r="H1915">
        <v>1980</v>
      </c>
      <c r="I1915" t="s">
        <v>58</v>
      </c>
      <c r="J1915" t="s">
        <v>58</v>
      </c>
      <c r="K1915" t="s">
        <v>58</v>
      </c>
      <c r="L1915" t="s">
        <v>58</v>
      </c>
      <c r="M1915" t="s">
        <v>58</v>
      </c>
      <c r="O1915" t="s">
        <v>61</v>
      </c>
      <c r="Q1915" t="s">
        <v>58</v>
      </c>
      <c r="R1915" s="11" t="str">
        <f>HYPERLINK("\\imagefiles.bcgov\imagery\scanned_maps\moe_terrain_maps\Scanned_T_maps_all\K17\K18-1356","\\imagefiles.bcgov\imagery\scanned_maps\moe_terrain_maps\Scanned_T_maps_all\K17\K18-1356")</f>
        <v>\\imagefiles.bcgov\imagery\scanned_maps\moe_terrain_maps\Scanned_T_maps_all\K17\K18-1356</v>
      </c>
      <c r="S1915" t="s">
        <v>62</v>
      </c>
      <c r="T1915" s="11" t="str">
        <f>HYPERLINK("http://www.env.gov.bc.ca/esd/distdata/ecosystems/TEI_Scanned_Maps/K18/K18-1356","http://www.env.gov.bc.ca/esd/distdata/ecosystems/TEI_Scanned_Maps/K18/K18-1356")</f>
        <v>http://www.env.gov.bc.ca/esd/distdata/ecosystems/TEI_Scanned_Maps/K18/K18-1356</v>
      </c>
      <c r="U1915" t="s">
        <v>58</v>
      </c>
      <c r="V1915" t="s">
        <v>58</v>
      </c>
      <c r="W1915" t="s">
        <v>58</v>
      </c>
      <c r="X1915" t="s">
        <v>58</v>
      </c>
      <c r="Y1915" t="s">
        <v>58</v>
      </c>
      <c r="Z1915" t="s">
        <v>58</v>
      </c>
      <c r="AA1915" t="s">
        <v>58</v>
      </c>
      <c r="AC1915" t="s">
        <v>58</v>
      </c>
      <c r="AE1915" t="s">
        <v>58</v>
      </c>
      <c r="AG1915" t="s">
        <v>63</v>
      </c>
      <c r="AH1915" s="11" t="str">
        <f t="shared" si="142"/>
        <v>mailto: soilterrain@victoria1.gov.bc.ca</v>
      </c>
    </row>
    <row r="1916" spans="1:34">
      <c r="A1916" t="s">
        <v>4395</v>
      </c>
      <c r="B1916" t="s">
        <v>56</v>
      </c>
      <c r="C1916" s="10" t="s">
        <v>3077</v>
      </c>
      <c r="D1916" t="s">
        <v>58</v>
      </c>
      <c r="E1916" t="s">
        <v>58</v>
      </c>
      <c r="F1916" t="s">
        <v>4396</v>
      </c>
      <c r="G1916">
        <v>100000</v>
      </c>
      <c r="H1916">
        <v>1980</v>
      </c>
      <c r="I1916" t="s">
        <v>58</v>
      </c>
      <c r="J1916" t="s">
        <v>58</v>
      </c>
      <c r="K1916" t="s">
        <v>58</v>
      </c>
      <c r="L1916" t="s">
        <v>58</v>
      </c>
      <c r="M1916" t="s">
        <v>58</v>
      </c>
      <c r="O1916" t="s">
        <v>61</v>
      </c>
      <c r="Q1916" t="s">
        <v>58</v>
      </c>
      <c r="R1916" s="11" t="str">
        <f>HYPERLINK("\\imagefiles.bcgov\imagery\scanned_maps\moe_terrain_maps\Scanned_T_maps_all\K17\K18-1362","\\imagefiles.bcgov\imagery\scanned_maps\moe_terrain_maps\Scanned_T_maps_all\K17\K18-1362")</f>
        <v>\\imagefiles.bcgov\imagery\scanned_maps\moe_terrain_maps\Scanned_T_maps_all\K17\K18-1362</v>
      </c>
      <c r="S1916" t="s">
        <v>62</v>
      </c>
      <c r="T1916" s="11" t="str">
        <f>HYPERLINK("http://www.env.gov.bc.ca/esd/distdata/ecosystems/TEI_Scanned_Maps/K18/K18-1362","http://www.env.gov.bc.ca/esd/distdata/ecosystems/TEI_Scanned_Maps/K18/K18-1362")</f>
        <v>http://www.env.gov.bc.ca/esd/distdata/ecosystems/TEI_Scanned_Maps/K18/K18-1362</v>
      </c>
      <c r="U1916" t="s">
        <v>58</v>
      </c>
      <c r="V1916" t="s">
        <v>58</v>
      </c>
      <c r="W1916" t="s">
        <v>58</v>
      </c>
      <c r="X1916" t="s">
        <v>58</v>
      </c>
      <c r="Y1916" t="s">
        <v>58</v>
      </c>
      <c r="Z1916" t="s">
        <v>58</v>
      </c>
      <c r="AA1916" t="s">
        <v>58</v>
      </c>
      <c r="AC1916" t="s">
        <v>58</v>
      </c>
      <c r="AE1916" t="s">
        <v>58</v>
      </c>
      <c r="AG1916" t="s">
        <v>63</v>
      </c>
      <c r="AH1916" s="11" t="str">
        <f t="shared" si="142"/>
        <v>mailto: soilterrain@victoria1.gov.bc.ca</v>
      </c>
    </row>
    <row r="1917" spans="1:34">
      <c r="A1917" t="s">
        <v>4397</v>
      </c>
      <c r="B1917" t="s">
        <v>56</v>
      </c>
      <c r="C1917" s="10" t="s">
        <v>4398</v>
      </c>
      <c r="D1917" t="s">
        <v>58</v>
      </c>
      <c r="E1917" t="s">
        <v>58</v>
      </c>
      <c r="F1917" t="s">
        <v>4399</v>
      </c>
      <c r="G1917">
        <v>250000</v>
      </c>
      <c r="H1917">
        <v>1987</v>
      </c>
      <c r="I1917" t="s">
        <v>58</v>
      </c>
      <c r="J1917" t="s">
        <v>58</v>
      </c>
      <c r="K1917" t="s">
        <v>58</v>
      </c>
      <c r="L1917" t="s">
        <v>58</v>
      </c>
      <c r="M1917" t="s">
        <v>58</v>
      </c>
      <c r="O1917" t="s">
        <v>61</v>
      </c>
      <c r="Q1917" t="s">
        <v>58</v>
      </c>
      <c r="R1917" s="11" t="str">
        <f>HYPERLINK("\\imagefiles.bcgov\imagery\scanned_maps\moe_terrain_maps\Scanned_T_maps_all\K17\K18-139","\\imagefiles.bcgov\imagery\scanned_maps\moe_terrain_maps\Scanned_T_maps_all\K17\K18-139")</f>
        <v>\\imagefiles.bcgov\imagery\scanned_maps\moe_terrain_maps\Scanned_T_maps_all\K17\K18-139</v>
      </c>
      <c r="S1917" t="s">
        <v>62</v>
      </c>
      <c r="T1917" s="11" t="str">
        <f>HYPERLINK("http://www.env.gov.bc.ca/esd/distdata/ecosystems/TEI_Scanned_Maps/K18/K18-139","http://www.env.gov.bc.ca/esd/distdata/ecosystems/TEI_Scanned_Maps/K18/K18-139")</f>
        <v>http://www.env.gov.bc.ca/esd/distdata/ecosystems/TEI_Scanned_Maps/K18/K18-139</v>
      </c>
      <c r="U1917" t="s">
        <v>58</v>
      </c>
      <c r="V1917" t="s">
        <v>58</v>
      </c>
      <c r="W1917" t="s">
        <v>58</v>
      </c>
      <c r="X1917" t="s">
        <v>58</v>
      </c>
      <c r="Y1917" t="s">
        <v>58</v>
      </c>
      <c r="Z1917" t="s">
        <v>58</v>
      </c>
      <c r="AA1917" t="s">
        <v>58</v>
      </c>
      <c r="AC1917" t="s">
        <v>58</v>
      </c>
      <c r="AE1917" t="s">
        <v>58</v>
      </c>
      <c r="AG1917" t="s">
        <v>63</v>
      </c>
      <c r="AH1917" s="11" t="str">
        <f t="shared" si="142"/>
        <v>mailto: soilterrain@victoria1.gov.bc.ca</v>
      </c>
    </row>
    <row r="1918" spans="1:34">
      <c r="A1918" t="s">
        <v>4400</v>
      </c>
      <c r="B1918" t="s">
        <v>56</v>
      </c>
      <c r="C1918" s="10" t="s">
        <v>1890</v>
      </c>
      <c r="D1918" t="s">
        <v>58</v>
      </c>
      <c r="E1918" t="s">
        <v>58</v>
      </c>
      <c r="F1918" t="s">
        <v>4401</v>
      </c>
      <c r="G1918">
        <v>100000</v>
      </c>
      <c r="H1918">
        <v>1980</v>
      </c>
      <c r="I1918" t="s">
        <v>58</v>
      </c>
      <c r="J1918" t="s">
        <v>58</v>
      </c>
      <c r="K1918" t="s">
        <v>58</v>
      </c>
      <c r="L1918" t="s">
        <v>58</v>
      </c>
      <c r="M1918" t="s">
        <v>58</v>
      </c>
      <c r="O1918" t="s">
        <v>61</v>
      </c>
      <c r="Q1918" t="s">
        <v>58</v>
      </c>
      <c r="R1918" s="11" t="str">
        <f>HYPERLINK("\\imagefiles.bcgov\imagery\scanned_maps\moe_terrain_maps\Scanned_T_maps_all\K17\K18-1634","\\imagefiles.bcgov\imagery\scanned_maps\moe_terrain_maps\Scanned_T_maps_all\K17\K18-1634")</f>
        <v>\\imagefiles.bcgov\imagery\scanned_maps\moe_terrain_maps\Scanned_T_maps_all\K17\K18-1634</v>
      </c>
      <c r="S1918" t="s">
        <v>62</v>
      </c>
      <c r="T1918" s="11" t="str">
        <f>HYPERLINK("http://www.env.gov.bc.ca/esd/distdata/ecosystems/TEI_Scanned_Maps/K18/K18-1634","http://www.env.gov.bc.ca/esd/distdata/ecosystems/TEI_Scanned_Maps/K18/K18-1634")</f>
        <v>http://www.env.gov.bc.ca/esd/distdata/ecosystems/TEI_Scanned_Maps/K18/K18-1634</v>
      </c>
      <c r="U1918" t="s">
        <v>58</v>
      </c>
      <c r="V1918" t="s">
        <v>58</v>
      </c>
      <c r="W1918" t="s">
        <v>58</v>
      </c>
      <c r="X1918" t="s">
        <v>58</v>
      </c>
      <c r="Y1918" t="s">
        <v>58</v>
      </c>
      <c r="Z1918" t="s">
        <v>58</v>
      </c>
      <c r="AA1918" t="s">
        <v>58</v>
      </c>
      <c r="AC1918" t="s">
        <v>58</v>
      </c>
      <c r="AE1918" t="s">
        <v>58</v>
      </c>
      <c r="AG1918" t="s">
        <v>63</v>
      </c>
      <c r="AH1918" s="11" t="str">
        <f t="shared" si="142"/>
        <v>mailto: soilterrain@victoria1.gov.bc.ca</v>
      </c>
    </row>
    <row r="1919" spans="1:34">
      <c r="A1919" t="s">
        <v>4402</v>
      </c>
      <c r="B1919" t="s">
        <v>56</v>
      </c>
      <c r="C1919" s="10" t="s">
        <v>4198</v>
      </c>
      <c r="D1919" t="s">
        <v>58</v>
      </c>
      <c r="E1919" t="s">
        <v>58</v>
      </c>
      <c r="F1919" t="s">
        <v>4403</v>
      </c>
      <c r="G1919">
        <v>100000</v>
      </c>
      <c r="H1919">
        <v>1980</v>
      </c>
      <c r="I1919" t="s">
        <v>58</v>
      </c>
      <c r="J1919" t="s">
        <v>58</v>
      </c>
      <c r="K1919" t="s">
        <v>58</v>
      </c>
      <c r="L1919" t="s">
        <v>58</v>
      </c>
      <c r="M1919" t="s">
        <v>58</v>
      </c>
      <c r="O1919" t="s">
        <v>61</v>
      </c>
      <c r="Q1919" t="s">
        <v>58</v>
      </c>
      <c r="R1919" s="11" t="str">
        <f>HYPERLINK("\\imagefiles.bcgov\imagery\scanned_maps\moe_terrain_maps\Scanned_T_maps_all\K17\K18-1640","\\imagefiles.bcgov\imagery\scanned_maps\moe_terrain_maps\Scanned_T_maps_all\K17\K18-1640")</f>
        <v>\\imagefiles.bcgov\imagery\scanned_maps\moe_terrain_maps\Scanned_T_maps_all\K17\K18-1640</v>
      </c>
      <c r="S1919" t="s">
        <v>62</v>
      </c>
      <c r="T1919" s="11" t="str">
        <f>HYPERLINK("http://www.env.gov.bc.ca/esd/distdata/ecosystems/TEI_Scanned_Maps/K18/K18-1640","http://www.env.gov.bc.ca/esd/distdata/ecosystems/TEI_Scanned_Maps/K18/K18-1640")</f>
        <v>http://www.env.gov.bc.ca/esd/distdata/ecosystems/TEI_Scanned_Maps/K18/K18-1640</v>
      </c>
      <c r="U1919" t="s">
        <v>58</v>
      </c>
      <c r="V1919" t="s">
        <v>58</v>
      </c>
      <c r="W1919" t="s">
        <v>58</v>
      </c>
      <c r="X1919" t="s">
        <v>58</v>
      </c>
      <c r="Y1919" t="s">
        <v>58</v>
      </c>
      <c r="Z1919" t="s">
        <v>58</v>
      </c>
      <c r="AA1919" t="s">
        <v>58</v>
      </c>
      <c r="AC1919" t="s">
        <v>58</v>
      </c>
      <c r="AE1919" t="s">
        <v>58</v>
      </c>
      <c r="AG1919" t="s">
        <v>63</v>
      </c>
      <c r="AH1919" s="11" t="str">
        <f t="shared" si="142"/>
        <v>mailto: soilterrain@victoria1.gov.bc.ca</v>
      </c>
    </row>
    <row r="1920" spans="1:34">
      <c r="A1920" t="s">
        <v>4404</v>
      </c>
      <c r="B1920" t="s">
        <v>56</v>
      </c>
      <c r="C1920" s="10" t="s">
        <v>1893</v>
      </c>
      <c r="D1920" t="s">
        <v>58</v>
      </c>
      <c r="E1920" t="s">
        <v>58</v>
      </c>
      <c r="F1920" t="s">
        <v>4405</v>
      </c>
      <c r="G1920">
        <v>100000</v>
      </c>
      <c r="H1920">
        <v>1980</v>
      </c>
      <c r="I1920" t="s">
        <v>58</v>
      </c>
      <c r="J1920" t="s">
        <v>58</v>
      </c>
      <c r="K1920" t="s">
        <v>58</v>
      </c>
      <c r="L1920" t="s">
        <v>58</v>
      </c>
      <c r="M1920" t="s">
        <v>58</v>
      </c>
      <c r="O1920" t="s">
        <v>61</v>
      </c>
      <c r="Q1920" t="s">
        <v>58</v>
      </c>
      <c r="R1920" s="11" t="str">
        <f>HYPERLINK("\\imagefiles.bcgov\imagery\scanned_maps\moe_terrain_maps\Scanned_T_maps_all\K17\K18-1647","\\imagefiles.bcgov\imagery\scanned_maps\moe_terrain_maps\Scanned_T_maps_all\K17\K18-1647")</f>
        <v>\\imagefiles.bcgov\imagery\scanned_maps\moe_terrain_maps\Scanned_T_maps_all\K17\K18-1647</v>
      </c>
      <c r="S1920" t="s">
        <v>62</v>
      </c>
      <c r="T1920" s="11" t="str">
        <f>HYPERLINK("http://www.env.gov.bc.ca/esd/distdata/ecosystems/TEI_Scanned_Maps/K18/K18-1647","http://www.env.gov.bc.ca/esd/distdata/ecosystems/TEI_Scanned_Maps/K18/K18-1647")</f>
        <v>http://www.env.gov.bc.ca/esd/distdata/ecosystems/TEI_Scanned_Maps/K18/K18-1647</v>
      </c>
      <c r="U1920" t="s">
        <v>58</v>
      </c>
      <c r="V1920" t="s">
        <v>58</v>
      </c>
      <c r="W1920" t="s">
        <v>58</v>
      </c>
      <c r="X1920" t="s">
        <v>58</v>
      </c>
      <c r="Y1920" t="s">
        <v>58</v>
      </c>
      <c r="Z1920" t="s">
        <v>58</v>
      </c>
      <c r="AA1920" t="s">
        <v>58</v>
      </c>
      <c r="AC1920" t="s">
        <v>58</v>
      </c>
      <c r="AE1920" t="s">
        <v>58</v>
      </c>
      <c r="AG1920" t="s">
        <v>63</v>
      </c>
      <c r="AH1920" s="11" t="str">
        <f t="shared" si="142"/>
        <v>mailto: soilterrain@victoria1.gov.bc.ca</v>
      </c>
    </row>
    <row r="1921" spans="1:34">
      <c r="A1921" t="s">
        <v>4406</v>
      </c>
      <c r="B1921" t="s">
        <v>56</v>
      </c>
      <c r="C1921" s="10" t="s">
        <v>2957</v>
      </c>
      <c r="D1921" t="s">
        <v>58</v>
      </c>
      <c r="E1921" t="s">
        <v>58</v>
      </c>
      <c r="F1921" t="s">
        <v>4407</v>
      </c>
      <c r="G1921">
        <v>250000</v>
      </c>
      <c r="H1921">
        <v>1987</v>
      </c>
      <c r="I1921" t="s">
        <v>58</v>
      </c>
      <c r="J1921" t="s">
        <v>58</v>
      </c>
      <c r="K1921" t="s">
        <v>58</v>
      </c>
      <c r="L1921" t="s">
        <v>58</v>
      </c>
      <c r="M1921" t="s">
        <v>58</v>
      </c>
      <c r="O1921" t="s">
        <v>61</v>
      </c>
      <c r="Q1921" t="s">
        <v>58</v>
      </c>
      <c r="R1921" s="11" t="str">
        <f>HYPERLINK("\\imagefiles.bcgov\imagery\scanned_maps\moe_terrain_maps\Scanned_T_maps_all\K17\K18-1656","\\imagefiles.bcgov\imagery\scanned_maps\moe_terrain_maps\Scanned_T_maps_all\K17\K18-1656")</f>
        <v>\\imagefiles.bcgov\imagery\scanned_maps\moe_terrain_maps\Scanned_T_maps_all\K17\K18-1656</v>
      </c>
      <c r="S1921" t="s">
        <v>62</v>
      </c>
      <c r="T1921" s="11" t="str">
        <f>HYPERLINK("http://www.env.gov.bc.ca/esd/distdata/ecosystems/TEI_Scanned_Maps/K18/K18-1656","http://www.env.gov.bc.ca/esd/distdata/ecosystems/TEI_Scanned_Maps/K18/K18-1656")</f>
        <v>http://www.env.gov.bc.ca/esd/distdata/ecosystems/TEI_Scanned_Maps/K18/K18-1656</v>
      </c>
      <c r="U1921" t="s">
        <v>58</v>
      </c>
      <c r="V1921" t="s">
        <v>58</v>
      </c>
      <c r="W1921" t="s">
        <v>58</v>
      </c>
      <c r="X1921" t="s">
        <v>58</v>
      </c>
      <c r="Y1921" t="s">
        <v>58</v>
      </c>
      <c r="Z1921" t="s">
        <v>58</v>
      </c>
      <c r="AA1921" t="s">
        <v>58</v>
      </c>
      <c r="AC1921" t="s">
        <v>58</v>
      </c>
      <c r="AE1921" t="s">
        <v>58</v>
      </c>
      <c r="AG1921" t="s">
        <v>63</v>
      </c>
      <c r="AH1921" s="11" t="str">
        <f t="shared" si="142"/>
        <v>mailto: soilterrain@victoria1.gov.bc.ca</v>
      </c>
    </row>
    <row r="1922" spans="1:34">
      <c r="A1922" t="s">
        <v>4408</v>
      </c>
      <c r="B1922" t="s">
        <v>56</v>
      </c>
      <c r="C1922" s="10" t="s">
        <v>4205</v>
      </c>
      <c r="D1922" t="s">
        <v>58</v>
      </c>
      <c r="E1922" t="s">
        <v>58</v>
      </c>
      <c r="F1922" t="s">
        <v>4409</v>
      </c>
      <c r="G1922">
        <v>100000</v>
      </c>
      <c r="H1922">
        <v>1980</v>
      </c>
      <c r="I1922" t="s">
        <v>58</v>
      </c>
      <c r="J1922" t="s">
        <v>58</v>
      </c>
      <c r="K1922" t="s">
        <v>58</v>
      </c>
      <c r="L1922" t="s">
        <v>58</v>
      </c>
      <c r="M1922" t="s">
        <v>58</v>
      </c>
      <c r="O1922" t="s">
        <v>61</v>
      </c>
      <c r="Q1922" t="s">
        <v>58</v>
      </c>
      <c r="R1922" s="11" t="str">
        <f>HYPERLINK("\\imagefiles.bcgov\imagery\scanned_maps\moe_terrain_maps\Scanned_T_maps_all\K17\K18-1727","\\imagefiles.bcgov\imagery\scanned_maps\moe_terrain_maps\Scanned_T_maps_all\K17\K18-1727")</f>
        <v>\\imagefiles.bcgov\imagery\scanned_maps\moe_terrain_maps\Scanned_T_maps_all\K17\K18-1727</v>
      </c>
      <c r="S1922" t="s">
        <v>62</v>
      </c>
      <c r="T1922" s="11" t="str">
        <f>HYPERLINK("http://www.env.gov.bc.ca/esd/distdata/ecosystems/TEI_Scanned_Maps/K18/K18-1727","http://www.env.gov.bc.ca/esd/distdata/ecosystems/TEI_Scanned_Maps/K18/K18-1727")</f>
        <v>http://www.env.gov.bc.ca/esd/distdata/ecosystems/TEI_Scanned_Maps/K18/K18-1727</v>
      </c>
      <c r="U1922" t="s">
        <v>58</v>
      </c>
      <c r="V1922" t="s">
        <v>58</v>
      </c>
      <c r="W1922" t="s">
        <v>58</v>
      </c>
      <c r="X1922" t="s">
        <v>58</v>
      </c>
      <c r="Y1922" t="s">
        <v>58</v>
      </c>
      <c r="Z1922" t="s">
        <v>58</v>
      </c>
      <c r="AA1922" t="s">
        <v>58</v>
      </c>
      <c r="AC1922" t="s">
        <v>58</v>
      </c>
      <c r="AE1922" t="s">
        <v>58</v>
      </c>
      <c r="AG1922" t="s">
        <v>63</v>
      </c>
      <c r="AH1922" s="11" t="str">
        <f t="shared" ref="AH1922:AH1985" si="143">HYPERLINK("mailto: soilterrain@victoria1.gov.bc.ca","mailto: soilterrain@victoria1.gov.bc.ca")</f>
        <v>mailto: soilterrain@victoria1.gov.bc.ca</v>
      </c>
    </row>
    <row r="1923" spans="1:34">
      <c r="A1923" t="s">
        <v>4410</v>
      </c>
      <c r="B1923" t="s">
        <v>56</v>
      </c>
      <c r="C1923" s="10" t="s">
        <v>477</v>
      </c>
      <c r="D1923" t="s">
        <v>58</v>
      </c>
      <c r="E1923" t="s">
        <v>58</v>
      </c>
      <c r="F1923" t="s">
        <v>4411</v>
      </c>
      <c r="G1923">
        <v>100000</v>
      </c>
      <c r="H1923">
        <v>1979</v>
      </c>
      <c r="I1923" t="s">
        <v>58</v>
      </c>
      <c r="J1923" t="s">
        <v>58</v>
      </c>
      <c r="K1923" t="s">
        <v>58</v>
      </c>
      <c r="L1923" t="s">
        <v>58</v>
      </c>
      <c r="M1923" t="s">
        <v>58</v>
      </c>
      <c r="O1923" t="s">
        <v>61</v>
      </c>
      <c r="Q1923" t="s">
        <v>58</v>
      </c>
      <c r="R1923" s="11" t="str">
        <f>HYPERLINK("\\imagefiles.bcgov\imagery\scanned_maps\moe_terrain_maps\Scanned_T_maps_all\K17\K18-1737","\\imagefiles.bcgov\imagery\scanned_maps\moe_terrain_maps\Scanned_T_maps_all\K17\K18-1737")</f>
        <v>\\imagefiles.bcgov\imagery\scanned_maps\moe_terrain_maps\Scanned_T_maps_all\K17\K18-1737</v>
      </c>
      <c r="S1923" t="s">
        <v>62</v>
      </c>
      <c r="T1923" s="11" t="str">
        <f>HYPERLINK("http://www.env.gov.bc.ca/esd/distdata/ecosystems/TEI_Scanned_Maps/K18/K18-1737","http://www.env.gov.bc.ca/esd/distdata/ecosystems/TEI_Scanned_Maps/K18/K18-1737")</f>
        <v>http://www.env.gov.bc.ca/esd/distdata/ecosystems/TEI_Scanned_Maps/K18/K18-1737</v>
      </c>
      <c r="U1923" t="s">
        <v>58</v>
      </c>
      <c r="V1923" t="s">
        <v>58</v>
      </c>
      <c r="W1923" t="s">
        <v>58</v>
      </c>
      <c r="X1923" t="s">
        <v>58</v>
      </c>
      <c r="Y1923" t="s">
        <v>58</v>
      </c>
      <c r="Z1923" t="s">
        <v>58</v>
      </c>
      <c r="AA1923" t="s">
        <v>58</v>
      </c>
      <c r="AC1923" t="s">
        <v>58</v>
      </c>
      <c r="AE1923" t="s">
        <v>58</v>
      </c>
      <c r="AG1923" t="s">
        <v>63</v>
      </c>
      <c r="AH1923" s="11" t="str">
        <f t="shared" si="143"/>
        <v>mailto: soilterrain@victoria1.gov.bc.ca</v>
      </c>
    </row>
    <row r="1924" spans="1:34">
      <c r="A1924" t="s">
        <v>4412</v>
      </c>
      <c r="B1924" t="s">
        <v>56</v>
      </c>
      <c r="C1924" s="10" t="s">
        <v>3079</v>
      </c>
      <c r="D1924" t="s">
        <v>58</v>
      </c>
      <c r="E1924" t="s">
        <v>58</v>
      </c>
      <c r="F1924" t="s">
        <v>4413</v>
      </c>
      <c r="G1924">
        <v>100000</v>
      </c>
      <c r="H1924">
        <v>1979</v>
      </c>
      <c r="I1924" t="s">
        <v>58</v>
      </c>
      <c r="J1924" t="s">
        <v>58</v>
      </c>
      <c r="K1924" t="s">
        <v>58</v>
      </c>
      <c r="L1924" t="s">
        <v>58</v>
      </c>
      <c r="M1924" t="s">
        <v>58</v>
      </c>
      <c r="O1924" t="s">
        <v>61</v>
      </c>
      <c r="Q1924" t="s">
        <v>58</v>
      </c>
      <c r="R1924" s="11" t="str">
        <f>HYPERLINK("\\imagefiles.bcgov\imagery\scanned_maps\moe_terrain_maps\Scanned_T_maps_all\K17\K18-1795","\\imagefiles.bcgov\imagery\scanned_maps\moe_terrain_maps\Scanned_T_maps_all\K17\K18-1795")</f>
        <v>\\imagefiles.bcgov\imagery\scanned_maps\moe_terrain_maps\Scanned_T_maps_all\K17\K18-1795</v>
      </c>
      <c r="S1924" t="s">
        <v>62</v>
      </c>
      <c r="T1924" s="11" t="str">
        <f>HYPERLINK("http://www.env.gov.bc.ca/esd/distdata/ecosystems/TEI_Scanned_Maps/K18/K18-1795","http://www.env.gov.bc.ca/esd/distdata/ecosystems/TEI_Scanned_Maps/K18/K18-1795")</f>
        <v>http://www.env.gov.bc.ca/esd/distdata/ecosystems/TEI_Scanned_Maps/K18/K18-1795</v>
      </c>
      <c r="U1924" t="s">
        <v>58</v>
      </c>
      <c r="V1924" t="s">
        <v>58</v>
      </c>
      <c r="W1924" t="s">
        <v>58</v>
      </c>
      <c r="X1924" t="s">
        <v>58</v>
      </c>
      <c r="Y1924" t="s">
        <v>58</v>
      </c>
      <c r="Z1924" t="s">
        <v>58</v>
      </c>
      <c r="AA1924" t="s">
        <v>58</v>
      </c>
      <c r="AC1924" t="s">
        <v>58</v>
      </c>
      <c r="AE1924" t="s">
        <v>58</v>
      </c>
      <c r="AG1924" t="s">
        <v>63</v>
      </c>
      <c r="AH1924" s="11" t="str">
        <f t="shared" si="143"/>
        <v>mailto: soilterrain@victoria1.gov.bc.ca</v>
      </c>
    </row>
    <row r="1925" spans="1:34">
      <c r="A1925" t="s">
        <v>4414</v>
      </c>
      <c r="B1925" t="s">
        <v>56</v>
      </c>
      <c r="C1925" s="10" t="s">
        <v>3084</v>
      </c>
      <c r="D1925" t="s">
        <v>58</v>
      </c>
      <c r="E1925" t="s">
        <v>58</v>
      </c>
      <c r="F1925" t="s">
        <v>4415</v>
      </c>
      <c r="G1925">
        <v>100000</v>
      </c>
      <c r="H1925">
        <v>1979</v>
      </c>
      <c r="I1925" t="s">
        <v>58</v>
      </c>
      <c r="J1925" t="s">
        <v>58</v>
      </c>
      <c r="K1925" t="s">
        <v>58</v>
      </c>
      <c r="L1925" t="s">
        <v>58</v>
      </c>
      <c r="M1925" t="s">
        <v>58</v>
      </c>
      <c r="O1925" t="s">
        <v>61</v>
      </c>
      <c r="Q1925" t="s">
        <v>58</v>
      </c>
      <c r="R1925" s="11" t="str">
        <f>HYPERLINK("\\imagefiles.bcgov\imagery\scanned_maps\moe_terrain_maps\Scanned_T_maps_all\K17\K18-1801","\\imagefiles.bcgov\imagery\scanned_maps\moe_terrain_maps\Scanned_T_maps_all\K17\K18-1801")</f>
        <v>\\imagefiles.bcgov\imagery\scanned_maps\moe_terrain_maps\Scanned_T_maps_all\K17\K18-1801</v>
      </c>
      <c r="S1925" t="s">
        <v>62</v>
      </c>
      <c r="T1925" s="11" t="str">
        <f>HYPERLINK("http://www.env.gov.bc.ca/esd/distdata/ecosystems/TEI_Scanned_Maps/K18/K18-1801","http://www.env.gov.bc.ca/esd/distdata/ecosystems/TEI_Scanned_Maps/K18/K18-1801")</f>
        <v>http://www.env.gov.bc.ca/esd/distdata/ecosystems/TEI_Scanned_Maps/K18/K18-1801</v>
      </c>
      <c r="U1925" t="s">
        <v>58</v>
      </c>
      <c r="V1925" t="s">
        <v>58</v>
      </c>
      <c r="W1925" t="s">
        <v>58</v>
      </c>
      <c r="X1925" t="s">
        <v>58</v>
      </c>
      <c r="Y1925" t="s">
        <v>58</v>
      </c>
      <c r="Z1925" t="s">
        <v>58</v>
      </c>
      <c r="AA1925" t="s">
        <v>58</v>
      </c>
      <c r="AC1925" t="s">
        <v>58</v>
      </c>
      <c r="AE1925" t="s">
        <v>58</v>
      </c>
      <c r="AG1925" t="s">
        <v>63</v>
      </c>
      <c r="AH1925" s="11" t="str">
        <f t="shared" si="143"/>
        <v>mailto: soilterrain@victoria1.gov.bc.ca</v>
      </c>
    </row>
    <row r="1926" spans="1:34">
      <c r="A1926" t="s">
        <v>4416</v>
      </c>
      <c r="B1926" t="s">
        <v>56</v>
      </c>
      <c r="C1926" s="10" t="s">
        <v>587</v>
      </c>
      <c r="D1926" t="s">
        <v>58</v>
      </c>
      <c r="E1926" t="s">
        <v>58</v>
      </c>
      <c r="F1926" t="s">
        <v>4417</v>
      </c>
      <c r="G1926">
        <v>100000</v>
      </c>
      <c r="H1926">
        <v>1979</v>
      </c>
      <c r="I1926" t="s">
        <v>58</v>
      </c>
      <c r="J1926" t="s">
        <v>58</v>
      </c>
      <c r="K1926" t="s">
        <v>58</v>
      </c>
      <c r="L1926" t="s">
        <v>58</v>
      </c>
      <c r="M1926" t="s">
        <v>58</v>
      </c>
      <c r="O1926" t="s">
        <v>61</v>
      </c>
      <c r="Q1926" t="s">
        <v>58</v>
      </c>
      <c r="R1926" s="11" t="str">
        <f>HYPERLINK("\\imagefiles.bcgov\imagery\scanned_maps\moe_terrain_maps\Scanned_T_maps_all\K17\K18-1807","\\imagefiles.bcgov\imagery\scanned_maps\moe_terrain_maps\Scanned_T_maps_all\K17\K18-1807")</f>
        <v>\\imagefiles.bcgov\imagery\scanned_maps\moe_terrain_maps\Scanned_T_maps_all\K17\K18-1807</v>
      </c>
      <c r="S1926" t="s">
        <v>62</v>
      </c>
      <c r="T1926" s="11" t="str">
        <f>HYPERLINK("http://www.env.gov.bc.ca/esd/distdata/ecosystems/TEI_Scanned_Maps/K18/K18-1807","http://www.env.gov.bc.ca/esd/distdata/ecosystems/TEI_Scanned_Maps/K18/K18-1807")</f>
        <v>http://www.env.gov.bc.ca/esd/distdata/ecosystems/TEI_Scanned_Maps/K18/K18-1807</v>
      </c>
      <c r="U1926" t="s">
        <v>58</v>
      </c>
      <c r="V1926" t="s">
        <v>58</v>
      </c>
      <c r="W1926" t="s">
        <v>58</v>
      </c>
      <c r="X1926" t="s">
        <v>58</v>
      </c>
      <c r="Y1926" t="s">
        <v>58</v>
      </c>
      <c r="Z1926" t="s">
        <v>58</v>
      </c>
      <c r="AA1926" t="s">
        <v>58</v>
      </c>
      <c r="AC1926" t="s">
        <v>58</v>
      </c>
      <c r="AE1926" t="s">
        <v>58</v>
      </c>
      <c r="AG1926" t="s">
        <v>63</v>
      </c>
      <c r="AH1926" s="11" t="str">
        <f t="shared" si="143"/>
        <v>mailto: soilterrain@victoria1.gov.bc.ca</v>
      </c>
    </row>
    <row r="1927" spans="1:34">
      <c r="A1927" t="s">
        <v>4418</v>
      </c>
      <c r="B1927" t="s">
        <v>56</v>
      </c>
      <c r="C1927" s="10" t="s">
        <v>3089</v>
      </c>
      <c r="D1927" t="s">
        <v>58</v>
      </c>
      <c r="E1927" t="s">
        <v>58</v>
      </c>
      <c r="F1927" t="s">
        <v>4419</v>
      </c>
      <c r="G1927">
        <v>100000</v>
      </c>
      <c r="H1927">
        <v>1979</v>
      </c>
      <c r="I1927" t="s">
        <v>58</v>
      </c>
      <c r="J1927" t="s">
        <v>58</v>
      </c>
      <c r="K1927" t="s">
        <v>58</v>
      </c>
      <c r="L1927" t="s">
        <v>58</v>
      </c>
      <c r="M1927" t="s">
        <v>58</v>
      </c>
      <c r="O1927" t="s">
        <v>61</v>
      </c>
      <c r="Q1927" t="s">
        <v>58</v>
      </c>
      <c r="R1927" s="11" t="str">
        <f>HYPERLINK("\\imagefiles.bcgov\imagery\scanned_maps\moe_terrain_maps\Scanned_T_maps_all\K17\K18-1813","\\imagefiles.bcgov\imagery\scanned_maps\moe_terrain_maps\Scanned_T_maps_all\K17\K18-1813")</f>
        <v>\\imagefiles.bcgov\imagery\scanned_maps\moe_terrain_maps\Scanned_T_maps_all\K17\K18-1813</v>
      </c>
      <c r="S1927" t="s">
        <v>62</v>
      </c>
      <c r="T1927" s="11" t="str">
        <f>HYPERLINK("http://www.env.gov.bc.ca/esd/distdata/ecosystems/TEI_Scanned_Maps/K18/K18-1813","http://www.env.gov.bc.ca/esd/distdata/ecosystems/TEI_Scanned_Maps/K18/K18-1813")</f>
        <v>http://www.env.gov.bc.ca/esd/distdata/ecosystems/TEI_Scanned_Maps/K18/K18-1813</v>
      </c>
      <c r="U1927" t="s">
        <v>58</v>
      </c>
      <c r="V1927" t="s">
        <v>58</v>
      </c>
      <c r="W1927" t="s">
        <v>58</v>
      </c>
      <c r="X1927" t="s">
        <v>58</v>
      </c>
      <c r="Y1927" t="s">
        <v>58</v>
      </c>
      <c r="Z1927" t="s">
        <v>58</v>
      </c>
      <c r="AA1927" t="s">
        <v>58</v>
      </c>
      <c r="AC1927" t="s">
        <v>58</v>
      </c>
      <c r="AE1927" t="s">
        <v>58</v>
      </c>
      <c r="AG1927" t="s">
        <v>63</v>
      </c>
      <c r="AH1927" s="11" t="str">
        <f t="shared" si="143"/>
        <v>mailto: soilterrain@victoria1.gov.bc.ca</v>
      </c>
    </row>
    <row r="1928" spans="1:34">
      <c r="A1928" t="s">
        <v>4420</v>
      </c>
      <c r="B1928" t="s">
        <v>56</v>
      </c>
      <c r="C1928" s="10" t="s">
        <v>4220</v>
      </c>
      <c r="D1928" t="s">
        <v>58</v>
      </c>
      <c r="E1928" t="s">
        <v>58</v>
      </c>
      <c r="F1928" t="s">
        <v>4421</v>
      </c>
      <c r="G1928">
        <v>100000</v>
      </c>
      <c r="H1928">
        <v>1979</v>
      </c>
      <c r="I1928" t="s">
        <v>58</v>
      </c>
      <c r="J1928" t="s">
        <v>58</v>
      </c>
      <c r="K1928" t="s">
        <v>58</v>
      </c>
      <c r="L1928" t="s">
        <v>58</v>
      </c>
      <c r="M1928" t="s">
        <v>58</v>
      </c>
      <c r="O1928" t="s">
        <v>61</v>
      </c>
      <c r="Q1928" t="s">
        <v>58</v>
      </c>
      <c r="R1928" s="11" t="str">
        <f>HYPERLINK("\\imagefiles.bcgov\imagery\scanned_maps\moe_terrain_maps\Scanned_T_maps_all\K17\K18-1841","\\imagefiles.bcgov\imagery\scanned_maps\moe_terrain_maps\Scanned_T_maps_all\K17\K18-1841")</f>
        <v>\\imagefiles.bcgov\imagery\scanned_maps\moe_terrain_maps\Scanned_T_maps_all\K17\K18-1841</v>
      </c>
      <c r="S1928" t="s">
        <v>62</v>
      </c>
      <c r="T1928" s="11" t="str">
        <f>HYPERLINK("http://www.env.gov.bc.ca/esd/distdata/ecosystems/TEI_Scanned_Maps/K18/K18-1841","http://www.env.gov.bc.ca/esd/distdata/ecosystems/TEI_Scanned_Maps/K18/K18-1841")</f>
        <v>http://www.env.gov.bc.ca/esd/distdata/ecosystems/TEI_Scanned_Maps/K18/K18-1841</v>
      </c>
      <c r="U1928" t="s">
        <v>58</v>
      </c>
      <c r="V1928" t="s">
        <v>58</v>
      </c>
      <c r="W1928" t="s">
        <v>58</v>
      </c>
      <c r="X1928" t="s">
        <v>58</v>
      </c>
      <c r="Y1928" t="s">
        <v>58</v>
      </c>
      <c r="Z1928" t="s">
        <v>58</v>
      </c>
      <c r="AA1928" t="s">
        <v>58</v>
      </c>
      <c r="AC1928" t="s">
        <v>58</v>
      </c>
      <c r="AE1928" t="s">
        <v>58</v>
      </c>
      <c r="AG1928" t="s">
        <v>63</v>
      </c>
      <c r="AH1928" s="11" t="str">
        <f t="shared" si="143"/>
        <v>mailto: soilterrain@victoria1.gov.bc.ca</v>
      </c>
    </row>
    <row r="1929" spans="1:34">
      <c r="A1929" t="s">
        <v>4422</v>
      </c>
      <c r="B1929" t="s">
        <v>56</v>
      </c>
      <c r="C1929" s="10" t="s">
        <v>4223</v>
      </c>
      <c r="D1929" t="s">
        <v>58</v>
      </c>
      <c r="E1929" t="s">
        <v>58</v>
      </c>
      <c r="F1929" t="s">
        <v>4423</v>
      </c>
      <c r="G1929">
        <v>100000</v>
      </c>
      <c r="H1929">
        <v>1979</v>
      </c>
      <c r="I1929" t="s">
        <v>58</v>
      </c>
      <c r="J1929" t="s">
        <v>58</v>
      </c>
      <c r="K1929" t="s">
        <v>58</v>
      </c>
      <c r="L1929" t="s">
        <v>58</v>
      </c>
      <c r="M1929" t="s">
        <v>58</v>
      </c>
      <c r="O1929" t="s">
        <v>61</v>
      </c>
      <c r="Q1929" t="s">
        <v>58</v>
      </c>
      <c r="R1929" s="11" t="str">
        <f>HYPERLINK("\\imagefiles.bcgov\imagery\scanned_maps\moe_terrain_maps\Scanned_T_maps_all\K17\K18-1846","\\imagefiles.bcgov\imagery\scanned_maps\moe_terrain_maps\Scanned_T_maps_all\K17\K18-1846")</f>
        <v>\\imagefiles.bcgov\imagery\scanned_maps\moe_terrain_maps\Scanned_T_maps_all\K17\K18-1846</v>
      </c>
      <c r="S1929" t="s">
        <v>62</v>
      </c>
      <c r="T1929" s="11" t="str">
        <f>HYPERLINK("http://www.env.gov.bc.ca/esd/distdata/ecosystems/TEI_Scanned_Maps/K18/K18-1846","http://www.env.gov.bc.ca/esd/distdata/ecosystems/TEI_Scanned_Maps/K18/K18-1846")</f>
        <v>http://www.env.gov.bc.ca/esd/distdata/ecosystems/TEI_Scanned_Maps/K18/K18-1846</v>
      </c>
      <c r="U1929" t="s">
        <v>58</v>
      </c>
      <c r="V1929" t="s">
        <v>58</v>
      </c>
      <c r="W1929" t="s">
        <v>58</v>
      </c>
      <c r="X1929" t="s">
        <v>58</v>
      </c>
      <c r="Y1929" t="s">
        <v>58</v>
      </c>
      <c r="Z1929" t="s">
        <v>58</v>
      </c>
      <c r="AA1929" t="s">
        <v>58</v>
      </c>
      <c r="AC1929" t="s">
        <v>58</v>
      </c>
      <c r="AE1929" t="s">
        <v>58</v>
      </c>
      <c r="AG1929" t="s">
        <v>63</v>
      </c>
      <c r="AH1929" s="11" t="str">
        <f t="shared" si="143"/>
        <v>mailto: soilterrain@victoria1.gov.bc.ca</v>
      </c>
    </row>
    <row r="1930" spans="1:34">
      <c r="A1930" t="s">
        <v>4424</v>
      </c>
      <c r="B1930" t="s">
        <v>56</v>
      </c>
      <c r="C1930" s="10" t="s">
        <v>1907</v>
      </c>
      <c r="D1930" t="s">
        <v>58</v>
      </c>
      <c r="E1930" t="s">
        <v>58</v>
      </c>
      <c r="F1930" t="s">
        <v>4425</v>
      </c>
      <c r="G1930">
        <v>100000</v>
      </c>
      <c r="H1930">
        <v>1979</v>
      </c>
      <c r="I1930" t="s">
        <v>58</v>
      </c>
      <c r="J1930" t="s">
        <v>58</v>
      </c>
      <c r="K1930" t="s">
        <v>58</v>
      </c>
      <c r="L1930" t="s">
        <v>58</v>
      </c>
      <c r="M1930" t="s">
        <v>58</v>
      </c>
      <c r="O1930" t="s">
        <v>61</v>
      </c>
      <c r="Q1930" t="s">
        <v>58</v>
      </c>
      <c r="R1930" s="11" t="str">
        <f>HYPERLINK("\\imagefiles.bcgov\imagery\scanned_maps\moe_terrain_maps\Scanned_T_maps_all\K17\K18-1871","\\imagefiles.bcgov\imagery\scanned_maps\moe_terrain_maps\Scanned_T_maps_all\K17\K18-1871")</f>
        <v>\\imagefiles.bcgov\imagery\scanned_maps\moe_terrain_maps\Scanned_T_maps_all\K17\K18-1871</v>
      </c>
      <c r="S1930" t="s">
        <v>62</v>
      </c>
      <c r="T1930" s="11" t="str">
        <f>HYPERLINK("http://www.env.gov.bc.ca/esd/distdata/ecosystems/TEI_Scanned_Maps/K18/K18-1871","http://www.env.gov.bc.ca/esd/distdata/ecosystems/TEI_Scanned_Maps/K18/K18-1871")</f>
        <v>http://www.env.gov.bc.ca/esd/distdata/ecosystems/TEI_Scanned_Maps/K18/K18-1871</v>
      </c>
      <c r="U1930" t="s">
        <v>58</v>
      </c>
      <c r="V1930" t="s">
        <v>58</v>
      </c>
      <c r="W1930" t="s">
        <v>58</v>
      </c>
      <c r="X1930" t="s">
        <v>58</v>
      </c>
      <c r="Y1930" t="s">
        <v>58</v>
      </c>
      <c r="Z1930" t="s">
        <v>58</v>
      </c>
      <c r="AA1930" t="s">
        <v>58</v>
      </c>
      <c r="AC1930" t="s">
        <v>58</v>
      </c>
      <c r="AE1930" t="s">
        <v>58</v>
      </c>
      <c r="AG1930" t="s">
        <v>63</v>
      </c>
      <c r="AH1930" s="11" t="str">
        <f t="shared" si="143"/>
        <v>mailto: soilterrain@victoria1.gov.bc.ca</v>
      </c>
    </row>
    <row r="1931" spans="1:34">
      <c r="A1931" t="s">
        <v>4426</v>
      </c>
      <c r="B1931" t="s">
        <v>56</v>
      </c>
      <c r="C1931" s="10" t="s">
        <v>4231</v>
      </c>
      <c r="D1931" t="s">
        <v>58</v>
      </c>
      <c r="E1931" t="s">
        <v>58</v>
      </c>
      <c r="F1931" t="s">
        <v>4427</v>
      </c>
      <c r="G1931">
        <v>100000</v>
      </c>
      <c r="H1931">
        <v>1979</v>
      </c>
      <c r="I1931" t="s">
        <v>58</v>
      </c>
      <c r="J1931" t="s">
        <v>58</v>
      </c>
      <c r="K1931" t="s">
        <v>58</v>
      </c>
      <c r="L1931" t="s">
        <v>58</v>
      </c>
      <c r="M1931" t="s">
        <v>58</v>
      </c>
      <c r="O1931" t="s">
        <v>61</v>
      </c>
      <c r="Q1931" t="s">
        <v>58</v>
      </c>
      <c r="R1931" s="11" t="str">
        <f>HYPERLINK("\\imagefiles.bcgov\imagery\scanned_maps\moe_terrain_maps\Scanned_T_maps_all\K17\K18-1904","\\imagefiles.bcgov\imagery\scanned_maps\moe_terrain_maps\Scanned_T_maps_all\K17\K18-1904")</f>
        <v>\\imagefiles.bcgov\imagery\scanned_maps\moe_terrain_maps\Scanned_T_maps_all\K17\K18-1904</v>
      </c>
      <c r="S1931" t="s">
        <v>62</v>
      </c>
      <c r="T1931" s="11" t="str">
        <f>HYPERLINK("http://www.env.gov.bc.ca/esd/distdata/ecosystems/TEI_Scanned_Maps/K18/K18-1904","http://www.env.gov.bc.ca/esd/distdata/ecosystems/TEI_Scanned_Maps/K18/K18-1904")</f>
        <v>http://www.env.gov.bc.ca/esd/distdata/ecosystems/TEI_Scanned_Maps/K18/K18-1904</v>
      </c>
      <c r="U1931" t="s">
        <v>58</v>
      </c>
      <c r="V1931" t="s">
        <v>58</v>
      </c>
      <c r="W1931" t="s">
        <v>58</v>
      </c>
      <c r="X1931" t="s">
        <v>58</v>
      </c>
      <c r="Y1931" t="s">
        <v>58</v>
      </c>
      <c r="Z1931" t="s">
        <v>58</v>
      </c>
      <c r="AA1931" t="s">
        <v>58</v>
      </c>
      <c r="AC1931" t="s">
        <v>58</v>
      </c>
      <c r="AE1931" t="s">
        <v>58</v>
      </c>
      <c r="AG1931" t="s">
        <v>63</v>
      </c>
      <c r="AH1931" s="11" t="str">
        <f t="shared" si="143"/>
        <v>mailto: soilterrain@victoria1.gov.bc.ca</v>
      </c>
    </row>
    <row r="1932" spans="1:34">
      <c r="A1932" t="s">
        <v>4428</v>
      </c>
      <c r="B1932" t="s">
        <v>56</v>
      </c>
      <c r="C1932" s="10" t="s">
        <v>4234</v>
      </c>
      <c r="D1932" t="s">
        <v>58</v>
      </c>
      <c r="E1932" t="s">
        <v>58</v>
      </c>
      <c r="F1932" t="s">
        <v>4429</v>
      </c>
      <c r="G1932">
        <v>100000</v>
      </c>
      <c r="H1932">
        <v>1979</v>
      </c>
      <c r="I1932" t="s">
        <v>58</v>
      </c>
      <c r="J1932" t="s">
        <v>58</v>
      </c>
      <c r="K1932" t="s">
        <v>58</v>
      </c>
      <c r="L1932" t="s">
        <v>58</v>
      </c>
      <c r="M1932" t="s">
        <v>58</v>
      </c>
      <c r="O1932" t="s">
        <v>61</v>
      </c>
      <c r="Q1932" t="s">
        <v>58</v>
      </c>
      <c r="R1932" s="11" t="str">
        <f>HYPERLINK("\\imagefiles.bcgov\imagery\scanned_maps\moe_terrain_maps\Scanned_T_maps_all\K17\K18-1909","\\imagefiles.bcgov\imagery\scanned_maps\moe_terrain_maps\Scanned_T_maps_all\K17\K18-1909")</f>
        <v>\\imagefiles.bcgov\imagery\scanned_maps\moe_terrain_maps\Scanned_T_maps_all\K17\K18-1909</v>
      </c>
      <c r="S1932" t="s">
        <v>62</v>
      </c>
      <c r="T1932" s="11" t="str">
        <f>HYPERLINK("http://www.env.gov.bc.ca/esd/distdata/ecosystems/TEI_Scanned_Maps/K18/K18-1909","http://www.env.gov.bc.ca/esd/distdata/ecosystems/TEI_Scanned_Maps/K18/K18-1909")</f>
        <v>http://www.env.gov.bc.ca/esd/distdata/ecosystems/TEI_Scanned_Maps/K18/K18-1909</v>
      </c>
      <c r="U1932" t="s">
        <v>58</v>
      </c>
      <c r="V1932" t="s">
        <v>58</v>
      </c>
      <c r="W1932" t="s">
        <v>58</v>
      </c>
      <c r="X1932" t="s">
        <v>58</v>
      </c>
      <c r="Y1932" t="s">
        <v>58</v>
      </c>
      <c r="Z1932" t="s">
        <v>58</v>
      </c>
      <c r="AA1932" t="s">
        <v>58</v>
      </c>
      <c r="AC1932" t="s">
        <v>58</v>
      </c>
      <c r="AE1932" t="s">
        <v>58</v>
      </c>
      <c r="AG1932" t="s">
        <v>63</v>
      </c>
      <c r="AH1932" s="11" t="str">
        <f t="shared" si="143"/>
        <v>mailto: soilterrain@victoria1.gov.bc.ca</v>
      </c>
    </row>
    <row r="1933" spans="1:34">
      <c r="A1933" t="s">
        <v>4430</v>
      </c>
      <c r="B1933" t="s">
        <v>56</v>
      </c>
      <c r="C1933" s="10" t="s">
        <v>1904</v>
      </c>
      <c r="D1933" t="s">
        <v>58</v>
      </c>
      <c r="E1933" t="s">
        <v>58</v>
      </c>
      <c r="F1933" t="s">
        <v>4431</v>
      </c>
      <c r="G1933">
        <v>100000</v>
      </c>
      <c r="H1933">
        <v>1979</v>
      </c>
      <c r="I1933" t="s">
        <v>58</v>
      </c>
      <c r="J1933" t="s">
        <v>58</v>
      </c>
      <c r="K1933" t="s">
        <v>58</v>
      </c>
      <c r="L1933" t="s">
        <v>58</v>
      </c>
      <c r="M1933" t="s">
        <v>58</v>
      </c>
      <c r="O1933" t="s">
        <v>61</v>
      </c>
      <c r="Q1933" t="s">
        <v>58</v>
      </c>
      <c r="R1933" s="11" t="str">
        <f>HYPERLINK("\\imagefiles.bcgov\imagery\scanned_maps\moe_terrain_maps\Scanned_T_maps_all\K17\K18-1915","\\imagefiles.bcgov\imagery\scanned_maps\moe_terrain_maps\Scanned_T_maps_all\K17\K18-1915")</f>
        <v>\\imagefiles.bcgov\imagery\scanned_maps\moe_terrain_maps\Scanned_T_maps_all\K17\K18-1915</v>
      </c>
      <c r="S1933" t="s">
        <v>62</v>
      </c>
      <c r="T1933" s="11" t="str">
        <f>HYPERLINK("http://www.env.gov.bc.ca/esd/distdata/ecosystems/TEI_Scanned_Maps/K18/K18-1915","http://www.env.gov.bc.ca/esd/distdata/ecosystems/TEI_Scanned_Maps/K18/K18-1915")</f>
        <v>http://www.env.gov.bc.ca/esd/distdata/ecosystems/TEI_Scanned_Maps/K18/K18-1915</v>
      </c>
      <c r="U1933" t="s">
        <v>58</v>
      </c>
      <c r="V1933" t="s">
        <v>58</v>
      </c>
      <c r="W1933" t="s">
        <v>58</v>
      </c>
      <c r="X1933" t="s">
        <v>58</v>
      </c>
      <c r="Y1933" t="s">
        <v>58</v>
      </c>
      <c r="Z1933" t="s">
        <v>58</v>
      </c>
      <c r="AA1933" t="s">
        <v>58</v>
      </c>
      <c r="AC1933" t="s">
        <v>58</v>
      </c>
      <c r="AE1933" t="s">
        <v>58</v>
      </c>
      <c r="AG1933" t="s">
        <v>63</v>
      </c>
      <c r="AH1933" s="11" t="str">
        <f t="shared" si="143"/>
        <v>mailto: soilterrain@victoria1.gov.bc.ca</v>
      </c>
    </row>
    <row r="1934" spans="1:34">
      <c r="A1934" t="s">
        <v>4432</v>
      </c>
      <c r="B1934" t="s">
        <v>56</v>
      </c>
      <c r="C1934" s="10" t="s">
        <v>4433</v>
      </c>
      <c r="D1934" t="s">
        <v>58</v>
      </c>
      <c r="E1934" t="s">
        <v>58</v>
      </c>
      <c r="F1934" t="s">
        <v>4434</v>
      </c>
      <c r="G1934">
        <v>100000</v>
      </c>
      <c r="H1934">
        <v>1979</v>
      </c>
      <c r="I1934" t="s">
        <v>58</v>
      </c>
      <c r="J1934" t="s">
        <v>58</v>
      </c>
      <c r="K1934" t="s">
        <v>58</v>
      </c>
      <c r="L1934" t="s">
        <v>58</v>
      </c>
      <c r="M1934" t="s">
        <v>58</v>
      </c>
      <c r="O1934" t="s">
        <v>61</v>
      </c>
      <c r="Q1934" t="s">
        <v>58</v>
      </c>
      <c r="R1934" s="11" t="str">
        <f>HYPERLINK("\\imagefiles.bcgov\imagery\scanned_maps\moe_terrain_maps\Scanned_T_maps_all\K17\K18-1918","\\imagefiles.bcgov\imagery\scanned_maps\moe_terrain_maps\Scanned_T_maps_all\K17\K18-1918")</f>
        <v>\\imagefiles.bcgov\imagery\scanned_maps\moe_terrain_maps\Scanned_T_maps_all\K17\K18-1918</v>
      </c>
      <c r="S1934" t="s">
        <v>62</v>
      </c>
      <c r="T1934" s="11" t="str">
        <f>HYPERLINK("http://www.env.gov.bc.ca/esd/distdata/ecosystems/TEI_Scanned_Maps/K18/K18-1918","http://www.env.gov.bc.ca/esd/distdata/ecosystems/TEI_Scanned_Maps/K18/K18-1918")</f>
        <v>http://www.env.gov.bc.ca/esd/distdata/ecosystems/TEI_Scanned_Maps/K18/K18-1918</v>
      </c>
      <c r="U1934" t="s">
        <v>58</v>
      </c>
      <c r="V1934" t="s">
        <v>58</v>
      </c>
      <c r="W1934" t="s">
        <v>58</v>
      </c>
      <c r="X1934" t="s">
        <v>58</v>
      </c>
      <c r="Y1934" t="s">
        <v>58</v>
      </c>
      <c r="Z1934" t="s">
        <v>58</v>
      </c>
      <c r="AA1934" t="s">
        <v>58</v>
      </c>
      <c r="AC1934" t="s">
        <v>58</v>
      </c>
      <c r="AE1934" t="s">
        <v>58</v>
      </c>
      <c r="AG1934" t="s">
        <v>63</v>
      </c>
      <c r="AH1934" s="11" t="str">
        <f t="shared" si="143"/>
        <v>mailto: soilterrain@victoria1.gov.bc.ca</v>
      </c>
    </row>
    <row r="1935" spans="1:34">
      <c r="A1935" t="s">
        <v>4435</v>
      </c>
      <c r="B1935" t="s">
        <v>56</v>
      </c>
      <c r="C1935" s="10" t="s">
        <v>4436</v>
      </c>
      <c r="D1935" t="s">
        <v>58</v>
      </c>
      <c r="E1935" t="s">
        <v>58</v>
      </c>
      <c r="F1935" t="s">
        <v>4437</v>
      </c>
      <c r="G1935">
        <v>250000</v>
      </c>
      <c r="H1935">
        <v>1979</v>
      </c>
      <c r="I1935" t="s">
        <v>58</v>
      </c>
      <c r="J1935" t="s">
        <v>58</v>
      </c>
      <c r="K1935" t="s">
        <v>58</v>
      </c>
      <c r="L1935" t="s">
        <v>58</v>
      </c>
      <c r="M1935" t="s">
        <v>58</v>
      </c>
      <c r="O1935" t="s">
        <v>61</v>
      </c>
      <c r="Q1935" t="s">
        <v>58</v>
      </c>
      <c r="R1935" s="11" t="str">
        <f>HYPERLINK("\\imagefiles.bcgov\imagery\scanned_maps\moe_terrain_maps\Scanned_T_maps_all\K17\K18-1926","\\imagefiles.bcgov\imagery\scanned_maps\moe_terrain_maps\Scanned_T_maps_all\K17\K18-1926")</f>
        <v>\\imagefiles.bcgov\imagery\scanned_maps\moe_terrain_maps\Scanned_T_maps_all\K17\K18-1926</v>
      </c>
      <c r="S1935" t="s">
        <v>62</v>
      </c>
      <c r="T1935" s="11" t="str">
        <f>HYPERLINK("http://www.env.gov.bc.ca/esd/distdata/ecosystems/TEI_Scanned_Maps/K18/K18-1926","http://www.env.gov.bc.ca/esd/distdata/ecosystems/TEI_Scanned_Maps/K18/K18-1926")</f>
        <v>http://www.env.gov.bc.ca/esd/distdata/ecosystems/TEI_Scanned_Maps/K18/K18-1926</v>
      </c>
      <c r="U1935" t="s">
        <v>58</v>
      </c>
      <c r="V1935" t="s">
        <v>58</v>
      </c>
      <c r="W1935" t="s">
        <v>58</v>
      </c>
      <c r="X1935" t="s">
        <v>58</v>
      </c>
      <c r="Y1935" t="s">
        <v>58</v>
      </c>
      <c r="Z1935" t="s">
        <v>58</v>
      </c>
      <c r="AA1935" t="s">
        <v>58</v>
      </c>
      <c r="AC1935" t="s">
        <v>58</v>
      </c>
      <c r="AE1935" t="s">
        <v>58</v>
      </c>
      <c r="AG1935" t="s">
        <v>63</v>
      </c>
      <c r="AH1935" s="11" t="str">
        <f t="shared" si="143"/>
        <v>mailto: soilterrain@victoria1.gov.bc.ca</v>
      </c>
    </row>
    <row r="1936" spans="1:34">
      <c r="A1936" t="s">
        <v>4438</v>
      </c>
      <c r="B1936" t="s">
        <v>56</v>
      </c>
      <c r="C1936" s="10" t="s">
        <v>4439</v>
      </c>
      <c r="D1936" t="s">
        <v>58</v>
      </c>
      <c r="E1936" t="s">
        <v>58</v>
      </c>
      <c r="F1936" t="s">
        <v>4440</v>
      </c>
      <c r="G1936">
        <v>250000</v>
      </c>
      <c r="H1936">
        <v>1979</v>
      </c>
      <c r="I1936" t="s">
        <v>58</v>
      </c>
      <c r="J1936" t="s">
        <v>58</v>
      </c>
      <c r="K1936" t="s">
        <v>58</v>
      </c>
      <c r="L1936" t="s">
        <v>58</v>
      </c>
      <c r="M1936" t="s">
        <v>58</v>
      </c>
      <c r="O1936" t="s">
        <v>61</v>
      </c>
      <c r="Q1936" t="s">
        <v>58</v>
      </c>
      <c r="R1936" s="11" t="str">
        <f>HYPERLINK("\\imagefiles.bcgov\imagery\scanned_maps\moe_terrain_maps\Scanned_T_maps_all\K17\K18-1994","\\imagefiles.bcgov\imagery\scanned_maps\moe_terrain_maps\Scanned_T_maps_all\K17\K18-1994")</f>
        <v>\\imagefiles.bcgov\imagery\scanned_maps\moe_terrain_maps\Scanned_T_maps_all\K17\K18-1994</v>
      </c>
      <c r="S1936" t="s">
        <v>62</v>
      </c>
      <c r="T1936" s="11" t="str">
        <f>HYPERLINK("http://www.env.gov.bc.ca/esd/distdata/ecosystems/TEI_Scanned_Maps/K18/K18-1994","http://www.env.gov.bc.ca/esd/distdata/ecosystems/TEI_Scanned_Maps/K18/K18-1994")</f>
        <v>http://www.env.gov.bc.ca/esd/distdata/ecosystems/TEI_Scanned_Maps/K18/K18-1994</v>
      </c>
      <c r="U1936" t="s">
        <v>58</v>
      </c>
      <c r="V1936" t="s">
        <v>58</v>
      </c>
      <c r="W1936" t="s">
        <v>58</v>
      </c>
      <c r="X1936" t="s">
        <v>58</v>
      </c>
      <c r="Y1936" t="s">
        <v>58</v>
      </c>
      <c r="Z1936" t="s">
        <v>58</v>
      </c>
      <c r="AA1936" t="s">
        <v>58</v>
      </c>
      <c r="AC1936" t="s">
        <v>58</v>
      </c>
      <c r="AE1936" t="s">
        <v>58</v>
      </c>
      <c r="AG1936" t="s">
        <v>63</v>
      </c>
      <c r="AH1936" s="11" t="str">
        <f t="shared" si="143"/>
        <v>mailto: soilterrain@victoria1.gov.bc.ca</v>
      </c>
    </row>
    <row r="1937" spans="1:34">
      <c r="A1937" t="s">
        <v>4441</v>
      </c>
      <c r="B1937" t="s">
        <v>56</v>
      </c>
      <c r="C1937" s="10" t="s">
        <v>1922</v>
      </c>
      <c r="D1937" t="s">
        <v>58</v>
      </c>
      <c r="E1937" t="s">
        <v>58</v>
      </c>
      <c r="F1937" t="s">
        <v>4442</v>
      </c>
      <c r="G1937">
        <v>100000</v>
      </c>
      <c r="H1937">
        <v>1986</v>
      </c>
      <c r="I1937" t="s">
        <v>58</v>
      </c>
      <c r="J1937" t="s">
        <v>58</v>
      </c>
      <c r="K1937" t="s">
        <v>58</v>
      </c>
      <c r="L1937" t="s">
        <v>58</v>
      </c>
      <c r="M1937" t="s">
        <v>58</v>
      </c>
      <c r="O1937" t="s">
        <v>61</v>
      </c>
      <c r="Q1937" t="s">
        <v>58</v>
      </c>
      <c r="R1937" s="11" t="str">
        <f>HYPERLINK("\\imagefiles.bcgov\imagery\scanned_maps\moe_terrain_maps\Scanned_T_maps_all\K17\K18-2045","\\imagefiles.bcgov\imagery\scanned_maps\moe_terrain_maps\Scanned_T_maps_all\K17\K18-2045")</f>
        <v>\\imagefiles.bcgov\imagery\scanned_maps\moe_terrain_maps\Scanned_T_maps_all\K17\K18-2045</v>
      </c>
      <c r="S1937" t="s">
        <v>62</v>
      </c>
      <c r="T1937" s="11" t="str">
        <f>HYPERLINK("http://www.env.gov.bc.ca/esd/distdata/ecosystems/TEI_Scanned_Maps/K18/K18-2045","http://www.env.gov.bc.ca/esd/distdata/ecosystems/TEI_Scanned_Maps/K18/K18-2045")</f>
        <v>http://www.env.gov.bc.ca/esd/distdata/ecosystems/TEI_Scanned_Maps/K18/K18-2045</v>
      </c>
      <c r="U1937" t="s">
        <v>58</v>
      </c>
      <c r="V1937" t="s">
        <v>58</v>
      </c>
      <c r="W1937" t="s">
        <v>58</v>
      </c>
      <c r="X1937" t="s">
        <v>58</v>
      </c>
      <c r="Y1937" t="s">
        <v>58</v>
      </c>
      <c r="Z1937" t="s">
        <v>58</v>
      </c>
      <c r="AA1937" t="s">
        <v>58</v>
      </c>
      <c r="AC1937" t="s">
        <v>58</v>
      </c>
      <c r="AE1937" t="s">
        <v>58</v>
      </c>
      <c r="AG1937" t="s">
        <v>63</v>
      </c>
      <c r="AH1937" s="11" t="str">
        <f t="shared" si="143"/>
        <v>mailto: soilterrain@victoria1.gov.bc.ca</v>
      </c>
    </row>
    <row r="1938" spans="1:34">
      <c r="A1938" t="s">
        <v>4443</v>
      </c>
      <c r="B1938" t="s">
        <v>56</v>
      </c>
      <c r="C1938" s="10" t="s">
        <v>1928</v>
      </c>
      <c r="D1938" t="s">
        <v>58</v>
      </c>
      <c r="E1938" t="s">
        <v>58</v>
      </c>
      <c r="F1938" t="s">
        <v>4444</v>
      </c>
      <c r="G1938">
        <v>100000</v>
      </c>
      <c r="H1938">
        <v>1986</v>
      </c>
      <c r="I1938" t="s">
        <v>58</v>
      </c>
      <c r="J1938" t="s">
        <v>58</v>
      </c>
      <c r="K1938" t="s">
        <v>58</v>
      </c>
      <c r="L1938" t="s">
        <v>58</v>
      </c>
      <c r="M1938" t="s">
        <v>58</v>
      </c>
      <c r="O1938" t="s">
        <v>61</v>
      </c>
      <c r="Q1938" t="s">
        <v>58</v>
      </c>
      <c r="R1938" s="11" t="str">
        <f>HYPERLINK("\\imagefiles.bcgov\imagery\scanned_maps\moe_terrain_maps\Scanned_T_maps_all\K17\K18-2059","\\imagefiles.bcgov\imagery\scanned_maps\moe_terrain_maps\Scanned_T_maps_all\K17\K18-2059")</f>
        <v>\\imagefiles.bcgov\imagery\scanned_maps\moe_terrain_maps\Scanned_T_maps_all\K17\K18-2059</v>
      </c>
      <c r="S1938" t="s">
        <v>62</v>
      </c>
      <c r="T1938" s="11" t="str">
        <f>HYPERLINK("http://www.env.gov.bc.ca/esd/distdata/ecosystems/TEI_Scanned_Maps/K18/K18-2059","http://www.env.gov.bc.ca/esd/distdata/ecosystems/TEI_Scanned_Maps/K18/K18-2059")</f>
        <v>http://www.env.gov.bc.ca/esd/distdata/ecosystems/TEI_Scanned_Maps/K18/K18-2059</v>
      </c>
      <c r="U1938" t="s">
        <v>58</v>
      </c>
      <c r="V1938" t="s">
        <v>58</v>
      </c>
      <c r="W1938" t="s">
        <v>58</v>
      </c>
      <c r="X1938" t="s">
        <v>58</v>
      </c>
      <c r="Y1938" t="s">
        <v>58</v>
      </c>
      <c r="Z1938" t="s">
        <v>58</v>
      </c>
      <c r="AA1938" t="s">
        <v>58</v>
      </c>
      <c r="AC1938" t="s">
        <v>58</v>
      </c>
      <c r="AE1938" t="s">
        <v>58</v>
      </c>
      <c r="AG1938" t="s">
        <v>63</v>
      </c>
      <c r="AH1938" s="11" t="str">
        <f t="shared" si="143"/>
        <v>mailto: soilterrain@victoria1.gov.bc.ca</v>
      </c>
    </row>
    <row r="1939" spans="1:34">
      <c r="A1939" t="s">
        <v>4445</v>
      </c>
      <c r="B1939" t="s">
        <v>56</v>
      </c>
      <c r="C1939" s="10" t="s">
        <v>4446</v>
      </c>
      <c r="D1939" t="s">
        <v>58</v>
      </c>
      <c r="E1939" t="s">
        <v>58</v>
      </c>
      <c r="F1939" t="s">
        <v>4447</v>
      </c>
      <c r="G1939">
        <v>250000</v>
      </c>
      <c r="H1939">
        <v>1986</v>
      </c>
      <c r="I1939" t="s">
        <v>58</v>
      </c>
      <c r="J1939" t="s">
        <v>58</v>
      </c>
      <c r="K1939" t="s">
        <v>58</v>
      </c>
      <c r="L1939" t="s">
        <v>58</v>
      </c>
      <c r="M1939" t="s">
        <v>58</v>
      </c>
      <c r="O1939" t="s">
        <v>61</v>
      </c>
      <c r="Q1939" t="s">
        <v>58</v>
      </c>
      <c r="R1939" s="11" t="str">
        <f>HYPERLINK("\\imagefiles.bcgov\imagery\scanned_maps\moe_terrain_maps\Scanned_T_maps_all\K17\K18-2084","\\imagefiles.bcgov\imagery\scanned_maps\moe_terrain_maps\Scanned_T_maps_all\K17\K18-2084")</f>
        <v>\\imagefiles.bcgov\imagery\scanned_maps\moe_terrain_maps\Scanned_T_maps_all\K17\K18-2084</v>
      </c>
      <c r="S1939" t="s">
        <v>62</v>
      </c>
      <c r="T1939" s="11" t="str">
        <f>HYPERLINK("http://www.env.gov.bc.ca/esd/distdata/ecosystems/TEI_Scanned_Maps/K18/K18-2084","http://www.env.gov.bc.ca/esd/distdata/ecosystems/TEI_Scanned_Maps/K18/K18-2084")</f>
        <v>http://www.env.gov.bc.ca/esd/distdata/ecosystems/TEI_Scanned_Maps/K18/K18-2084</v>
      </c>
      <c r="U1939" t="s">
        <v>58</v>
      </c>
      <c r="V1939" t="s">
        <v>58</v>
      </c>
      <c r="W1939" t="s">
        <v>58</v>
      </c>
      <c r="X1939" t="s">
        <v>58</v>
      </c>
      <c r="Y1939" t="s">
        <v>58</v>
      </c>
      <c r="Z1939" t="s">
        <v>58</v>
      </c>
      <c r="AA1939" t="s">
        <v>58</v>
      </c>
      <c r="AC1939" t="s">
        <v>58</v>
      </c>
      <c r="AE1939" t="s">
        <v>58</v>
      </c>
      <c r="AG1939" t="s">
        <v>63</v>
      </c>
      <c r="AH1939" s="11" t="str">
        <f t="shared" si="143"/>
        <v>mailto: soilterrain@victoria1.gov.bc.ca</v>
      </c>
    </row>
    <row r="1940" spans="1:34">
      <c r="A1940" t="s">
        <v>4448</v>
      </c>
      <c r="B1940" t="s">
        <v>56</v>
      </c>
      <c r="C1940" s="10" t="s">
        <v>4449</v>
      </c>
      <c r="D1940" t="s">
        <v>58</v>
      </c>
      <c r="E1940" t="s">
        <v>58</v>
      </c>
      <c r="F1940" t="s">
        <v>4450</v>
      </c>
      <c r="G1940">
        <v>250000</v>
      </c>
      <c r="H1940">
        <v>1986</v>
      </c>
      <c r="I1940" t="s">
        <v>58</v>
      </c>
      <c r="J1940" t="s">
        <v>58</v>
      </c>
      <c r="K1940" t="s">
        <v>58</v>
      </c>
      <c r="L1940" t="s">
        <v>58</v>
      </c>
      <c r="M1940" t="s">
        <v>58</v>
      </c>
      <c r="O1940" t="s">
        <v>61</v>
      </c>
      <c r="Q1940" t="s">
        <v>58</v>
      </c>
      <c r="R1940" s="11" t="str">
        <f>HYPERLINK("\\imagefiles.bcgov\imagery\scanned_maps\moe_terrain_maps\Scanned_T_maps_all\K17\K18-2207","\\imagefiles.bcgov\imagery\scanned_maps\moe_terrain_maps\Scanned_T_maps_all\K17\K18-2207")</f>
        <v>\\imagefiles.bcgov\imagery\scanned_maps\moe_terrain_maps\Scanned_T_maps_all\K17\K18-2207</v>
      </c>
      <c r="S1940" t="s">
        <v>62</v>
      </c>
      <c r="T1940" s="11" t="str">
        <f>HYPERLINK("http://www.env.gov.bc.ca/esd/distdata/ecosystems/TEI_Scanned_Maps/K18/K18-2207","http://www.env.gov.bc.ca/esd/distdata/ecosystems/TEI_Scanned_Maps/K18/K18-2207")</f>
        <v>http://www.env.gov.bc.ca/esd/distdata/ecosystems/TEI_Scanned_Maps/K18/K18-2207</v>
      </c>
      <c r="U1940" t="s">
        <v>58</v>
      </c>
      <c r="V1940" t="s">
        <v>58</v>
      </c>
      <c r="W1940" t="s">
        <v>58</v>
      </c>
      <c r="X1940" t="s">
        <v>58</v>
      </c>
      <c r="Y1940" t="s">
        <v>58</v>
      </c>
      <c r="Z1940" t="s">
        <v>58</v>
      </c>
      <c r="AA1940" t="s">
        <v>58</v>
      </c>
      <c r="AC1940" t="s">
        <v>58</v>
      </c>
      <c r="AE1940" t="s">
        <v>58</v>
      </c>
      <c r="AG1940" t="s">
        <v>63</v>
      </c>
      <c r="AH1940" s="11" t="str">
        <f t="shared" si="143"/>
        <v>mailto: soilterrain@victoria1.gov.bc.ca</v>
      </c>
    </row>
    <row r="1941" spans="1:34">
      <c r="A1941" t="s">
        <v>4451</v>
      </c>
      <c r="B1941" t="s">
        <v>56</v>
      </c>
      <c r="C1941" s="10" t="s">
        <v>4452</v>
      </c>
      <c r="D1941" t="s">
        <v>58</v>
      </c>
      <c r="E1941" t="s">
        <v>58</v>
      </c>
      <c r="F1941" t="s">
        <v>4453</v>
      </c>
      <c r="G1941">
        <v>250000</v>
      </c>
      <c r="H1941">
        <v>1986</v>
      </c>
      <c r="I1941" t="s">
        <v>58</v>
      </c>
      <c r="J1941" t="s">
        <v>58</v>
      </c>
      <c r="K1941" t="s">
        <v>58</v>
      </c>
      <c r="L1941" t="s">
        <v>58</v>
      </c>
      <c r="M1941" t="s">
        <v>58</v>
      </c>
      <c r="O1941" t="s">
        <v>61</v>
      </c>
      <c r="Q1941" t="s">
        <v>58</v>
      </c>
      <c r="R1941" s="11" t="str">
        <f>HYPERLINK("\\imagefiles.bcgov\imagery\scanned_maps\moe_terrain_maps\Scanned_T_maps_all\K17\K18-2225","\\imagefiles.bcgov\imagery\scanned_maps\moe_terrain_maps\Scanned_T_maps_all\K17\K18-2225")</f>
        <v>\\imagefiles.bcgov\imagery\scanned_maps\moe_terrain_maps\Scanned_T_maps_all\K17\K18-2225</v>
      </c>
      <c r="S1941" t="s">
        <v>62</v>
      </c>
      <c r="T1941" s="11" t="str">
        <f>HYPERLINK("http://www.env.gov.bc.ca/esd/distdata/ecosystems/TEI_Scanned_Maps/K18/K18-2225","http://www.env.gov.bc.ca/esd/distdata/ecosystems/TEI_Scanned_Maps/K18/K18-2225")</f>
        <v>http://www.env.gov.bc.ca/esd/distdata/ecosystems/TEI_Scanned_Maps/K18/K18-2225</v>
      </c>
      <c r="U1941" t="s">
        <v>58</v>
      </c>
      <c r="V1941" t="s">
        <v>58</v>
      </c>
      <c r="W1941" t="s">
        <v>58</v>
      </c>
      <c r="X1941" t="s">
        <v>58</v>
      </c>
      <c r="Y1941" t="s">
        <v>58</v>
      </c>
      <c r="Z1941" t="s">
        <v>58</v>
      </c>
      <c r="AA1941" t="s">
        <v>58</v>
      </c>
      <c r="AC1941" t="s">
        <v>58</v>
      </c>
      <c r="AE1941" t="s">
        <v>58</v>
      </c>
      <c r="AG1941" t="s">
        <v>63</v>
      </c>
      <c r="AH1941" s="11" t="str">
        <f t="shared" si="143"/>
        <v>mailto: soilterrain@victoria1.gov.bc.ca</v>
      </c>
    </row>
    <row r="1942" spans="1:34">
      <c r="A1942" t="s">
        <v>4454</v>
      </c>
      <c r="B1942" t="s">
        <v>56</v>
      </c>
      <c r="C1942" s="10" t="s">
        <v>4455</v>
      </c>
      <c r="D1942" t="s">
        <v>58</v>
      </c>
      <c r="E1942" t="s">
        <v>58</v>
      </c>
      <c r="F1942" t="s">
        <v>4456</v>
      </c>
      <c r="G1942">
        <v>250000</v>
      </c>
      <c r="H1942">
        <v>1986</v>
      </c>
      <c r="I1942" t="s">
        <v>58</v>
      </c>
      <c r="J1942" t="s">
        <v>58</v>
      </c>
      <c r="K1942" t="s">
        <v>58</v>
      </c>
      <c r="L1942" t="s">
        <v>58</v>
      </c>
      <c r="M1942" t="s">
        <v>58</v>
      </c>
      <c r="O1942" t="s">
        <v>61</v>
      </c>
      <c r="Q1942" t="s">
        <v>58</v>
      </c>
      <c r="R1942" s="11" t="str">
        <f>HYPERLINK("\\imagefiles.bcgov\imagery\scanned_maps\moe_terrain_maps\Scanned_T_maps_all\K17\K18-2264","\\imagefiles.bcgov\imagery\scanned_maps\moe_terrain_maps\Scanned_T_maps_all\K17\K18-2264")</f>
        <v>\\imagefiles.bcgov\imagery\scanned_maps\moe_terrain_maps\Scanned_T_maps_all\K17\K18-2264</v>
      </c>
      <c r="S1942" t="s">
        <v>62</v>
      </c>
      <c r="T1942" s="11" t="str">
        <f>HYPERLINK("http://www.env.gov.bc.ca/esd/distdata/ecosystems/TEI_Scanned_Maps/K18/K18-2264","http://www.env.gov.bc.ca/esd/distdata/ecosystems/TEI_Scanned_Maps/K18/K18-2264")</f>
        <v>http://www.env.gov.bc.ca/esd/distdata/ecosystems/TEI_Scanned_Maps/K18/K18-2264</v>
      </c>
      <c r="U1942" t="s">
        <v>58</v>
      </c>
      <c r="V1942" t="s">
        <v>58</v>
      </c>
      <c r="W1942" t="s">
        <v>58</v>
      </c>
      <c r="X1942" t="s">
        <v>58</v>
      </c>
      <c r="Y1942" t="s">
        <v>58</v>
      </c>
      <c r="Z1942" t="s">
        <v>58</v>
      </c>
      <c r="AA1942" t="s">
        <v>58</v>
      </c>
      <c r="AC1942" t="s">
        <v>58</v>
      </c>
      <c r="AE1942" t="s">
        <v>58</v>
      </c>
      <c r="AG1942" t="s">
        <v>63</v>
      </c>
      <c r="AH1942" s="11" t="str">
        <f t="shared" si="143"/>
        <v>mailto: soilterrain@victoria1.gov.bc.ca</v>
      </c>
    </row>
    <row r="1943" spans="1:34">
      <c r="A1943" t="s">
        <v>4457</v>
      </c>
      <c r="B1943" t="s">
        <v>56</v>
      </c>
      <c r="C1943" s="10" t="s">
        <v>4458</v>
      </c>
      <c r="D1943" t="s">
        <v>58</v>
      </c>
      <c r="E1943" t="s">
        <v>58</v>
      </c>
      <c r="F1943" t="s">
        <v>4459</v>
      </c>
      <c r="G1943">
        <v>100000</v>
      </c>
      <c r="H1943">
        <v>1986</v>
      </c>
      <c r="I1943" t="s">
        <v>58</v>
      </c>
      <c r="J1943" t="s">
        <v>58</v>
      </c>
      <c r="K1943" t="s">
        <v>58</v>
      </c>
      <c r="L1943" t="s">
        <v>58</v>
      </c>
      <c r="M1943" t="s">
        <v>58</v>
      </c>
      <c r="O1943" t="s">
        <v>61</v>
      </c>
      <c r="Q1943" t="s">
        <v>58</v>
      </c>
      <c r="R1943" s="11" t="str">
        <f>HYPERLINK("\\imagefiles.bcgov\imagery\scanned_maps\moe_terrain_maps\Scanned_T_maps_all\K17\K18-2341","\\imagefiles.bcgov\imagery\scanned_maps\moe_terrain_maps\Scanned_T_maps_all\K17\K18-2341")</f>
        <v>\\imagefiles.bcgov\imagery\scanned_maps\moe_terrain_maps\Scanned_T_maps_all\K17\K18-2341</v>
      </c>
      <c r="S1943" t="s">
        <v>62</v>
      </c>
      <c r="T1943" s="11" t="str">
        <f>HYPERLINK("http://www.env.gov.bc.ca/esd/distdata/ecosystems/TEI_Scanned_Maps/K18/K18-2341","http://www.env.gov.bc.ca/esd/distdata/ecosystems/TEI_Scanned_Maps/K18/K18-2341")</f>
        <v>http://www.env.gov.bc.ca/esd/distdata/ecosystems/TEI_Scanned_Maps/K18/K18-2341</v>
      </c>
      <c r="U1943" t="s">
        <v>58</v>
      </c>
      <c r="V1943" t="s">
        <v>58</v>
      </c>
      <c r="W1943" t="s">
        <v>58</v>
      </c>
      <c r="X1943" t="s">
        <v>58</v>
      </c>
      <c r="Y1943" t="s">
        <v>58</v>
      </c>
      <c r="Z1943" t="s">
        <v>58</v>
      </c>
      <c r="AA1943" t="s">
        <v>58</v>
      </c>
      <c r="AC1943" t="s">
        <v>58</v>
      </c>
      <c r="AE1943" t="s">
        <v>58</v>
      </c>
      <c r="AG1943" t="s">
        <v>63</v>
      </c>
      <c r="AH1943" s="11" t="str">
        <f t="shared" si="143"/>
        <v>mailto: soilterrain@victoria1.gov.bc.ca</v>
      </c>
    </row>
    <row r="1944" spans="1:34">
      <c r="A1944" t="s">
        <v>4460</v>
      </c>
      <c r="B1944" t="s">
        <v>56</v>
      </c>
      <c r="C1944" s="10" t="s">
        <v>3157</v>
      </c>
      <c r="D1944" t="s">
        <v>58</v>
      </c>
      <c r="E1944" t="s">
        <v>58</v>
      </c>
      <c r="F1944" t="s">
        <v>4461</v>
      </c>
      <c r="G1944">
        <v>100000</v>
      </c>
      <c r="H1944">
        <v>1977</v>
      </c>
      <c r="I1944" t="s">
        <v>58</v>
      </c>
      <c r="J1944" t="s">
        <v>58</v>
      </c>
      <c r="K1944" t="s">
        <v>58</v>
      </c>
      <c r="L1944" t="s">
        <v>58</v>
      </c>
      <c r="M1944" t="s">
        <v>58</v>
      </c>
      <c r="O1944" t="s">
        <v>61</v>
      </c>
      <c r="Q1944" t="s">
        <v>58</v>
      </c>
      <c r="R1944" s="11" t="str">
        <f>HYPERLINK("\\imagefiles.bcgov\imagery\scanned_maps\moe_terrain_maps\Scanned_T_maps_all\K17\K18-2346","\\imagefiles.bcgov\imagery\scanned_maps\moe_terrain_maps\Scanned_T_maps_all\K17\K18-2346")</f>
        <v>\\imagefiles.bcgov\imagery\scanned_maps\moe_terrain_maps\Scanned_T_maps_all\K17\K18-2346</v>
      </c>
      <c r="S1944" t="s">
        <v>62</v>
      </c>
      <c r="T1944" s="11" t="str">
        <f>HYPERLINK("http://www.env.gov.bc.ca/esd/distdata/ecosystems/TEI_Scanned_Maps/K18/K18-2346","http://www.env.gov.bc.ca/esd/distdata/ecosystems/TEI_Scanned_Maps/K18/K18-2346")</f>
        <v>http://www.env.gov.bc.ca/esd/distdata/ecosystems/TEI_Scanned_Maps/K18/K18-2346</v>
      </c>
      <c r="U1944" t="s">
        <v>58</v>
      </c>
      <c r="V1944" t="s">
        <v>58</v>
      </c>
      <c r="W1944" t="s">
        <v>58</v>
      </c>
      <c r="X1944" t="s">
        <v>58</v>
      </c>
      <c r="Y1944" t="s">
        <v>58</v>
      </c>
      <c r="Z1944" t="s">
        <v>58</v>
      </c>
      <c r="AA1944" t="s">
        <v>58</v>
      </c>
      <c r="AC1944" t="s">
        <v>58</v>
      </c>
      <c r="AE1944" t="s">
        <v>58</v>
      </c>
      <c r="AG1944" t="s">
        <v>63</v>
      </c>
      <c r="AH1944" s="11" t="str">
        <f t="shared" si="143"/>
        <v>mailto: soilterrain@victoria1.gov.bc.ca</v>
      </c>
    </row>
    <row r="1945" spans="1:34">
      <c r="A1945" t="s">
        <v>4462</v>
      </c>
      <c r="B1945" t="s">
        <v>56</v>
      </c>
      <c r="C1945" s="10" t="s">
        <v>4463</v>
      </c>
      <c r="D1945" t="s">
        <v>58</v>
      </c>
      <c r="E1945" t="s">
        <v>58</v>
      </c>
      <c r="F1945" t="s">
        <v>4464</v>
      </c>
      <c r="G1945">
        <v>100000</v>
      </c>
      <c r="H1945">
        <v>1977</v>
      </c>
      <c r="I1945" t="s">
        <v>58</v>
      </c>
      <c r="J1945" t="s">
        <v>58</v>
      </c>
      <c r="K1945" t="s">
        <v>58</v>
      </c>
      <c r="L1945" t="s">
        <v>58</v>
      </c>
      <c r="M1945" t="s">
        <v>58</v>
      </c>
      <c r="O1945" t="s">
        <v>61</v>
      </c>
      <c r="Q1945" t="s">
        <v>58</v>
      </c>
      <c r="R1945" s="11" t="str">
        <f>HYPERLINK("\\imagefiles.bcgov\imagery\scanned_maps\moe_terrain_maps\Scanned_T_maps_all\K17\K18-2351","\\imagefiles.bcgov\imagery\scanned_maps\moe_terrain_maps\Scanned_T_maps_all\K17\K18-2351")</f>
        <v>\\imagefiles.bcgov\imagery\scanned_maps\moe_terrain_maps\Scanned_T_maps_all\K17\K18-2351</v>
      </c>
      <c r="S1945" t="s">
        <v>62</v>
      </c>
      <c r="T1945" s="11" t="str">
        <f>HYPERLINK("http://www.env.gov.bc.ca/esd/distdata/ecosystems/TEI_Scanned_Maps/K18/K18-2351","http://www.env.gov.bc.ca/esd/distdata/ecosystems/TEI_Scanned_Maps/K18/K18-2351")</f>
        <v>http://www.env.gov.bc.ca/esd/distdata/ecosystems/TEI_Scanned_Maps/K18/K18-2351</v>
      </c>
      <c r="U1945" t="s">
        <v>58</v>
      </c>
      <c r="V1945" t="s">
        <v>58</v>
      </c>
      <c r="W1945" t="s">
        <v>58</v>
      </c>
      <c r="X1945" t="s">
        <v>58</v>
      </c>
      <c r="Y1945" t="s">
        <v>58</v>
      </c>
      <c r="Z1945" t="s">
        <v>58</v>
      </c>
      <c r="AA1945" t="s">
        <v>58</v>
      </c>
      <c r="AC1945" t="s">
        <v>58</v>
      </c>
      <c r="AE1945" t="s">
        <v>58</v>
      </c>
      <c r="AG1945" t="s">
        <v>63</v>
      </c>
      <c r="AH1945" s="11" t="str">
        <f t="shared" si="143"/>
        <v>mailto: soilterrain@victoria1.gov.bc.ca</v>
      </c>
    </row>
    <row r="1946" spans="1:34">
      <c r="A1946" t="s">
        <v>4465</v>
      </c>
      <c r="B1946" t="s">
        <v>56</v>
      </c>
      <c r="C1946" s="10" t="s">
        <v>4466</v>
      </c>
      <c r="D1946" t="s">
        <v>58</v>
      </c>
      <c r="E1946" t="s">
        <v>58</v>
      </c>
      <c r="F1946" t="s">
        <v>4467</v>
      </c>
      <c r="G1946">
        <v>250000</v>
      </c>
      <c r="H1946">
        <v>1977</v>
      </c>
      <c r="I1946" t="s">
        <v>58</v>
      </c>
      <c r="J1946" t="s">
        <v>58</v>
      </c>
      <c r="K1946" t="s">
        <v>58</v>
      </c>
      <c r="L1946" t="s">
        <v>58</v>
      </c>
      <c r="M1946" t="s">
        <v>58</v>
      </c>
      <c r="O1946" t="s">
        <v>61</v>
      </c>
      <c r="Q1946" t="s">
        <v>58</v>
      </c>
      <c r="R1946" s="11" t="str">
        <f>HYPERLINK("\\imagefiles.bcgov\imagery\scanned_maps\moe_terrain_maps\Scanned_T_maps_all\K17\K18-2384","\\imagefiles.bcgov\imagery\scanned_maps\moe_terrain_maps\Scanned_T_maps_all\K17\K18-2384")</f>
        <v>\\imagefiles.bcgov\imagery\scanned_maps\moe_terrain_maps\Scanned_T_maps_all\K17\K18-2384</v>
      </c>
      <c r="S1946" t="s">
        <v>62</v>
      </c>
      <c r="T1946" s="11" t="str">
        <f>HYPERLINK("http://www.env.gov.bc.ca/esd/distdata/ecosystems/TEI_Scanned_Maps/K18/K18-2384","http://www.env.gov.bc.ca/esd/distdata/ecosystems/TEI_Scanned_Maps/K18/K18-2384")</f>
        <v>http://www.env.gov.bc.ca/esd/distdata/ecosystems/TEI_Scanned_Maps/K18/K18-2384</v>
      </c>
      <c r="U1946" t="s">
        <v>58</v>
      </c>
      <c r="V1946" t="s">
        <v>58</v>
      </c>
      <c r="W1946" t="s">
        <v>58</v>
      </c>
      <c r="X1946" t="s">
        <v>58</v>
      </c>
      <c r="Y1946" t="s">
        <v>58</v>
      </c>
      <c r="Z1946" t="s">
        <v>58</v>
      </c>
      <c r="AA1946" t="s">
        <v>58</v>
      </c>
      <c r="AC1946" t="s">
        <v>58</v>
      </c>
      <c r="AE1946" t="s">
        <v>58</v>
      </c>
      <c r="AG1946" t="s">
        <v>63</v>
      </c>
      <c r="AH1946" s="11" t="str">
        <f t="shared" si="143"/>
        <v>mailto: soilterrain@victoria1.gov.bc.ca</v>
      </c>
    </row>
    <row r="1947" spans="1:34">
      <c r="A1947" t="s">
        <v>4468</v>
      </c>
      <c r="B1947" t="s">
        <v>56</v>
      </c>
      <c r="C1947" s="10" t="s">
        <v>4469</v>
      </c>
      <c r="D1947" t="s">
        <v>58</v>
      </c>
      <c r="E1947" t="s">
        <v>58</v>
      </c>
      <c r="F1947" t="s">
        <v>4470</v>
      </c>
      <c r="G1947">
        <v>250000</v>
      </c>
      <c r="H1947">
        <v>1977</v>
      </c>
      <c r="I1947" t="s">
        <v>58</v>
      </c>
      <c r="J1947" t="s">
        <v>58</v>
      </c>
      <c r="K1947" t="s">
        <v>58</v>
      </c>
      <c r="L1947" t="s">
        <v>58</v>
      </c>
      <c r="M1947" t="s">
        <v>58</v>
      </c>
      <c r="O1947" t="s">
        <v>61</v>
      </c>
      <c r="Q1947" t="s">
        <v>58</v>
      </c>
      <c r="R1947" s="11" t="str">
        <f>HYPERLINK("\\imagefiles.bcgov\imagery\scanned_maps\moe_terrain_maps\Scanned_T_maps_all\K17\K18-2412","\\imagefiles.bcgov\imagery\scanned_maps\moe_terrain_maps\Scanned_T_maps_all\K17\K18-2412")</f>
        <v>\\imagefiles.bcgov\imagery\scanned_maps\moe_terrain_maps\Scanned_T_maps_all\K17\K18-2412</v>
      </c>
      <c r="S1947" t="s">
        <v>62</v>
      </c>
      <c r="T1947" s="11" t="str">
        <f>HYPERLINK("http://www.env.gov.bc.ca/esd/distdata/ecosystems/TEI_Scanned_Maps/K18/K18-2412","http://www.env.gov.bc.ca/esd/distdata/ecosystems/TEI_Scanned_Maps/K18/K18-2412")</f>
        <v>http://www.env.gov.bc.ca/esd/distdata/ecosystems/TEI_Scanned_Maps/K18/K18-2412</v>
      </c>
      <c r="U1947" t="s">
        <v>58</v>
      </c>
      <c r="V1947" t="s">
        <v>58</v>
      </c>
      <c r="W1947" t="s">
        <v>58</v>
      </c>
      <c r="X1947" t="s">
        <v>58</v>
      </c>
      <c r="Y1947" t="s">
        <v>58</v>
      </c>
      <c r="Z1947" t="s">
        <v>58</v>
      </c>
      <c r="AA1947" t="s">
        <v>58</v>
      </c>
      <c r="AC1947" t="s">
        <v>58</v>
      </c>
      <c r="AE1947" t="s">
        <v>58</v>
      </c>
      <c r="AG1947" t="s">
        <v>63</v>
      </c>
      <c r="AH1947" s="11" t="str">
        <f t="shared" si="143"/>
        <v>mailto: soilterrain@victoria1.gov.bc.ca</v>
      </c>
    </row>
    <row r="1948" spans="1:34">
      <c r="A1948" t="s">
        <v>4471</v>
      </c>
      <c r="B1948" t="s">
        <v>56</v>
      </c>
      <c r="C1948" s="10" t="s">
        <v>4472</v>
      </c>
      <c r="D1948" t="s">
        <v>58</v>
      </c>
      <c r="E1948" t="s">
        <v>58</v>
      </c>
      <c r="F1948" t="s">
        <v>4473</v>
      </c>
      <c r="G1948">
        <v>250000</v>
      </c>
      <c r="H1948">
        <v>1977</v>
      </c>
      <c r="I1948" t="s">
        <v>58</v>
      </c>
      <c r="J1948" t="s">
        <v>58</v>
      </c>
      <c r="K1948" t="s">
        <v>58</v>
      </c>
      <c r="L1948" t="s">
        <v>58</v>
      </c>
      <c r="M1948" t="s">
        <v>58</v>
      </c>
      <c r="O1948" t="s">
        <v>61</v>
      </c>
      <c r="Q1948" t="s">
        <v>58</v>
      </c>
      <c r="R1948" s="11" t="str">
        <f>HYPERLINK("\\imagefiles.bcgov\imagery\scanned_maps\moe_terrain_maps\Scanned_T_maps_all\K17\K18-2468","\\imagefiles.bcgov\imagery\scanned_maps\moe_terrain_maps\Scanned_T_maps_all\K17\K18-2468")</f>
        <v>\\imagefiles.bcgov\imagery\scanned_maps\moe_terrain_maps\Scanned_T_maps_all\K17\K18-2468</v>
      </c>
      <c r="S1948" t="s">
        <v>62</v>
      </c>
      <c r="T1948" s="11" t="str">
        <f>HYPERLINK("http://www.env.gov.bc.ca/esd/distdata/ecosystems/TEI_Scanned_Maps/K18/K18-2468","http://www.env.gov.bc.ca/esd/distdata/ecosystems/TEI_Scanned_Maps/K18/K18-2468")</f>
        <v>http://www.env.gov.bc.ca/esd/distdata/ecosystems/TEI_Scanned_Maps/K18/K18-2468</v>
      </c>
      <c r="U1948" t="s">
        <v>58</v>
      </c>
      <c r="V1948" t="s">
        <v>58</v>
      </c>
      <c r="W1948" t="s">
        <v>58</v>
      </c>
      <c r="X1948" t="s">
        <v>58</v>
      </c>
      <c r="Y1948" t="s">
        <v>58</v>
      </c>
      <c r="Z1948" t="s">
        <v>58</v>
      </c>
      <c r="AA1948" t="s">
        <v>58</v>
      </c>
      <c r="AC1948" t="s">
        <v>58</v>
      </c>
      <c r="AE1948" t="s">
        <v>58</v>
      </c>
      <c r="AG1948" t="s">
        <v>63</v>
      </c>
      <c r="AH1948" s="11" t="str">
        <f t="shared" si="143"/>
        <v>mailto: soilterrain@victoria1.gov.bc.ca</v>
      </c>
    </row>
    <row r="1949" spans="1:34">
      <c r="A1949" t="s">
        <v>4474</v>
      </c>
      <c r="B1949" t="s">
        <v>56</v>
      </c>
      <c r="C1949" s="10" t="s">
        <v>4475</v>
      </c>
      <c r="D1949" t="s">
        <v>58</v>
      </c>
      <c r="E1949" t="s">
        <v>58</v>
      </c>
      <c r="F1949" t="s">
        <v>4476</v>
      </c>
      <c r="G1949">
        <v>250000</v>
      </c>
      <c r="H1949">
        <v>1977</v>
      </c>
      <c r="I1949" t="s">
        <v>58</v>
      </c>
      <c r="J1949" t="s">
        <v>58</v>
      </c>
      <c r="K1949" t="s">
        <v>58</v>
      </c>
      <c r="L1949" t="s">
        <v>58</v>
      </c>
      <c r="M1949" t="s">
        <v>58</v>
      </c>
      <c r="O1949" t="s">
        <v>61</v>
      </c>
      <c r="Q1949" t="s">
        <v>58</v>
      </c>
      <c r="R1949" s="11" t="str">
        <f>HYPERLINK("\\imagefiles.bcgov\imagery\scanned_maps\moe_terrain_maps\Scanned_T_maps_all\K17\K18-2543","\\imagefiles.bcgov\imagery\scanned_maps\moe_terrain_maps\Scanned_T_maps_all\K17\K18-2543")</f>
        <v>\\imagefiles.bcgov\imagery\scanned_maps\moe_terrain_maps\Scanned_T_maps_all\K17\K18-2543</v>
      </c>
      <c r="S1949" t="s">
        <v>62</v>
      </c>
      <c r="T1949" s="11" t="str">
        <f>HYPERLINK("http://www.env.gov.bc.ca/esd/distdata/ecosystems/TEI_Scanned_Maps/K18/K18-2543","http://www.env.gov.bc.ca/esd/distdata/ecosystems/TEI_Scanned_Maps/K18/K18-2543")</f>
        <v>http://www.env.gov.bc.ca/esd/distdata/ecosystems/TEI_Scanned_Maps/K18/K18-2543</v>
      </c>
      <c r="U1949" t="s">
        <v>58</v>
      </c>
      <c r="V1949" t="s">
        <v>58</v>
      </c>
      <c r="W1949" t="s">
        <v>58</v>
      </c>
      <c r="X1949" t="s">
        <v>58</v>
      </c>
      <c r="Y1949" t="s">
        <v>58</v>
      </c>
      <c r="Z1949" t="s">
        <v>58</v>
      </c>
      <c r="AA1949" t="s">
        <v>58</v>
      </c>
      <c r="AC1949" t="s">
        <v>58</v>
      </c>
      <c r="AE1949" t="s">
        <v>58</v>
      </c>
      <c r="AG1949" t="s">
        <v>63</v>
      </c>
      <c r="AH1949" s="11" t="str">
        <f t="shared" si="143"/>
        <v>mailto: soilterrain@victoria1.gov.bc.ca</v>
      </c>
    </row>
    <row r="1950" spans="1:34">
      <c r="A1950" t="s">
        <v>4477</v>
      </c>
      <c r="B1950" t="s">
        <v>56</v>
      </c>
      <c r="C1950" s="10" t="s">
        <v>4478</v>
      </c>
      <c r="D1950" t="s">
        <v>58</v>
      </c>
      <c r="E1950" t="s">
        <v>58</v>
      </c>
      <c r="F1950" t="s">
        <v>4479</v>
      </c>
      <c r="G1950">
        <v>250000</v>
      </c>
      <c r="H1950">
        <v>1977</v>
      </c>
      <c r="I1950" t="s">
        <v>58</v>
      </c>
      <c r="J1950" t="s">
        <v>58</v>
      </c>
      <c r="K1950" t="s">
        <v>58</v>
      </c>
      <c r="L1950" t="s">
        <v>58</v>
      </c>
      <c r="M1950" t="s">
        <v>58</v>
      </c>
      <c r="O1950" t="s">
        <v>61</v>
      </c>
      <c r="Q1950" t="s">
        <v>58</v>
      </c>
      <c r="R1950" s="11" t="str">
        <f>HYPERLINK("\\imagefiles.bcgov\imagery\scanned_maps\moe_terrain_maps\Scanned_T_maps_all\K17\K18-2692","\\imagefiles.bcgov\imagery\scanned_maps\moe_terrain_maps\Scanned_T_maps_all\K17\K18-2692")</f>
        <v>\\imagefiles.bcgov\imagery\scanned_maps\moe_terrain_maps\Scanned_T_maps_all\K17\K18-2692</v>
      </c>
      <c r="S1950" t="s">
        <v>62</v>
      </c>
      <c r="T1950" s="11" t="str">
        <f>HYPERLINK("http://www.env.gov.bc.ca/esd/distdata/ecosystems/TEI_Scanned_Maps/K18/K18-2692","http://www.env.gov.bc.ca/esd/distdata/ecosystems/TEI_Scanned_Maps/K18/K18-2692")</f>
        <v>http://www.env.gov.bc.ca/esd/distdata/ecosystems/TEI_Scanned_Maps/K18/K18-2692</v>
      </c>
      <c r="U1950" t="s">
        <v>58</v>
      </c>
      <c r="V1950" t="s">
        <v>58</v>
      </c>
      <c r="W1950" t="s">
        <v>58</v>
      </c>
      <c r="X1950" t="s">
        <v>58</v>
      </c>
      <c r="Y1950" t="s">
        <v>58</v>
      </c>
      <c r="Z1950" t="s">
        <v>58</v>
      </c>
      <c r="AA1950" t="s">
        <v>58</v>
      </c>
      <c r="AC1950" t="s">
        <v>58</v>
      </c>
      <c r="AE1950" t="s">
        <v>58</v>
      </c>
      <c r="AG1950" t="s">
        <v>63</v>
      </c>
      <c r="AH1950" s="11" t="str">
        <f t="shared" si="143"/>
        <v>mailto: soilterrain@victoria1.gov.bc.ca</v>
      </c>
    </row>
    <row r="1951" spans="1:34">
      <c r="A1951" t="s">
        <v>4480</v>
      </c>
      <c r="B1951" t="s">
        <v>56</v>
      </c>
      <c r="C1951" s="10" t="s">
        <v>4481</v>
      </c>
      <c r="D1951" t="s">
        <v>58</v>
      </c>
      <c r="E1951" t="s">
        <v>58</v>
      </c>
      <c r="F1951" t="s">
        <v>4482</v>
      </c>
      <c r="G1951">
        <v>250000</v>
      </c>
      <c r="H1951">
        <v>1977</v>
      </c>
      <c r="I1951" t="s">
        <v>58</v>
      </c>
      <c r="J1951" t="s">
        <v>58</v>
      </c>
      <c r="K1951" t="s">
        <v>58</v>
      </c>
      <c r="L1951" t="s">
        <v>58</v>
      </c>
      <c r="M1951" t="s">
        <v>58</v>
      </c>
      <c r="O1951" t="s">
        <v>61</v>
      </c>
      <c r="Q1951" t="s">
        <v>58</v>
      </c>
      <c r="R1951" s="11" t="str">
        <f>HYPERLINK("\\imagefiles.bcgov\imagery\scanned_maps\moe_terrain_maps\Scanned_T_maps_all\K17\K18-2736","\\imagefiles.bcgov\imagery\scanned_maps\moe_terrain_maps\Scanned_T_maps_all\K17\K18-2736")</f>
        <v>\\imagefiles.bcgov\imagery\scanned_maps\moe_terrain_maps\Scanned_T_maps_all\K17\K18-2736</v>
      </c>
      <c r="S1951" t="s">
        <v>62</v>
      </c>
      <c r="T1951" s="11" t="str">
        <f>HYPERLINK("http://www.env.gov.bc.ca/esd/distdata/ecosystems/TEI_Scanned_Maps/K18/K18-2736","http://www.env.gov.bc.ca/esd/distdata/ecosystems/TEI_Scanned_Maps/K18/K18-2736")</f>
        <v>http://www.env.gov.bc.ca/esd/distdata/ecosystems/TEI_Scanned_Maps/K18/K18-2736</v>
      </c>
      <c r="U1951" t="s">
        <v>58</v>
      </c>
      <c r="V1951" t="s">
        <v>58</v>
      </c>
      <c r="W1951" t="s">
        <v>58</v>
      </c>
      <c r="X1951" t="s">
        <v>58</v>
      </c>
      <c r="Y1951" t="s">
        <v>58</v>
      </c>
      <c r="Z1951" t="s">
        <v>58</v>
      </c>
      <c r="AA1951" t="s">
        <v>58</v>
      </c>
      <c r="AC1951" t="s">
        <v>58</v>
      </c>
      <c r="AE1951" t="s">
        <v>58</v>
      </c>
      <c r="AG1951" t="s">
        <v>63</v>
      </c>
      <c r="AH1951" s="11" t="str">
        <f t="shared" si="143"/>
        <v>mailto: soilterrain@victoria1.gov.bc.ca</v>
      </c>
    </row>
    <row r="1952" spans="1:34">
      <c r="A1952" t="s">
        <v>4483</v>
      </c>
      <c r="B1952" t="s">
        <v>56</v>
      </c>
      <c r="C1952" s="10" t="s">
        <v>4484</v>
      </c>
      <c r="D1952" t="s">
        <v>58</v>
      </c>
      <c r="E1952" t="s">
        <v>58</v>
      </c>
      <c r="F1952" t="s">
        <v>4485</v>
      </c>
      <c r="G1952">
        <v>250000</v>
      </c>
      <c r="H1952">
        <v>1979</v>
      </c>
      <c r="I1952" t="s">
        <v>58</v>
      </c>
      <c r="J1952" t="s">
        <v>58</v>
      </c>
      <c r="K1952" t="s">
        <v>58</v>
      </c>
      <c r="L1952" t="s">
        <v>58</v>
      </c>
      <c r="M1952" t="s">
        <v>58</v>
      </c>
      <c r="O1952" t="s">
        <v>61</v>
      </c>
      <c r="Q1952" t="s">
        <v>58</v>
      </c>
      <c r="R1952" s="11" t="str">
        <f>HYPERLINK("\\imagefiles.bcgov\imagery\scanned_maps\moe_terrain_maps\Scanned_T_maps_all\K17\K18-2768","\\imagefiles.bcgov\imagery\scanned_maps\moe_terrain_maps\Scanned_T_maps_all\K17\K18-2768")</f>
        <v>\\imagefiles.bcgov\imagery\scanned_maps\moe_terrain_maps\Scanned_T_maps_all\K17\K18-2768</v>
      </c>
      <c r="S1952" t="s">
        <v>62</v>
      </c>
      <c r="T1952" s="11" t="str">
        <f>HYPERLINK("http://www.env.gov.bc.ca/esd/distdata/ecosystems/TEI_Scanned_Maps/K18/K18-2768","http://www.env.gov.bc.ca/esd/distdata/ecosystems/TEI_Scanned_Maps/K18/K18-2768")</f>
        <v>http://www.env.gov.bc.ca/esd/distdata/ecosystems/TEI_Scanned_Maps/K18/K18-2768</v>
      </c>
      <c r="U1952" t="s">
        <v>58</v>
      </c>
      <c r="V1952" t="s">
        <v>58</v>
      </c>
      <c r="W1952" t="s">
        <v>58</v>
      </c>
      <c r="X1952" t="s">
        <v>58</v>
      </c>
      <c r="Y1952" t="s">
        <v>58</v>
      </c>
      <c r="Z1952" t="s">
        <v>58</v>
      </c>
      <c r="AA1952" t="s">
        <v>58</v>
      </c>
      <c r="AC1952" t="s">
        <v>58</v>
      </c>
      <c r="AE1952" t="s">
        <v>58</v>
      </c>
      <c r="AG1952" t="s">
        <v>63</v>
      </c>
      <c r="AH1952" s="11" t="str">
        <f t="shared" si="143"/>
        <v>mailto: soilterrain@victoria1.gov.bc.ca</v>
      </c>
    </row>
    <row r="1953" spans="1:34">
      <c r="A1953" t="s">
        <v>4486</v>
      </c>
      <c r="B1953" t="s">
        <v>56</v>
      </c>
      <c r="C1953" s="10" t="s">
        <v>4487</v>
      </c>
      <c r="D1953" t="s">
        <v>58</v>
      </c>
      <c r="E1953" t="s">
        <v>58</v>
      </c>
      <c r="F1953" t="s">
        <v>4488</v>
      </c>
      <c r="G1953">
        <v>250000</v>
      </c>
      <c r="H1953">
        <v>1979</v>
      </c>
      <c r="I1953" t="s">
        <v>58</v>
      </c>
      <c r="J1953" t="s">
        <v>58</v>
      </c>
      <c r="K1953" t="s">
        <v>58</v>
      </c>
      <c r="L1953" t="s">
        <v>58</v>
      </c>
      <c r="M1953" t="s">
        <v>58</v>
      </c>
      <c r="O1953" t="s">
        <v>61</v>
      </c>
      <c r="Q1953" t="s">
        <v>58</v>
      </c>
      <c r="R1953" s="11" t="str">
        <f>HYPERLINK("\\imagefiles.bcgov\imagery\scanned_maps\moe_terrain_maps\Scanned_T_maps_all\K17\K18-2769","\\imagefiles.bcgov\imagery\scanned_maps\moe_terrain_maps\Scanned_T_maps_all\K17\K18-2769")</f>
        <v>\\imagefiles.bcgov\imagery\scanned_maps\moe_terrain_maps\Scanned_T_maps_all\K17\K18-2769</v>
      </c>
      <c r="S1953" t="s">
        <v>62</v>
      </c>
      <c r="T1953" s="11" t="str">
        <f>HYPERLINK("http://www.env.gov.bc.ca/esd/distdata/ecosystems/TEI_Scanned_Maps/K18/K18-2769","http://www.env.gov.bc.ca/esd/distdata/ecosystems/TEI_Scanned_Maps/K18/K18-2769")</f>
        <v>http://www.env.gov.bc.ca/esd/distdata/ecosystems/TEI_Scanned_Maps/K18/K18-2769</v>
      </c>
      <c r="U1953" t="s">
        <v>58</v>
      </c>
      <c r="V1953" t="s">
        <v>58</v>
      </c>
      <c r="W1953" t="s">
        <v>58</v>
      </c>
      <c r="X1953" t="s">
        <v>58</v>
      </c>
      <c r="Y1953" t="s">
        <v>58</v>
      </c>
      <c r="Z1953" t="s">
        <v>58</v>
      </c>
      <c r="AA1953" t="s">
        <v>58</v>
      </c>
      <c r="AC1953" t="s">
        <v>58</v>
      </c>
      <c r="AE1953" t="s">
        <v>58</v>
      </c>
      <c r="AG1953" t="s">
        <v>63</v>
      </c>
      <c r="AH1953" s="11" t="str">
        <f t="shared" si="143"/>
        <v>mailto: soilterrain@victoria1.gov.bc.ca</v>
      </c>
    </row>
    <row r="1954" spans="1:34">
      <c r="A1954" t="s">
        <v>4489</v>
      </c>
      <c r="B1954" t="s">
        <v>56</v>
      </c>
      <c r="C1954" s="10" t="s">
        <v>4490</v>
      </c>
      <c r="D1954" t="s">
        <v>58</v>
      </c>
      <c r="E1954" t="s">
        <v>58</v>
      </c>
      <c r="F1954" t="s">
        <v>4491</v>
      </c>
      <c r="G1954">
        <v>250000</v>
      </c>
      <c r="H1954">
        <v>1971</v>
      </c>
      <c r="I1954" t="s">
        <v>58</v>
      </c>
      <c r="J1954" t="s">
        <v>58</v>
      </c>
      <c r="K1954" t="s">
        <v>58</v>
      </c>
      <c r="L1954" t="s">
        <v>58</v>
      </c>
      <c r="M1954" t="s">
        <v>58</v>
      </c>
      <c r="O1954" t="s">
        <v>61</v>
      </c>
      <c r="Q1954" t="s">
        <v>58</v>
      </c>
      <c r="R1954" s="11" t="str">
        <f>HYPERLINK("\\imagefiles.bcgov\imagery\scanned_maps\moe_terrain_maps\Scanned_T_maps_all\K17\K18-477","\\imagefiles.bcgov\imagery\scanned_maps\moe_terrain_maps\Scanned_T_maps_all\K17\K18-477")</f>
        <v>\\imagefiles.bcgov\imagery\scanned_maps\moe_terrain_maps\Scanned_T_maps_all\K17\K18-477</v>
      </c>
      <c r="S1954" t="s">
        <v>62</v>
      </c>
      <c r="T1954" s="11" t="str">
        <f>HYPERLINK("http://www.env.gov.bc.ca/esd/distdata/ecosystems/TEI_Scanned_Maps/K18/K18-477","http://www.env.gov.bc.ca/esd/distdata/ecosystems/TEI_Scanned_Maps/K18/K18-477")</f>
        <v>http://www.env.gov.bc.ca/esd/distdata/ecosystems/TEI_Scanned_Maps/K18/K18-477</v>
      </c>
      <c r="U1954" t="s">
        <v>58</v>
      </c>
      <c r="V1954" t="s">
        <v>58</v>
      </c>
      <c r="W1954" t="s">
        <v>58</v>
      </c>
      <c r="X1954" t="s">
        <v>58</v>
      </c>
      <c r="Y1954" t="s">
        <v>58</v>
      </c>
      <c r="Z1954" t="s">
        <v>58</v>
      </c>
      <c r="AA1954" t="s">
        <v>58</v>
      </c>
      <c r="AC1954" t="s">
        <v>58</v>
      </c>
      <c r="AE1954" t="s">
        <v>58</v>
      </c>
      <c r="AG1954" t="s">
        <v>63</v>
      </c>
      <c r="AH1954" s="11" t="str">
        <f t="shared" si="143"/>
        <v>mailto: soilterrain@victoria1.gov.bc.ca</v>
      </c>
    </row>
    <row r="1955" spans="1:34">
      <c r="A1955" t="s">
        <v>4492</v>
      </c>
      <c r="B1955" t="s">
        <v>56</v>
      </c>
      <c r="C1955" s="10" t="s">
        <v>4493</v>
      </c>
      <c r="D1955" t="s">
        <v>58</v>
      </c>
      <c r="E1955" t="s">
        <v>58</v>
      </c>
      <c r="F1955" t="s">
        <v>4494</v>
      </c>
      <c r="G1955">
        <v>250000</v>
      </c>
      <c r="H1955">
        <v>1986</v>
      </c>
      <c r="I1955" t="s">
        <v>58</v>
      </c>
      <c r="J1955" t="s">
        <v>58</v>
      </c>
      <c r="K1955" t="s">
        <v>58</v>
      </c>
      <c r="L1955" t="s">
        <v>58</v>
      </c>
      <c r="M1955" t="s">
        <v>58</v>
      </c>
      <c r="O1955" t="s">
        <v>61</v>
      </c>
      <c r="Q1955" t="s">
        <v>58</v>
      </c>
      <c r="R1955" s="11" t="str">
        <f>HYPERLINK("\\imagefiles.bcgov\imagery\scanned_maps\moe_terrain_maps\Scanned_T_maps_all\K17\K18-4943","\\imagefiles.bcgov\imagery\scanned_maps\moe_terrain_maps\Scanned_T_maps_all\K17\K18-4943")</f>
        <v>\\imagefiles.bcgov\imagery\scanned_maps\moe_terrain_maps\Scanned_T_maps_all\K17\K18-4943</v>
      </c>
      <c r="S1955" t="s">
        <v>62</v>
      </c>
      <c r="T1955" s="11" t="str">
        <f>HYPERLINK("http://www.env.gov.bc.ca/esd/distdata/ecosystems/TEI_Scanned_Maps/K18/K18-4943","http://www.env.gov.bc.ca/esd/distdata/ecosystems/TEI_Scanned_Maps/K18/K18-4943")</f>
        <v>http://www.env.gov.bc.ca/esd/distdata/ecosystems/TEI_Scanned_Maps/K18/K18-4943</v>
      </c>
      <c r="U1955" t="s">
        <v>58</v>
      </c>
      <c r="V1955" t="s">
        <v>58</v>
      </c>
      <c r="W1955" t="s">
        <v>58</v>
      </c>
      <c r="X1955" t="s">
        <v>58</v>
      </c>
      <c r="Y1955" t="s">
        <v>58</v>
      </c>
      <c r="Z1955" t="s">
        <v>58</v>
      </c>
      <c r="AA1955" t="s">
        <v>58</v>
      </c>
      <c r="AC1955" t="s">
        <v>58</v>
      </c>
      <c r="AE1955" t="s">
        <v>58</v>
      </c>
      <c r="AG1955" t="s">
        <v>63</v>
      </c>
      <c r="AH1955" s="11" t="str">
        <f t="shared" si="143"/>
        <v>mailto: soilterrain@victoria1.gov.bc.ca</v>
      </c>
    </row>
    <row r="1956" spans="1:34">
      <c r="A1956" t="s">
        <v>4495</v>
      </c>
      <c r="B1956" t="s">
        <v>56</v>
      </c>
      <c r="C1956" s="10" t="s">
        <v>4496</v>
      </c>
      <c r="D1956" t="s">
        <v>58</v>
      </c>
      <c r="E1956" t="s">
        <v>58</v>
      </c>
      <c r="F1956" t="s">
        <v>4497</v>
      </c>
      <c r="G1956">
        <v>250000</v>
      </c>
      <c r="H1956">
        <v>1971</v>
      </c>
      <c r="I1956" t="s">
        <v>58</v>
      </c>
      <c r="J1956" t="s">
        <v>58</v>
      </c>
      <c r="K1956" t="s">
        <v>58</v>
      </c>
      <c r="L1956" t="s">
        <v>58</v>
      </c>
      <c r="M1956" t="s">
        <v>58</v>
      </c>
      <c r="O1956" t="s">
        <v>61</v>
      </c>
      <c r="Q1956" t="s">
        <v>58</v>
      </c>
      <c r="R1956" s="11" t="str">
        <f>HYPERLINK("\\imagefiles.bcgov\imagery\scanned_maps\moe_terrain_maps\Scanned_T_maps_all\K17\K18-520","\\imagefiles.bcgov\imagery\scanned_maps\moe_terrain_maps\Scanned_T_maps_all\K17\K18-520")</f>
        <v>\\imagefiles.bcgov\imagery\scanned_maps\moe_terrain_maps\Scanned_T_maps_all\K17\K18-520</v>
      </c>
      <c r="S1956" t="s">
        <v>62</v>
      </c>
      <c r="T1956" s="11" t="str">
        <f>HYPERLINK("http://www.env.gov.bc.ca/esd/distdata/ecosystems/TEI_Scanned_Maps/K18/K18-520","http://www.env.gov.bc.ca/esd/distdata/ecosystems/TEI_Scanned_Maps/K18/K18-520")</f>
        <v>http://www.env.gov.bc.ca/esd/distdata/ecosystems/TEI_Scanned_Maps/K18/K18-520</v>
      </c>
      <c r="U1956" t="s">
        <v>58</v>
      </c>
      <c r="V1956" t="s">
        <v>58</v>
      </c>
      <c r="W1956" t="s">
        <v>58</v>
      </c>
      <c r="X1956" t="s">
        <v>58</v>
      </c>
      <c r="Y1956" t="s">
        <v>58</v>
      </c>
      <c r="Z1956" t="s">
        <v>58</v>
      </c>
      <c r="AA1956" t="s">
        <v>58</v>
      </c>
      <c r="AC1956" t="s">
        <v>58</v>
      </c>
      <c r="AE1956" t="s">
        <v>58</v>
      </c>
      <c r="AG1956" t="s">
        <v>63</v>
      </c>
      <c r="AH1956" s="11" t="str">
        <f t="shared" si="143"/>
        <v>mailto: soilterrain@victoria1.gov.bc.ca</v>
      </c>
    </row>
    <row r="1957" spans="1:34">
      <c r="A1957" t="s">
        <v>4498</v>
      </c>
      <c r="B1957" t="s">
        <v>56</v>
      </c>
      <c r="C1957" s="10" t="s">
        <v>550</v>
      </c>
      <c r="D1957" t="s">
        <v>58</v>
      </c>
      <c r="E1957" t="s">
        <v>58</v>
      </c>
      <c r="F1957" t="s">
        <v>4499</v>
      </c>
      <c r="G1957">
        <v>250000</v>
      </c>
      <c r="H1957">
        <v>1971</v>
      </c>
      <c r="I1957" t="s">
        <v>58</v>
      </c>
      <c r="J1957" t="s">
        <v>58</v>
      </c>
      <c r="K1957" t="s">
        <v>58</v>
      </c>
      <c r="L1957" t="s">
        <v>58</v>
      </c>
      <c r="M1957" t="s">
        <v>58</v>
      </c>
      <c r="O1957" t="s">
        <v>61</v>
      </c>
      <c r="Q1957" t="s">
        <v>58</v>
      </c>
      <c r="R1957" s="11" t="str">
        <f>HYPERLINK("\\imagefiles.bcgov\imagery\scanned_maps\moe_terrain_maps\Scanned_T_maps_all\K17\K18-555","\\imagefiles.bcgov\imagery\scanned_maps\moe_terrain_maps\Scanned_T_maps_all\K17\K18-555")</f>
        <v>\\imagefiles.bcgov\imagery\scanned_maps\moe_terrain_maps\Scanned_T_maps_all\K17\K18-555</v>
      </c>
      <c r="S1957" t="s">
        <v>62</v>
      </c>
      <c r="T1957" s="11" t="str">
        <f>HYPERLINK("http://www.env.gov.bc.ca/esd/distdata/ecosystems/TEI_Scanned_Maps/K18/K18-555","http://www.env.gov.bc.ca/esd/distdata/ecosystems/TEI_Scanned_Maps/K18/K18-555")</f>
        <v>http://www.env.gov.bc.ca/esd/distdata/ecosystems/TEI_Scanned_Maps/K18/K18-555</v>
      </c>
      <c r="U1957" t="s">
        <v>58</v>
      </c>
      <c r="V1957" t="s">
        <v>58</v>
      </c>
      <c r="W1957" t="s">
        <v>58</v>
      </c>
      <c r="X1957" t="s">
        <v>58</v>
      </c>
      <c r="Y1957" t="s">
        <v>58</v>
      </c>
      <c r="Z1957" t="s">
        <v>58</v>
      </c>
      <c r="AA1957" t="s">
        <v>58</v>
      </c>
      <c r="AC1957" t="s">
        <v>58</v>
      </c>
      <c r="AE1957" t="s">
        <v>58</v>
      </c>
      <c r="AG1957" t="s">
        <v>63</v>
      </c>
      <c r="AH1957" s="11" t="str">
        <f t="shared" si="143"/>
        <v>mailto: soilterrain@victoria1.gov.bc.ca</v>
      </c>
    </row>
    <row r="1958" spans="1:34">
      <c r="A1958" t="s">
        <v>4500</v>
      </c>
      <c r="B1958" t="s">
        <v>56</v>
      </c>
      <c r="C1958" s="10" t="s">
        <v>4501</v>
      </c>
      <c r="D1958" t="s">
        <v>58</v>
      </c>
      <c r="E1958" t="s">
        <v>58</v>
      </c>
      <c r="F1958" t="s">
        <v>4502</v>
      </c>
      <c r="G1958">
        <v>100000</v>
      </c>
      <c r="H1958">
        <v>1980</v>
      </c>
      <c r="I1958" t="s">
        <v>58</v>
      </c>
      <c r="J1958" t="s">
        <v>58</v>
      </c>
      <c r="K1958" t="s">
        <v>58</v>
      </c>
      <c r="L1958" t="s">
        <v>58</v>
      </c>
      <c r="M1958" t="s">
        <v>58</v>
      </c>
      <c r="O1958" t="s">
        <v>61</v>
      </c>
      <c r="Q1958" t="s">
        <v>58</v>
      </c>
      <c r="R1958" s="11" t="str">
        <f>HYPERLINK("\\imagefiles.bcgov\imagery\scanned_maps\moe_terrain_maps\Scanned_T_maps_all\K17\K18-6","\\imagefiles.bcgov\imagery\scanned_maps\moe_terrain_maps\Scanned_T_maps_all\K17\K18-6")</f>
        <v>\\imagefiles.bcgov\imagery\scanned_maps\moe_terrain_maps\Scanned_T_maps_all\K17\K18-6</v>
      </c>
      <c r="S1958" t="s">
        <v>62</v>
      </c>
      <c r="T1958" s="11" t="str">
        <f>HYPERLINK("http://www.env.gov.bc.ca/esd/distdata/ecosystems/TEI_Scanned_Maps/K18/K18-6","http://www.env.gov.bc.ca/esd/distdata/ecosystems/TEI_Scanned_Maps/K18/K18-6")</f>
        <v>http://www.env.gov.bc.ca/esd/distdata/ecosystems/TEI_Scanned_Maps/K18/K18-6</v>
      </c>
      <c r="U1958" t="s">
        <v>58</v>
      </c>
      <c r="V1958" t="s">
        <v>58</v>
      </c>
      <c r="W1958" t="s">
        <v>58</v>
      </c>
      <c r="X1958" t="s">
        <v>58</v>
      </c>
      <c r="Y1958" t="s">
        <v>58</v>
      </c>
      <c r="Z1958" t="s">
        <v>58</v>
      </c>
      <c r="AA1958" t="s">
        <v>58</v>
      </c>
      <c r="AC1958" t="s">
        <v>58</v>
      </c>
      <c r="AE1958" t="s">
        <v>58</v>
      </c>
      <c r="AG1958" t="s">
        <v>63</v>
      </c>
      <c r="AH1958" s="11" t="str">
        <f t="shared" si="143"/>
        <v>mailto: soilterrain@victoria1.gov.bc.ca</v>
      </c>
    </row>
    <row r="1959" spans="1:34">
      <c r="A1959" t="s">
        <v>4503</v>
      </c>
      <c r="B1959" t="s">
        <v>56</v>
      </c>
      <c r="C1959" s="10" t="s">
        <v>4504</v>
      </c>
      <c r="D1959" t="s">
        <v>58</v>
      </c>
      <c r="E1959" t="s">
        <v>58</v>
      </c>
      <c r="F1959" t="s">
        <v>4505</v>
      </c>
      <c r="G1959">
        <v>250000</v>
      </c>
      <c r="H1959">
        <v>1979</v>
      </c>
      <c r="I1959" t="s">
        <v>58</v>
      </c>
      <c r="J1959" t="s">
        <v>58</v>
      </c>
      <c r="K1959" t="s">
        <v>58</v>
      </c>
      <c r="L1959" t="s">
        <v>58</v>
      </c>
      <c r="M1959" t="s">
        <v>58</v>
      </c>
      <c r="O1959" t="s">
        <v>61</v>
      </c>
      <c r="Q1959" t="s">
        <v>58</v>
      </c>
      <c r="R1959" s="11" t="str">
        <f>HYPERLINK("\\imagefiles.bcgov\imagery\scanned_maps\moe_terrain_maps\Scanned_T_maps_all\K17\K18-628","\\imagefiles.bcgov\imagery\scanned_maps\moe_terrain_maps\Scanned_T_maps_all\K17\K18-628")</f>
        <v>\\imagefiles.bcgov\imagery\scanned_maps\moe_terrain_maps\Scanned_T_maps_all\K17\K18-628</v>
      </c>
      <c r="S1959" t="s">
        <v>62</v>
      </c>
      <c r="T1959" s="11" t="str">
        <f>HYPERLINK("http://www.env.gov.bc.ca/esd/distdata/ecosystems/TEI_Scanned_Maps/K18/K18-628","http://www.env.gov.bc.ca/esd/distdata/ecosystems/TEI_Scanned_Maps/K18/K18-628")</f>
        <v>http://www.env.gov.bc.ca/esd/distdata/ecosystems/TEI_Scanned_Maps/K18/K18-628</v>
      </c>
      <c r="U1959" t="s">
        <v>58</v>
      </c>
      <c r="V1959" t="s">
        <v>58</v>
      </c>
      <c r="W1959" t="s">
        <v>58</v>
      </c>
      <c r="X1959" t="s">
        <v>58</v>
      </c>
      <c r="Y1959" t="s">
        <v>58</v>
      </c>
      <c r="Z1959" t="s">
        <v>58</v>
      </c>
      <c r="AA1959" t="s">
        <v>58</v>
      </c>
      <c r="AC1959" t="s">
        <v>58</v>
      </c>
      <c r="AE1959" t="s">
        <v>58</v>
      </c>
      <c r="AG1959" t="s">
        <v>63</v>
      </c>
      <c r="AH1959" s="11" t="str">
        <f t="shared" si="143"/>
        <v>mailto: soilterrain@victoria1.gov.bc.ca</v>
      </c>
    </row>
    <row r="1960" spans="1:34">
      <c r="A1960" t="s">
        <v>4506</v>
      </c>
      <c r="B1960" t="s">
        <v>56</v>
      </c>
      <c r="C1960" s="10" t="s">
        <v>2148</v>
      </c>
      <c r="D1960" t="s">
        <v>58</v>
      </c>
      <c r="E1960" t="s">
        <v>58</v>
      </c>
      <c r="F1960" t="s">
        <v>4507</v>
      </c>
      <c r="G1960">
        <v>100000</v>
      </c>
      <c r="H1960">
        <v>1980</v>
      </c>
      <c r="I1960" t="s">
        <v>58</v>
      </c>
      <c r="J1960" t="s">
        <v>58</v>
      </c>
      <c r="K1960" t="s">
        <v>58</v>
      </c>
      <c r="L1960" t="s">
        <v>58</v>
      </c>
      <c r="M1960" t="s">
        <v>58</v>
      </c>
      <c r="O1960" t="s">
        <v>61</v>
      </c>
      <c r="Q1960" t="s">
        <v>58</v>
      </c>
      <c r="R1960" s="11" t="str">
        <f>HYPERLINK("\\imagefiles.bcgov\imagery\scanned_maps\moe_terrain_maps\Scanned_T_maps_all\K17\K18-795","\\imagefiles.bcgov\imagery\scanned_maps\moe_terrain_maps\Scanned_T_maps_all\K17\K18-795")</f>
        <v>\\imagefiles.bcgov\imagery\scanned_maps\moe_terrain_maps\Scanned_T_maps_all\K17\K18-795</v>
      </c>
      <c r="S1960" t="s">
        <v>62</v>
      </c>
      <c r="T1960" s="11" t="str">
        <f>HYPERLINK("http://www.env.gov.bc.ca/esd/distdata/ecosystems/TEI_Scanned_Maps/K18/K18-795","http://www.env.gov.bc.ca/esd/distdata/ecosystems/TEI_Scanned_Maps/K18/K18-795")</f>
        <v>http://www.env.gov.bc.ca/esd/distdata/ecosystems/TEI_Scanned_Maps/K18/K18-795</v>
      </c>
      <c r="U1960" t="s">
        <v>58</v>
      </c>
      <c r="V1960" t="s">
        <v>58</v>
      </c>
      <c r="W1960" t="s">
        <v>58</v>
      </c>
      <c r="X1960" t="s">
        <v>58</v>
      </c>
      <c r="Y1960" t="s">
        <v>58</v>
      </c>
      <c r="Z1960" t="s">
        <v>58</v>
      </c>
      <c r="AA1960" t="s">
        <v>58</v>
      </c>
      <c r="AC1960" t="s">
        <v>58</v>
      </c>
      <c r="AE1960" t="s">
        <v>58</v>
      </c>
      <c r="AG1960" t="s">
        <v>63</v>
      </c>
      <c r="AH1960" s="11" t="str">
        <f t="shared" si="143"/>
        <v>mailto: soilterrain@victoria1.gov.bc.ca</v>
      </c>
    </row>
    <row r="1961" spans="1:34">
      <c r="A1961" t="s">
        <v>4508</v>
      </c>
      <c r="B1961" t="s">
        <v>56</v>
      </c>
      <c r="C1961" s="10" t="s">
        <v>2154</v>
      </c>
      <c r="D1961" t="s">
        <v>58</v>
      </c>
      <c r="E1961" t="s">
        <v>58</v>
      </c>
      <c r="F1961" t="s">
        <v>4509</v>
      </c>
      <c r="G1961">
        <v>100000</v>
      </c>
      <c r="H1961">
        <v>1980</v>
      </c>
      <c r="I1961" t="s">
        <v>58</v>
      </c>
      <c r="J1961" t="s">
        <v>58</v>
      </c>
      <c r="K1961" t="s">
        <v>58</v>
      </c>
      <c r="L1961" t="s">
        <v>58</v>
      </c>
      <c r="M1961" t="s">
        <v>58</v>
      </c>
      <c r="O1961" t="s">
        <v>61</v>
      </c>
      <c r="Q1961" t="s">
        <v>58</v>
      </c>
      <c r="R1961" s="11" t="str">
        <f>HYPERLINK("\\imagefiles.bcgov\imagery\scanned_maps\moe_terrain_maps\Scanned_T_maps_all\K17\K18-805","\\imagefiles.bcgov\imagery\scanned_maps\moe_terrain_maps\Scanned_T_maps_all\K17\K18-805")</f>
        <v>\\imagefiles.bcgov\imagery\scanned_maps\moe_terrain_maps\Scanned_T_maps_all\K17\K18-805</v>
      </c>
      <c r="S1961" t="s">
        <v>62</v>
      </c>
      <c r="T1961" s="11" t="str">
        <f>HYPERLINK("http://www.env.gov.bc.ca/esd/distdata/ecosystems/TEI_Scanned_Maps/K18/K18-805","http://www.env.gov.bc.ca/esd/distdata/ecosystems/TEI_Scanned_Maps/K18/K18-805")</f>
        <v>http://www.env.gov.bc.ca/esd/distdata/ecosystems/TEI_Scanned_Maps/K18/K18-805</v>
      </c>
      <c r="U1961" t="s">
        <v>58</v>
      </c>
      <c r="V1961" t="s">
        <v>58</v>
      </c>
      <c r="W1961" t="s">
        <v>58</v>
      </c>
      <c r="X1961" t="s">
        <v>58</v>
      </c>
      <c r="Y1961" t="s">
        <v>58</v>
      </c>
      <c r="Z1961" t="s">
        <v>58</v>
      </c>
      <c r="AA1961" t="s">
        <v>58</v>
      </c>
      <c r="AC1961" t="s">
        <v>58</v>
      </c>
      <c r="AE1961" t="s">
        <v>58</v>
      </c>
      <c r="AG1961" t="s">
        <v>63</v>
      </c>
      <c r="AH1961" s="11" t="str">
        <f t="shared" si="143"/>
        <v>mailto: soilterrain@victoria1.gov.bc.ca</v>
      </c>
    </row>
    <row r="1962" spans="1:34">
      <c r="A1962" t="s">
        <v>4510</v>
      </c>
      <c r="B1962" t="s">
        <v>56</v>
      </c>
      <c r="C1962" s="10" t="s">
        <v>2161</v>
      </c>
      <c r="D1962" t="s">
        <v>58</v>
      </c>
      <c r="E1962" t="s">
        <v>58</v>
      </c>
      <c r="F1962" t="s">
        <v>4511</v>
      </c>
      <c r="G1962">
        <v>100000</v>
      </c>
      <c r="H1962">
        <v>1980</v>
      </c>
      <c r="I1962" t="s">
        <v>58</v>
      </c>
      <c r="J1962" t="s">
        <v>58</v>
      </c>
      <c r="K1962" t="s">
        <v>58</v>
      </c>
      <c r="L1962" t="s">
        <v>58</v>
      </c>
      <c r="M1962" t="s">
        <v>58</v>
      </c>
      <c r="O1962" t="s">
        <v>61</v>
      </c>
      <c r="Q1962" t="s">
        <v>58</v>
      </c>
      <c r="R1962" s="11" t="str">
        <f>HYPERLINK("\\imagefiles.bcgov\imagery\scanned_maps\moe_terrain_maps\Scanned_T_maps_all\K17\K18-851","\\imagefiles.bcgov\imagery\scanned_maps\moe_terrain_maps\Scanned_T_maps_all\K17\K18-851")</f>
        <v>\\imagefiles.bcgov\imagery\scanned_maps\moe_terrain_maps\Scanned_T_maps_all\K17\K18-851</v>
      </c>
      <c r="S1962" t="s">
        <v>62</v>
      </c>
      <c r="T1962" s="11" t="str">
        <f>HYPERLINK("http://www.env.gov.bc.ca/esd/distdata/ecosystems/TEI_Scanned_Maps/K18/K18-851","http://www.env.gov.bc.ca/esd/distdata/ecosystems/TEI_Scanned_Maps/K18/K18-851")</f>
        <v>http://www.env.gov.bc.ca/esd/distdata/ecosystems/TEI_Scanned_Maps/K18/K18-851</v>
      </c>
      <c r="U1962" t="s">
        <v>58</v>
      </c>
      <c r="V1962" t="s">
        <v>58</v>
      </c>
      <c r="W1962" t="s">
        <v>58</v>
      </c>
      <c r="X1962" t="s">
        <v>58</v>
      </c>
      <c r="Y1962" t="s">
        <v>58</v>
      </c>
      <c r="Z1962" t="s">
        <v>58</v>
      </c>
      <c r="AA1962" t="s">
        <v>58</v>
      </c>
      <c r="AC1962" t="s">
        <v>58</v>
      </c>
      <c r="AE1962" t="s">
        <v>58</v>
      </c>
      <c r="AG1962" t="s">
        <v>63</v>
      </c>
      <c r="AH1962" s="11" t="str">
        <f t="shared" si="143"/>
        <v>mailto: soilterrain@victoria1.gov.bc.ca</v>
      </c>
    </row>
    <row r="1963" spans="1:34">
      <c r="A1963" t="s">
        <v>4512</v>
      </c>
      <c r="B1963" t="s">
        <v>56</v>
      </c>
      <c r="C1963" s="10" t="s">
        <v>2171</v>
      </c>
      <c r="D1963" t="s">
        <v>58</v>
      </c>
      <c r="E1963" t="s">
        <v>58</v>
      </c>
      <c r="F1963" t="s">
        <v>4513</v>
      </c>
      <c r="G1963">
        <v>100000</v>
      </c>
      <c r="H1963">
        <v>1980</v>
      </c>
      <c r="I1963" t="s">
        <v>58</v>
      </c>
      <c r="J1963" t="s">
        <v>58</v>
      </c>
      <c r="K1963" t="s">
        <v>58</v>
      </c>
      <c r="L1963" t="s">
        <v>58</v>
      </c>
      <c r="M1963" t="s">
        <v>58</v>
      </c>
      <c r="O1963" t="s">
        <v>61</v>
      </c>
      <c r="Q1963" t="s">
        <v>58</v>
      </c>
      <c r="R1963" s="11" t="str">
        <f>HYPERLINK("\\imagefiles.bcgov\imagery\scanned_maps\moe_terrain_maps\Scanned_T_maps_all\K17\K18-866","\\imagefiles.bcgov\imagery\scanned_maps\moe_terrain_maps\Scanned_T_maps_all\K17\K18-866")</f>
        <v>\\imagefiles.bcgov\imagery\scanned_maps\moe_terrain_maps\Scanned_T_maps_all\K17\K18-866</v>
      </c>
      <c r="S1963" t="s">
        <v>62</v>
      </c>
      <c r="T1963" s="11" t="str">
        <f>HYPERLINK("http://www.env.gov.bc.ca/esd/distdata/ecosystems/TEI_Scanned_Maps/K18/K18-866","http://www.env.gov.bc.ca/esd/distdata/ecosystems/TEI_Scanned_Maps/K18/K18-866")</f>
        <v>http://www.env.gov.bc.ca/esd/distdata/ecosystems/TEI_Scanned_Maps/K18/K18-866</v>
      </c>
      <c r="U1963" t="s">
        <v>58</v>
      </c>
      <c r="V1963" t="s">
        <v>58</v>
      </c>
      <c r="W1963" t="s">
        <v>58</v>
      </c>
      <c r="X1963" t="s">
        <v>58</v>
      </c>
      <c r="Y1963" t="s">
        <v>58</v>
      </c>
      <c r="Z1963" t="s">
        <v>58</v>
      </c>
      <c r="AA1963" t="s">
        <v>58</v>
      </c>
      <c r="AC1963" t="s">
        <v>58</v>
      </c>
      <c r="AE1963" t="s">
        <v>58</v>
      </c>
      <c r="AG1963" t="s">
        <v>63</v>
      </c>
      <c r="AH1963" s="11" t="str">
        <f t="shared" si="143"/>
        <v>mailto: soilterrain@victoria1.gov.bc.ca</v>
      </c>
    </row>
    <row r="1964" spans="1:34">
      <c r="A1964" t="s">
        <v>4514</v>
      </c>
      <c r="B1964" t="s">
        <v>56</v>
      </c>
      <c r="C1964" s="10" t="s">
        <v>4515</v>
      </c>
      <c r="D1964" t="s">
        <v>58</v>
      </c>
      <c r="E1964" t="s">
        <v>58</v>
      </c>
      <c r="F1964" t="s">
        <v>4516</v>
      </c>
      <c r="G1964">
        <v>250000</v>
      </c>
      <c r="H1964">
        <v>1985</v>
      </c>
      <c r="I1964" t="s">
        <v>58</v>
      </c>
      <c r="J1964" t="s">
        <v>58</v>
      </c>
      <c r="K1964" t="s">
        <v>58</v>
      </c>
      <c r="L1964" t="s">
        <v>58</v>
      </c>
      <c r="M1964" t="s">
        <v>58</v>
      </c>
      <c r="O1964" t="s">
        <v>61</v>
      </c>
      <c r="Q1964" t="s">
        <v>58</v>
      </c>
      <c r="R1964" s="11" t="str">
        <f>HYPERLINK("\\imagefiles.bcgov\imagery\scanned_maps\moe_terrain_maps\Scanned_T_maps_all\K17\K18-868","\\imagefiles.bcgov\imagery\scanned_maps\moe_terrain_maps\Scanned_T_maps_all\K17\K18-868")</f>
        <v>\\imagefiles.bcgov\imagery\scanned_maps\moe_terrain_maps\Scanned_T_maps_all\K17\K18-868</v>
      </c>
      <c r="S1964" t="s">
        <v>62</v>
      </c>
      <c r="T1964" s="11" t="str">
        <f>HYPERLINK("http://www.env.gov.bc.ca/esd/distdata/ecosystems/TEI_Scanned_Maps/K18/K18-868","http://www.env.gov.bc.ca/esd/distdata/ecosystems/TEI_Scanned_Maps/K18/K18-868")</f>
        <v>http://www.env.gov.bc.ca/esd/distdata/ecosystems/TEI_Scanned_Maps/K18/K18-868</v>
      </c>
      <c r="U1964" t="s">
        <v>58</v>
      </c>
      <c r="V1964" t="s">
        <v>58</v>
      </c>
      <c r="W1964" t="s">
        <v>58</v>
      </c>
      <c r="X1964" t="s">
        <v>58</v>
      </c>
      <c r="Y1964" t="s">
        <v>58</v>
      </c>
      <c r="Z1964" t="s">
        <v>58</v>
      </c>
      <c r="AA1964" t="s">
        <v>58</v>
      </c>
      <c r="AC1964" t="s">
        <v>58</v>
      </c>
      <c r="AE1964" t="s">
        <v>58</v>
      </c>
      <c r="AG1964" t="s">
        <v>63</v>
      </c>
      <c r="AH1964" s="11" t="str">
        <f t="shared" si="143"/>
        <v>mailto: soilterrain@victoria1.gov.bc.ca</v>
      </c>
    </row>
    <row r="1965" spans="1:34">
      <c r="A1965" t="s">
        <v>4517</v>
      </c>
      <c r="B1965" t="s">
        <v>56</v>
      </c>
      <c r="C1965" s="10" t="s">
        <v>4518</v>
      </c>
      <c r="D1965" t="s">
        <v>58</v>
      </c>
      <c r="E1965" t="s">
        <v>58</v>
      </c>
      <c r="F1965" t="s">
        <v>4519</v>
      </c>
      <c r="G1965">
        <v>100000</v>
      </c>
      <c r="H1965">
        <v>1980</v>
      </c>
      <c r="I1965" t="s">
        <v>58</v>
      </c>
      <c r="J1965" t="s">
        <v>58</v>
      </c>
      <c r="K1965" t="s">
        <v>58</v>
      </c>
      <c r="L1965" t="s">
        <v>58</v>
      </c>
      <c r="M1965" t="s">
        <v>58</v>
      </c>
      <c r="O1965" t="s">
        <v>61</v>
      </c>
      <c r="Q1965" t="s">
        <v>58</v>
      </c>
      <c r="R1965" s="11" t="str">
        <f>HYPERLINK("\\imagefiles.bcgov\imagery\scanned_maps\moe_terrain_maps\Scanned_T_maps_all\K17\K18-895","\\imagefiles.bcgov\imagery\scanned_maps\moe_terrain_maps\Scanned_T_maps_all\K17\K18-895")</f>
        <v>\\imagefiles.bcgov\imagery\scanned_maps\moe_terrain_maps\Scanned_T_maps_all\K17\K18-895</v>
      </c>
      <c r="S1965" t="s">
        <v>62</v>
      </c>
      <c r="T1965" s="11" t="str">
        <f>HYPERLINK("http://www.env.gov.bc.ca/esd/distdata/ecosystems/TEI_Scanned_Maps/K18/K18-895","http://www.env.gov.bc.ca/esd/distdata/ecosystems/TEI_Scanned_Maps/K18/K18-895")</f>
        <v>http://www.env.gov.bc.ca/esd/distdata/ecosystems/TEI_Scanned_Maps/K18/K18-895</v>
      </c>
      <c r="U1965" t="s">
        <v>58</v>
      </c>
      <c r="V1965" t="s">
        <v>58</v>
      </c>
      <c r="W1965" t="s">
        <v>58</v>
      </c>
      <c r="X1965" t="s">
        <v>58</v>
      </c>
      <c r="Y1965" t="s">
        <v>58</v>
      </c>
      <c r="Z1965" t="s">
        <v>58</v>
      </c>
      <c r="AA1965" t="s">
        <v>58</v>
      </c>
      <c r="AC1965" t="s">
        <v>58</v>
      </c>
      <c r="AE1965" t="s">
        <v>58</v>
      </c>
      <c r="AG1965" t="s">
        <v>63</v>
      </c>
      <c r="AH1965" s="11" t="str">
        <f t="shared" si="143"/>
        <v>mailto: soilterrain@victoria1.gov.bc.ca</v>
      </c>
    </row>
    <row r="1966" spans="1:34">
      <c r="A1966" t="s">
        <v>4520</v>
      </c>
      <c r="B1966" t="s">
        <v>56</v>
      </c>
      <c r="C1966" s="10" t="s">
        <v>4521</v>
      </c>
      <c r="D1966" t="s">
        <v>58</v>
      </c>
      <c r="E1966" t="s">
        <v>58</v>
      </c>
      <c r="F1966" t="s">
        <v>4522</v>
      </c>
      <c r="G1966">
        <v>100000</v>
      </c>
      <c r="H1966">
        <v>1980</v>
      </c>
      <c r="I1966" t="s">
        <v>58</v>
      </c>
      <c r="J1966" t="s">
        <v>58</v>
      </c>
      <c r="K1966" t="s">
        <v>58</v>
      </c>
      <c r="L1966" t="s">
        <v>58</v>
      </c>
      <c r="M1966" t="s">
        <v>58</v>
      </c>
      <c r="O1966" t="s">
        <v>61</v>
      </c>
      <c r="Q1966" t="s">
        <v>58</v>
      </c>
      <c r="R1966" s="11" t="str">
        <f>HYPERLINK("\\imagefiles.bcgov\imagery\scanned_maps\moe_terrain_maps\Scanned_T_maps_all\K17\K18-898","\\imagefiles.bcgov\imagery\scanned_maps\moe_terrain_maps\Scanned_T_maps_all\K17\K18-898")</f>
        <v>\\imagefiles.bcgov\imagery\scanned_maps\moe_terrain_maps\Scanned_T_maps_all\K17\K18-898</v>
      </c>
      <c r="S1966" t="s">
        <v>62</v>
      </c>
      <c r="T1966" s="11" t="str">
        <f>HYPERLINK("http://www.env.gov.bc.ca/esd/distdata/ecosystems/TEI_Scanned_Maps/K18/K18-898","http://www.env.gov.bc.ca/esd/distdata/ecosystems/TEI_Scanned_Maps/K18/K18-898")</f>
        <v>http://www.env.gov.bc.ca/esd/distdata/ecosystems/TEI_Scanned_Maps/K18/K18-898</v>
      </c>
      <c r="U1966" t="s">
        <v>58</v>
      </c>
      <c r="V1966" t="s">
        <v>58</v>
      </c>
      <c r="W1966" t="s">
        <v>58</v>
      </c>
      <c r="X1966" t="s">
        <v>58</v>
      </c>
      <c r="Y1966" t="s">
        <v>58</v>
      </c>
      <c r="Z1966" t="s">
        <v>58</v>
      </c>
      <c r="AA1966" t="s">
        <v>58</v>
      </c>
      <c r="AC1966" t="s">
        <v>58</v>
      </c>
      <c r="AE1966" t="s">
        <v>58</v>
      </c>
      <c r="AG1966" t="s">
        <v>63</v>
      </c>
      <c r="AH1966" s="11" t="str">
        <f t="shared" si="143"/>
        <v>mailto: soilterrain@victoria1.gov.bc.ca</v>
      </c>
    </row>
    <row r="1967" spans="1:34">
      <c r="A1967" t="s">
        <v>4523</v>
      </c>
      <c r="B1967" t="s">
        <v>56</v>
      </c>
      <c r="C1967" s="10" t="s">
        <v>4524</v>
      </c>
      <c r="D1967" t="s">
        <v>58</v>
      </c>
      <c r="E1967" t="s">
        <v>58</v>
      </c>
      <c r="F1967" t="s">
        <v>4525</v>
      </c>
      <c r="G1967">
        <v>100000</v>
      </c>
      <c r="H1967">
        <v>1980</v>
      </c>
      <c r="I1967" t="s">
        <v>58</v>
      </c>
      <c r="J1967" t="s">
        <v>58</v>
      </c>
      <c r="K1967" t="s">
        <v>58</v>
      </c>
      <c r="L1967" t="s">
        <v>58</v>
      </c>
      <c r="M1967" t="s">
        <v>58</v>
      </c>
      <c r="O1967" t="s">
        <v>61</v>
      </c>
      <c r="Q1967" t="s">
        <v>58</v>
      </c>
      <c r="R1967" s="11" t="str">
        <f>HYPERLINK("\\imagefiles.bcgov\imagery\scanned_maps\moe_terrain_maps\Scanned_T_maps_all\K17\K18-905","\\imagefiles.bcgov\imagery\scanned_maps\moe_terrain_maps\Scanned_T_maps_all\K17\K18-905")</f>
        <v>\\imagefiles.bcgov\imagery\scanned_maps\moe_terrain_maps\Scanned_T_maps_all\K17\K18-905</v>
      </c>
      <c r="S1967" t="s">
        <v>62</v>
      </c>
      <c r="T1967" s="11" t="str">
        <f>HYPERLINK("http://www.env.gov.bc.ca/esd/distdata/ecosystems/TEI_Scanned_Maps/K18/K18-905","http://www.env.gov.bc.ca/esd/distdata/ecosystems/TEI_Scanned_Maps/K18/K18-905")</f>
        <v>http://www.env.gov.bc.ca/esd/distdata/ecosystems/TEI_Scanned_Maps/K18/K18-905</v>
      </c>
      <c r="U1967" t="s">
        <v>58</v>
      </c>
      <c r="V1967" t="s">
        <v>58</v>
      </c>
      <c r="W1967" t="s">
        <v>58</v>
      </c>
      <c r="X1967" t="s">
        <v>58</v>
      </c>
      <c r="Y1967" t="s">
        <v>58</v>
      </c>
      <c r="Z1967" t="s">
        <v>58</v>
      </c>
      <c r="AA1967" t="s">
        <v>58</v>
      </c>
      <c r="AC1967" t="s">
        <v>58</v>
      </c>
      <c r="AE1967" t="s">
        <v>58</v>
      </c>
      <c r="AG1967" t="s">
        <v>63</v>
      </c>
      <c r="AH1967" s="11" t="str">
        <f t="shared" si="143"/>
        <v>mailto: soilterrain@victoria1.gov.bc.ca</v>
      </c>
    </row>
    <row r="1968" spans="1:34">
      <c r="A1968" t="s">
        <v>4526</v>
      </c>
      <c r="B1968" t="s">
        <v>56</v>
      </c>
      <c r="C1968" s="10" t="s">
        <v>1246</v>
      </c>
      <c r="D1968" t="s">
        <v>61</v>
      </c>
      <c r="E1968" t="s">
        <v>4527</v>
      </c>
      <c r="F1968" t="s">
        <v>4528</v>
      </c>
      <c r="G1968">
        <v>50000</v>
      </c>
      <c r="H1968">
        <v>1979</v>
      </c>
      <c r="I1968" t="s">
        <v>4529</v>
      </c>
      <c r="J1968" t="s">
        <v>61</v>
      </c>
      <c r="K1968" t="s">
        <v>58</v>
      </c>
      <c r="L1968" t="s">
        <v>58</v>
      </c>
      <c r="M1968" t="s">
        <v>58</v>
      </c>
      <c r="P1968" t="s">
        <v>61</v>
      </c>
      <c r="Q1968" t="s">
        <v>58</v>
      </c>
      <c r="R1968" s="11" t="str">
        <f>HYPERLINK("\\imagefiles.bcgov\imagery\scanned_maps\moe_terrain_maps\Scanned_T_maps_all\L02\L02-1410","\\imagefiles.bcgov\imagery\scanned_maps\moe_terrain_maps\Scanned_T_maps_all\L02\L02-1410")</f>
        <v>\\imagefiles.bcgov\imagery\scanned_maps\moe_terrain_maps\Scanned_T_maps_all\L02\L02-1410</v>
      </c>
      <c r="S1968" t="s">
        <v>62</v>
      </c>
      <c r="T1968" s="11" t="str">
        <f>HYPERLINK("http://www.env.gov.bc.ca/esd/distdata/ecosystems/TEI_Scanned_Maps/L02/L02-1410","http://www.env.gov.bc.ca/esd/distdata/ecosystems/TEI_Scanned_Maps/L02/L02-1410")</f>
        <v>http://www.env.gov.bc.ca/esd/distdata/ecosystems/TEI_Scanned_Maps/L02/L02-1410</v>
      </c>
      <c r="U1968" t="s">
        <v>269</v>
      </c>
      <c r="V1968" s="11" t="str">
        <f>HYPERLINK("http://www.for.gov.bc.ca/hfd/library/documents/bib54068.pdf","http://www.for.gov.bc.ca/hfd/library/documents/bib54068.pdf")</f>
        <v>http://www.for.gov.bc.ca/hfd/library/documents/bib54068.pdf</v>
      </c>
      <c r="W1968" t="s">
        <v>58</v>
      </c>
      <c r="X1968" t="s">
        <v>58</v>
      </c>
      <c r="Y1968" t="s">
        <v>58</v>
      </c>
      <c r="Z1968" t="s">
        <v>58</v>
      </c>
      <c r="AA1968" t="s">
        <v>58</v>
      </c>
      <c r="AC1968" t="s">
        <v>58</v>
      </c>
      <c r="AE1968" t="s">
        <v>58</v>
      </c>
      <c r="AG1968" t="s">
        <v>63</v>
      </c>
      <c r="AH1968" s="11" t="str">
        <f t="shared" si="143"/>
        <v>mailto: soilterrain@victoria1.gov.bc.ca</v>
      </c>
    </row>
    <row r="1969" spans="1:34">
      <c r="A1969" t="s">
        <v>4530</v>
      </c>
      <c r="B1969" t="s">
        <v>56</v>
      </c>
      <c r="C1969" s="10" t="s">
        <v>739</v>
      </c>
      <c r="D1969" t="s">
        <v>61</v>
      </c>
      <c r="E1969" t="s">
        <v>4531</v>
      </c>
      <c r="F1969" t="s">
        <v>4532</v>
      </c>
      <c r="G1969">
        <v>50000</v>
      </c>
      <c r="H1969">
        <v>1979</v>
      </c>
      <c r="I1969" t="s">
        <v>4533</v>
      </c>
      <c r="J1969" t="s">
        <v>61</v>
      </c>
      <c r="K1969" t="s">
        <v>58</v>
      </c>
      <c r="L1969" t="s">
        <v>58</v>
      </c>
      <c r="M1969" t="s">
        <v>58</v>
      </c>
      <c r="P1969" t="s">
        <v>61</v>
      </c>
      <c r="Q1969" t="s">
        <v>58</v>
      </c>
      <c r="R1969" s="11" t="str">
        <f>HYPERLINK("\\imagefiles.bcgov\imagery\scanned_maps\moe_terrain_maps\Scanned_T_maps_all\L02\L02-1411","\\imagefiles.bcgov\imagery\scanned_maps\moe_terrain_maps\Scanned_T_maps_all\L02\L02-1411")</f>
        <v>\\imagefiles.bcgov\imagery\scanned_maps\moe_terrain_maps\Scanned_T_maps_all\L02\L02-1411</v>
      </c>
      <c r="S1969" t="s">
        <v>62</v>
      </c>
      <c r="T1969" s="11" t="str">
        <f>HYPERLINK("http://www.env.gov.bc.ca/esd/distdata/ecosystems/TEI_Scanned_Maps/L02/L02-1411","http://www.env.gov.bc.ca/esd/distdata/ecosystems/TEI_Scanned_Maps/L02/L02-1411")</f>
        <v>http://www.env.gov.bc.ca/esd/distdata/ecosystems/TEI_Scanned_Maps/L02/L02-1411</v>
      </c>
      <c r="U1969" t="s">
        <v>269</v>
      </c>
      <c r="V1969" s="11" t="str">
        <f>HYPERLINK("http://www.library.for.gov.bc.ca/#focus","http://www.library.for.gov.bc.ca/#focus")</f>
        <v>http://www.library.for.gov.bc.ca/#focus</v>
      </c>
      <c r="W1969" t="s">
        <v>58</v>
      </c>
      <c r="X1969" t="s">
        <v>58</v>
      </c>
      <c r="Y1969" t="s">
        <v>58</v>
      </c>
      <c r="Z1969" t="s">
        <v>58</v>
      </c>
      <c r="AA1969" t="s">
        <v>58</v>
      </c>
      <c r="AC1969" t="s">
        <v>58</v>
      </c>
      <c r="AE1969" t="s">
        <v>58</v>
      </c>
      <c r="AG1969" t="s">
        <v>63</v>
      </c>
      <c r="AH1969" s="11" t="str">
        <f t="shared" si="143"/>
        <v>mailto: soilterrain@victoria1.gov.bc.ca</v>
      </c>
    </row>
    <row r="1970" spans="1:34">
      <c r="A1970" t="s">
        <v>4534</v>
      </c>
      <c r="B1970" t="s">
        <v>56</v>
      </c>
      <c r="C1970" s="10" t="s">
        <v>739</v>
      </c>
      <c r="D1970" t="s">
        <v>61</v>
      </c>
      <c r="E1970" t="s">
        <v>4531</v>
      </c>
      <c r="F1970" t="s">
        <v>4535</v>
      </c>
      <c r="G1970">
        <v>50000</v>
      </c>
      <c r="H1970">
        <v>1979</v>
      </c>
      <c r="I1970" t="s">
        <v>4529</v>
      </c>
      <c r="J1970" t="s">
        <v>61</v>
      </c>
      <c r="K1970" t="s">
        <v>58</v>
      </c>
      <c r="L1970" t="s">
        <v>58</v>
      </c>
      <c r="M1970" t="s">
        <v>58</v>
      </c>
      <c r="P1970" t="s">
        <v>61</v>
      </c>
      <c r="Q1970" t="s">
        <v>58</v>
      </c>
      <c r="R1970" s="11" t="str">
        <f>HYPERLINK("\\imagefiles.bcgov\imagery\scanned_maps\moe_terrain_maps\Scanned_T_maps_all\L02\L02-1413","\\imagefiles.bcgov\imagery\scanned_maps\moe_terrain_maps\Scanned_T_maps_all\L02\L02-1413")</f>
        <v>\\imagefiles.bcgov\imagery\scanned_maps\moe_terrain_maps\Scanned_T_maps_all\L02\L02-1413</v>
      </c>
      <c r="S1970" t="s">
        <v>62</v>
      </c>
      <c r="T1970" s="11" t="str">
        <f>HYPERLINK("http://www.env.gov.bc.ca/esd/distdata/ecosystems/TEI_Scanned_Maps/L02/L02-1413","http://www.env.gov.bc.ca/esd/distdata/ecosystems/TEI_Scanned_Maps/L02/L02-1413")</f>
        <v>http://www.env.gov.bc.ca/esd/distdata/ecosystems/TEI_Scanned_Maps/L02/L02-1413</v>
      </c>
      <c r="U1970" t="s">
        <v>269</v>
      </c>
      <c r="V1970" s="11" t="str">
        <f>HYPERLINK("http://www.for.gov.bc.ca/hfd/library/documents/bib54068.pdf","http://www.for.gov.bc.ca/hfd/library/documents/bib54068.pdf")</f>
        <v>http://www.for.gov.bc.ca/hfd/library/documents/bib54068.pdf</v>
      </c>
      <c r="W1970" t="s">
        <v>58</v>
      </c>
      <c r="X1970" t="s">
        <v>58</v>
      </c>
      <c r="Y1970" t="s">
        <v>58</v>
      </c>
      <c r="Z1970" t="s">
        <v>58</v>
      </c>
      <c r="AA1970" t="s">
        <v>58</v>
      </c>
      <c r="AC1970" t="s">
        <v>58</v>
      </c>
      <c r="AE1970" t="s">
        <v>58</v>
      </c>
      <c r="AG1970" t="s">
        <v>63</v>
      </c>
      <c r="AH1970" s="11" t="str">
        <f t="shared" si="143"/>
        <v>mailto: soilterrain@victoria1.gov.bc.ca</v>
      </c>
    </row>
    <row r="1971" spans="1:34">
      <c r="A1971" t="s">
        <v>4536</v>
      </c>
      <c r="B1971" t="s">
        <v>56</v>
      </c>
      <c r="C1971" s="10" t="s">
        <v>1246</v>
      </c>
      <c r="D1971" t="s">
        <v>61</v>
      </c>
      <c r="E1971" t="s">
        <v>4531</v>
      </c>
      <c r="F1971" t="s">
        <v>4537</v>
      </c>
      <c r="G1971">
        <v>50000</v>
      </c>
      <c r="H1971">
        <v>1979</v>
      </c>
      <c r="I1971" t="s">
        <v>4538</v>
      </c>
      <c r="J1971" t="s">
        <v>61</v>
      </c>
      <c r="K1971" t="s">
        <v>58</v>
      </c>
      <c r="L1971" t="s">
        <v>58</v>
      </c>
      <c r="M1971" t="s">
        <v>58</v>
      </c>
      <c r="P1971" t="s">
        <v>61</v>
      </c>
      <c r="Q1971" t="s">
        <v>58</v>
      </c>
      <c r="R1971" s="11" t="str">
        <f>HYPERLINK("\\imagefiles.bcgov\imagery\scanned_maps\moe_terrain_maps\Scanned_T_maps_all\L02\L02-1415","\\imagefiles.bcgov\imagery\scanned_maps\moe_terrain_maps\Scanned_T_maps_all\L02\L02-1415")</f>
        <v>\\imagefiles.bcgov\imagery\scanned_maps\moe_terrain_maps\Scanned_T_maps_all\L02\L02-1415</v>
      </c>
      <c r="S1971" t="s">
        <v>62</v>
      </c>
      <c r="T1971" s="11" t="str">
        <f>HYPERLINK("http://www.env.gov.bc.ca/esd/distdata/ecosystems/TEI_Scanned_Maps/L02/L02-1415","http://www.env.gov.bc.ca/esd/distdata/ecosystems/TEI_Scanned_Maps/L02/L02-1415")</f>
        <v>http://www.env.gov.bc.ca/esd/distdata/ecosystems/TEI_Scanned_Maps/L02/L02-1415</v>
      </c>
      <c r="U1971" t="s">
        <v>269</v>
      </c>
      <c r="V1971" s="11" t="str">
        <f>HYPERLINK("http://www.library.for.gov.bc.ca/#focus","http://www.library.for.gov.bc.ca/#focus")</f>
        <v>http://www.library.for.gov.bc.ca/#focus</v>
      </c>
      <c r="W1971" t="s">
        <v>58</v>
      </c>
      <c r="X1971" t="s">
        <v>58</v>
      </c>
      <c r="Y1971" t="s">
        <v>58</v>
      </c>
      <c r="Z1971" t="s">
        <v>58</v>
      </c>
      <c r="AA1971" t="s">
        <v>58</v>
      </c>
      <c r="AC1971" t="s">
        <v>58</v>
      </c>
      <c r="AE1971" t="s">
        <v>58</v>
      </c>
      <c r="AG1971" t="s">
        <v>63</v>
      </c>
      <c r="AH1971" s="11" t="str">
        <f t="shared" si="143"/>
        <v>mailto: soilterrain@victoria1.gov.bc.ca</v>
      </c>
    </row>
    <row r="1972" spans="1:34">
      <c r="A1972" t="s">
        <v>4539</v>
      </c>
      <c r="B1972" t="s">
        <v>56</v>
      </c>
      <c r="C1972" s="10" t="s">
        <v>1248</v>
      </c>
      <c r="D1972" t="s">
        <v>61</v>
      </c>
      <c r="E1972" t="s">
        <v>4540</v>
      </c>
      <c r="F1972" t="s">
        <v>4541</v>
      </c>
      <c r="G1972">
        <v>50000</v>
      </c>
      <c r="H1972">
        <v>1979</v>
      </c>
      <c r="I1972" t="s">
        <v>4529</v>
      </c>
      <c r="J1972" t="s">
        <v>61</v>
      </c>
      <c r="K1972" t="s">
        <v>58</v>
      </c>
      <c r="L1972" t="s">
        <v>58</v>
      </c>
      <c r="M1972" t="s">
        <v>58</v>
      </c>
      <c r="P1972" t="s">
        <v>61</v>
      </c>
      <c r="Q1972" t="s">
        <v>58</v>
      </c>
      <c r="R1972" s="11" t="str">
        <f>HYPERLINK("\\imagefiles.bcgov\imagery\scanned_maps\moe_terrain_maps\Scanned_T_maps_all\L02\L02-1653","\\imagefiles.bcgov\imagery\scanned_maps\moe_terrain_maps\Scanned_T_maps_all\L02\L02-1653")</f>
        <v>\\imagefiles.bcgov\imagery\scanned_maps\moe_terrain_maps\Scanned_T_maps_all\L02\L02-1653</v>
      </c>
      <c r="S1972" t="s">
        <v>62</v>
      </c>
      <c r="T1972" s="11" t="str">
        <f>HYPERLINK("http://www.env.gov.bc.ca/esd/distdata/ecosystems/TEI_Scanned_Maps/L02/L02-1653","http://www.env.gov.bc.ca/esd/distdata/ecosystems/TEI_Scanned_Maps/L02/L02-1653")</f>
        <v>http://www.env.gov.bc.ca/esd/distdata/ecosystems/TEI_Scanned_Maps/L02/L02-1653</v>
      </c>
      <c r="U1972" t="s">
        <v>269</v>
      </c>
      <c r="V1972" s="11" t="str">
        <f>HYPERLINK("http://www.for.gov.bc.ca/hfd/library/documents/bib54068.pdf","http://www.for.gov.bc.ca/hfd/library/documents/bib54068.pdf")</f>
        <v>http://www.for.gov.bc.ca/hfd/library/documents/bib54068.pdf</v>
      </c>
      <c r="W1972" t="s">
        <v>58</v>
      </c>
      <c r="X1972" t="s">
        <v>58</v>
      </c>
      <c r="Y1972" t="s">
        <v>58</v>
      </c>
      <c r="Z1972" t="s">
        <v>58</v>
      </c>
      <c r="AA1972" t="s">
        <v>58</v>
      </c>
      <c r="AC1972" t="s">
        <v>58</v>
      </c>
      <c r="AE1972" t="s">
        <v>58</v>
      </c>
      <c r="AG1972" t="s">
        <v>63</v>
      </c>
      <c r="AH1972" s="11" t="str">
        <f t="shared" si="143"/>
        <v>mailto: soilterrain@victoria1.gov.bc.ca</v>
      </c>
    </row>
    <row r="1973" spans="1:34">
      <c r="A1973" t="s">
        <v>4542</v>
      </c>
      <c r="B1973" t="s">
        <v>56</v>
      </c>
      <c r="C1973" s="10" t="s">
        <v>1248</v>
      </c>
      <c r="D1973" t="s">
        <v>61</v>
      </c>
      <c r="E1973" t="s">
        <v>4540</v>
      </c>
      <c r="F1973" t="s">
        <v>4543</v>
      </c>
      <c r="G1973">
        <v>50000</v>
      </c>
      <c r="H1973">
        <v>1979</v>
      </c>
      <c r="I1973" t="s">
        <v>4533</v>
      </c>
      <c r="J1973" t="s">
        <v>61</v>
      </c>
      <c r="K1973" t="s">
        <v>58</v>
      </c>
      <c r="L1973" t="s">
        <v>58</v>
      </c>
      <c r="M1973" t="s">
        <v>58</v>
      </c>
      <c r="P1973" t="s">
        <v>61</v>
      </c>
      <c r="Q1973" t="s">
        <v>58</v>
      </c>
      <c r="R1973" s="11" t="str">
        <f>HYPERLINK("\\imagefiles.bcgov\imagery\scanned_maps\moe_terrain_maps\Scanned_T_maps_all\L02\L02-1655","\\imagefiles.bcgov\imagery\scanned_maps\moe_terrain_maps\Scanned_T_maps_all\L02\L02-1655")</f>
        <v>\\imagefiles.bcgov\imagery\scanned_maps\moe_terrain_maps\Scanned_T_maps_all\L02\L02-1655</v>
      </c>
      <c r="S1973" t="s">
        <v>62</v>
      </c>
      <c r="T1973" s="11" t="str">
        <f>HYPERLINK("http://www.env.gov.bc.ca/esd/distdata/ecosystems/TEI_Scanned_Maps/L02/L02-1655","http://www.env.gov.bc.ca/esd/distdata/ecosystems/TEI_Scanned_Maps/L02/L02-1655")</f>
        <v>http://www.env.gov.bc.ca/esd/distdata/ecosystems/TEI_Scanned_Maps/L02/L02-1655</v>
      </c>
      <c r="U1973" t="s">
        <v>269</v>
      </c>
      <c r="V1973" s="11" t="str">
        <f>HYPERLINK("http://www.library.for.gov.bc.ca/#focus","http://www.library.for.gov.bc.ca/#focus")</f>
        <v>http://www.library.for.gov.bc.ca/#focus</v>
      </c>
      <c r="W1973" t="s">
        <v>58</v>
      </c>
      <c r="X1973" t="s">
        <v>58</v>
      </c>
      <c r="Y1973" t="s">
        <v>58</v>
      </c>
      <c r="Z1973" t="s">
        <v>58</v>
      </c>
      <c r="AA1973" t="s">
        <v>58</v>
      </c>
      <c r="AC1973" t="s">
        <v>58</v>
      </c>
      <c r="AE1973" t="s">
        <v>58</v>
      </c>
      <c r="AG1973" t="s">
        <v>63</v>
      </c>
      <c r="AH1973" s="11" t="str">
        <f t="shared" si="143"/>
        <v>mailto: soilterrain@victoria1.gov.bc.ca</v>
      </c>
    </row>
    <row r="1974" spans="1:34">
      <c r="A1974" t="s">
        <v>4544</v>
      </c>
      <c r="B1974" t="s">
        <v>56</v>
      </c>
      <c r="C1974" s="10" t="s">
        <v>4545</v>
      </c>
      <c r="D1974" t="s">
        <v>58</v>
      </c>
      <c r="E1974" t="s">
        <v>4546</v>
      </c>
      <c r="F1974" t="s">
        <v>4547</v>
      </c>
      <c r="G1974">
        <v>20000</v>
      </c>
      <c r="H1974">
        <v>1987</v>
      </c>
      <c r="I1974" t="s">
        <v>58</v>
      </c>
      <c r="J1974" t="s">
        <v>61</v>
      </c>
      <c r="K1974" t="s">
        <v>58</v>
      </c>
      <c r="L1974" t="s">
        <v>61</v>
      </c>
      <c r="M1974" t="s">
        <v>58</v>
      </c>
      <c r="N1974" t="s">
        <v>61</v>
      </c>
      <c r="Q1974" t="s">
        <v>58</v>
      </c>
      <c r="R1974" s="11" t="str">
        <f>HYPERLINK("\\imagefiles.bcgov\imagery\scanned_maps\moe_terrain_maps\Scanned_T_maps_all\L03\L03-2085","\\imagefiles.bcgov\imagery\scanned_maps\moe_terrain_maps\Scanned_T_maps_all\L03\L03-2085")</f>
        <v>\\imagefiles.bcgov\imagery\scanned_maps\moe_terrain_maps\Scanned_T_maps_all\L03\L03-2085</v>
      </c>
      <c r="S1974" t="s">
        <v>62</v>
      </c>
      <c r="T1974" s="11" t="str">
        <f>HYPERLINK("http://www.env.gov.bc.ca/esd/distdata/ecosystems/TEI_Scanned_Maps/L03/L03-2085","http://www.env.gov.bc.ca/esd/distdata/ecosystems/TEI_Scanned_Maps/L03/L03-2085")</f>
        <v>http://www.env.gov.bc.ca/esd/distdata/ecosystems/TEI_Scanned_Maps/L03/L03-2085</v>
      </c>
      <c r="U1974" t="s">
        <v>58</v>
      </c>
      <c r="V1974" t="s">
        <v>58</v>
      </c>
      <c r="W1974" t="s">
        <v>58</v>
      </c>
      <c r="X1974" t="s">
        <v>58</v>
      </c>
      <c r="Y1974" t="s">
        <v>58</v>
      </c>
      <c r="Z1974" t="s">
        <v>58</v>
      </c>
      <c r="AA1974" t="s">
        <v>58</v>
      </c>
      <c r="AC1974" t="s">
        <v>58</v>
      </c>
      <c r="AE1974" t="s">
        <v>58</v>
      </c>
      <c r="AG1974" t="s">
        <v>63</v>
      </c>
      <c r="AH1974" s="11" t="str">
        <f t="shared" si="143"/>
        <v>mailto: soilterrain@victoria1.gov.bc.ca</v>
      </c>
    </row>
    <row r="1975" spans="1:34">
      <c r="A1975" t="s">
        <v>4548</v>
      </c>
      <c r="B1975" t="s">
        <v>56</v>
      </c>
      <c r="C1975" s="10" t="s">
        <v>4549</v>
      </c>
      <c r="D1975" t="s">
        <v>58</v>
      </c>
      <c r="E1975" t="s">
        <v>4546</v>
      </c>
      <c r="F1975" t="s">
        <v>4550</v>
      </c>
      <c r="G1975">
        <v>20000</v>
      </c>
      <c r="H1975">
        <v>1985</v>
      </c>
      <c r="I1975" t="s">
        <v>58</v>
      </c>
      <c r="J1975" t="s">
        <v>61</v>
      </c>
      <c r="K1975" t="s">
        <v>58</v>
      </c>
      <c r="L1975" t="s">
        <v>58</v>
      </c>
      <c r="M1975" t="s">
        <v>58</v>
      </c>
      <c r="N1975" t="s">
        <v>61</v>
      </c>
      <c r="Q1975" t="s">
        <v>58</v>
      </c>
      <c r="R1975" s="11" t="str">
        <f>HYPERLINK("\\imagefiles.bcgov\imagery\scanned_maps\moe_terrain_maps\Scanned_T_maps_all\L03\L03-2086","\\imagefiles.bcgov\imagery\scanned_maps\moe_terrain_maps\Scanned_T_maps_all\L03\L03-2086")</f>
        <v>\\imagefiles.bcgov\imagery\scanned_maps\moe_terrain_maps\Scanned_T_maps_all\L03\L03-2086</v>
      </c>
      <c r="S1975" t="s">
        <v>62</v>
      </c>
      <c r="T1975" s="11" t="str">
        <f>HYPERLINK("http://www.env.gov.bc.ca/esd/distdata/ecosystems/TEI_Scanned_Maps/L03/L03-2086","http://www.env.gov.bc.ca/esd/distdata/ecosystems/TEI_Scanned_Maps/L03/L03-2086")</f>
        <v>http://www.env.gov.bc.ca/esd/distdata/ecosystems/TEI_Scanned_Maps/L03/L03-2086</v>
      </c>
      <c r="U1975" t="s">
        <v>58</v>
      </c>
      <c r="V1975" t="s">
        <v>58</v>
      </c>
      <c r="W1975" t="s">
        <v>58</v>
      </c>
      <c r="X1975" t="s">
        <v>58</v>
      </c>
      <c r="Y1975" t="s">
        <v>58</v>
      </c>
      <c r="Z1975" t="s">
        <v>58</v>
      </c>
      <c r="AA1975" t="s">
        <v>58</v>
      </c>
      <c r="AC1975" t="s">
        <v>58</v>
      </c>
      <c r="AE1975" t="s">
        <v>58</v>
      </c>
      <c r="AG1975" t="s">
        <v>63</v>
      </c>
      <c r="AH1975" s="11" t="str">
        <f t="shared" si="143"/>
        <v>mailto: soilterrain@victoria1.gov.bc.ca</v>
      </c>
    </row>
    <row r="1976" spans="1:34">
      <c r="A1976" t="s">
        <v>4551</v>
      </c>
      <c r="B1976" t="s">
        <v>56</v>
      </c>
      <c r="C1976" s="10" t="s">
        <v>4545</v>
      </c>
      <c r="D1976" t="s">
        <v>58</v>
      </c>
      <c r="E1976" t="s">
        <v>4546</v>
      </c>
      <c r="F1976" t="s">
        <v>4552</v>
      </c>
      <c r="G1976">
        <v>20000</v>
      </c>
      <c r="H1976">
        <v>1985</v>
      </c>
      <c r="I1976" t="s">
        <v>58</v>
      </c>
      <c r="J1976" t="s">
        <v>61</v>
      </c>
      <c r="K1976" t="s">
        <v>58</v>
      </c>
      <c r="L1976" t="s">
        <v>58</v>
      </c>
      <c r="M1976" t="s">
        <v>58</v>
      </c>
      <c r="N1976" t="s">
        <v>61</v>
      </c>
      <c r="Q1976" t="s">
        <v>58</v>
      </c>
      <c r="R1976" s="11" t="str">
        <f>HYPERLINK("\\imagefiles.bcgov\imagery\scanned_maps\moe_terrain_maps\Scanned_T_maps_all\L03\L03-2087","\\imagefiles.bcgov\imagery\scanned_maps\moe_terrain_maps\Scanned_T_maps_all\L03\L03-2087")</f>
        <v>\\imagefiles.bcgov\imagery\scanned_maps\moe_terrain_maps\Scanned_T_maps_all\L03\L03-2087</v>
      </c>
      <c r="S1976" t="s">
        <v>62</v>
      </c>
      <c r="T1976" s="11" t="str">
        <f>HYPERLINK("http://www.env.gov.bc.ca/esd/distdata/ecosystems/TEI_Scanned_Maps/L03/L03-2087","http://www.env.gov.bc.ca/esd/distdata/ecosystems/TEI_Scanned_Maps/L03/L03-2087")</f>
        <v>http://www.env.gov.bc.ca/esd/distdata/ecosystems/TEI_Scanned_Maps/L03/L03-2087</v>
      </c>
      <c r="U1976" t="s">
        <v>58</v>
      </c>
      <c r="V1976" t="s">
        <v>58</v>
      </c>
      <c r="W1976" t="s">
        <v>58</v>
      </c>
      <c r="X1976" t="s">
        <v>58</v>
      </c>
      <c r="Y1976" t="s">
        <v>58</v>
      </c>
      <c r="Z1976" t="s">
        <v>58</v>
      </c>
      <c r="AA1976" t="s">
        <v>58</v>
      </c>
      <c r="AC1976" t="s">
        <v>58</v>
      </c>
      <c r="AE1976" t="s">
        <v>58</v>
      </c>
      <c r="AG1976" t="s">
        <v>63</v>
      </c>
      <c r="AH1976" s="11" t="str">
        <f t="shared" si="143"/>
        <v>mailto: soilterrain@victoria1.gov.bc.ca</v>
      </c>
    </row>
    <row r="1977" spans="1:34">
      <c r="A1977" t="s">
        <v>4553</v>
      </c>
      <c r="B1977" t="s">
        <v>56</v>
      </c>
      <c r="C1977" s="10" t="s">
        <v>4549</v>
      </c>
      <c r="D1977" t="s">
        <v>58</v>
      </c>
      <c r="E1977" t="s">
        <v>4546</v>
      </c>
      <c r="F1977" t="s">
        <v>4554</v>
      </c>
      <c r="G1977">
        <v>20000</v>
      </c>
      <c r="H1977">
        <v>1988</v>
      </c>
      <c r="I1977" t="s">
        <v>58</v>
      </c>
      <c r="J1977" t="s">
        <v>61</v>
      </c>
      <c r="K1977" t="s">
        <v>58</v>
      </c>
      <c r="L1977" t="s">
        <v>61</v>
      </c>
      <c r="M1977" t="s">
        <v>58</v>
      </c>
      <c r="Q1977" t="s">
        <v>58</v>
      </c>
      <c r="R1977" s="11" t="str">
        <f>HYPERLINK("\\imagefiles.bcgov\imagery\scanned_maps\moe_terrain_maps\Scanned_T_maps_all\L03\L03-2090","\\imagefiles.bcgov\imagery\scanned_maps\moe_terrain_maps\Scanned_T_maps_all\L03\L03-2090")</f>
        <v>\\imagefiles.bcgov\imagery\scanned_maps\moe_terrain_maps\Scanned_T_maps_all\L03\L03-2090</v>
      </c>
      <c r="S1977" t="s">
        <v>62</v>
      </c>
      <c r="T1977" s="11" t="str">
        <f>HYPERLINK("http://www.env.gov.bc.ca/esd/distdata/ecosystems/TEI_Scanned_Maps/L03/L03-2090","http://www.env.gov.bc.ca/esd/distdata/ecosystems/TEI_Scanned_Maps/L03/L03-2090")</f>
        <v>http://www.env.gov.bc.ca/esd/distdata/ecosystems/TEI_Scanned_Maps/L03/L03-2090</v>
      </c>
      <c r="U1977" t="s">
        <v>58</v>
      </c>
      <c r="V1977" t="s">
        <v>58</v>
      </c>
      <c r="W1977" t="s">
        <v>58</v>
      </c>
      <c r="X1977" t="s">
        <v>58</v>
      </c>
      <c r="Y1977" t="s">
        <v>58</v>
      </c>
      <c r="Z1977" t="s">
        <v>58</v>
      </c>
      <c r="AA1977" t="s">
        <v>58</v>
      </c>
      <c r="AC1977" t="s">
        <v>58</v>
      </c>
      <c r="AE1977" t="s">
        <v>58</v>
      </c>
      <c r="AG1977" t="s">
        <v>63</v>
      </c>
      <c r="AH1977" s="11" t="str">
        <f t="shared" si="143"/>
        <v>mailto: soilterrain@victoria1.gov.bc.ca</v>
      </c>
    </row>
    <row r="1978" spans="1:34">
      <c r="A1978" t="s">
        <v>4555</v>
      </c>
      <c r="B1978" t="s">
        <v>56</v>
      </c>
      <c r="C1978" s="10" t="s">
        <v>4545</v>
      </c>
      <c r="D1978" t="s">
        <v>58</v>
      </c>
      <c r="E1978" t="s">
        <v>4546</v>
      </c>
      <c r="F1978" t="s">
        <v>4556</v>
      </c>
      <c r="G1978">
        <v>20000</v>
      </c>
      <c r="H1978" t="s">
        <v>187</v>
      </c>
      <c r="I1978" t="s">
        <v>58</v>
      </c>
      <c r="J1978" t="s">
        <v>61</v>
      </c>
      <c r="K1978" t="s">
        <v>58</v>
      </c>
      <c r="L1978" t="s">
        <v>61</v>
      </c>
      <c r="M1978" t="s">
        <v>58</v>
      </c>
      <c r="Q1978" t="s">
        <v>58</v>
      </c>
      <c r="R1978" s="11" t="str">
        <f>HYPERLINK("\\imagefiles.bcgov\imagery\scanned_maps\moe_terrain_maps\Scanned_T_maps_all\L03\L03-2091","\\imagefiles.bcgov\imagery\scanned_maps\moe_terrain_maps\Scanned_T_maps_all\L03\L03-2091")</f>
        <v>\\imagefiles.bcgov\imagery\scanned_maps\moe_terrain_maps\Scanned_T_maps_all\L03\L03-2091</v>
      </c>
      <c r="S1978" t="s">
        <v>62</v>
      </c>
      <c r="T1978" s="11" t="str">
        <f>HYPERLINK("http://www.env.gov.bc.ca/esd/distdata/ecosystems/TEI_Scanned_Maps/L03/L03-2091","http://www.env.gov.bc.ca/esd/distdata/ecosystems/TEI_Scanned_Maps/L03/L03-2091")</f>
        <v>http://www.env.gov.bc.ca/esd/distdata/ecosystems/TEI_Scanned_Maps/L03/L03-2091</v>
      </c>
      <c r="U1978" t="s">
        <v>58</v>
      </c>
      <c r="V1978" t="s">
        <v>58</v>
      </c>
      <c r="W1978" t="s">
        <v>58</v>
      </c>
      <c r="X1978" t="s">
        <v>58</v>
      </c>
      <c r="Y1978" t="s">
        <v>58</v>
      </c>
      <c r="Z1978" t="s">
        <v>58</v>
      </c>
      <c r="AA1978" t="s">
        <v>58</v>
      </c>
      <c r="AC1978" t="s">
        <v>58</v>
      </c>
      <c r="AE1978" t="s">
        <v>58</v>
      </c>
      <c r="AG1978" t="s">
        <v>63</v>
      </c>
      <c r="AH1978" s="11" t="str">
        <f t="shared" si="143"/>
        <v>mailto: soilterrain@victoria1.gov.bc.ca</v>
      </c>
    </row>
    <row r="1979" spans="1:34">
      <c r="A1979" t="s">
        <v>4557</v>
      </c>
      <c r="B1979" t="s">
        <v>56</v>
      </c>
      <c r="C1979" s="10" t="s">
        <v>4558</v>
      </c>
      <c r="D1979" t="s">
        <v>58</v>
      </c>
      <c r="E1979" t="s">
        <v>4559</v>
      </c>
      <c r="F1979" t="s">
        <v>4560</v>
      </c>
      <c r="G1979">
        <v>20000</v>
      </c>
      <c r="H1979" t="s">
        <v>187</v>
      </c>
      <c r="I1979" t="s">
        <v>4561</v>
      </c>
      <c r="J1979" t="s">
        <v>61</v>
      </c>
      <c r="K1979" t="s">
        <v>58</v>
      </c>
      <c r="L1979" t="s">
        <v>58</v>
      </c>
      <c r="M1979" t="s">
        <v>58</v>
      </c>
      <c r="P1979" t="s">
        <v>61</v>
      </c>
      <c r="Q1979" t="s">
        <v>58</v>
      </c>
      <c r="R1979" s="11" t="str">
        <f>HYPERLINK("\\imagefiles.bcgov\imagery\scanned_maps\moe_terrain_maps\Scanned_T_maps_all\L04\L04-375","\\imagefiles.bcgov\imagery\scanned_maps\moe_terrain_maps\Scanned_T_maps_all\L04\L04-375")</f>
        <v>\\imagefiles.bcgov\imagery\scanned_maps\moe_terrain_maps\Scanned_T_maps_all\L04\L04-375</v>
      </c>
      <c r="S1979" t="s">
        <v>62</v>
      </c>
      <c r="T1979" s="11" t="str">
        <f>HYPERLINK("http://www.env.gov.bc.ca/esd/distdata/ecosystems/TEI_Scanned_Maps/L04/L04-375","http://www.env.gov.bc.ca/esd/distdata/ecosystems/TEI_Scanned_Maps/L04/L04-375")</f>
        <v>http://www.env.gov.bc.ca/esd/distdata/ecosystems/TEI_Scanned_Maps/L04/L04-375</v>
      </c>
      <c r="U1979" t="s">
        <v>58</v>
      </c>
      <c r="V1979" t="s">
        <v>58</v>
      </c>
      <c r="W1979" t="s">
        <v>58</v>
      </c>
      <c r="X1979" t="s">
        <v>58</v>
      </c>
      <c r="Y1979" t="s">
        <v>58</v>
      </c>
      <c r="Z1979" t="s">
        <v>58</v>
      </c>
      <c r="AA1979" t="s">
        <v>58</v>
      </c>
      <c r="AC1979" t="s">
        <v>58</v>
      </c>
      <c r="AE1979" t="s">
        <v>58</v>
      </c>
      <c r="AG1979" t="s">
        <v>63</v>
      </c>
      <c r="AH1979" s="11" t="str">
        <f t="shared" si="143"/>
        <v>mailto: soilterrain@victoria1.gov.bc.ca</v>
      </c>
    </row>
    <row r="1980" spans="1:34">
      <c r="A1980" t="s">
        <v>4562</v>
      </c>
      <c r="B1980" t="s">
        <v>56</v>
      </c>
      <c r="C1980" s="10" t="s">
        <v>4558</v>
      </c>
      <c r="D1980" t="s">
        <v>58</v>
      </c>
      <c r="E1980" t="s">
        <v>4559</v>
      </c>
      <c r="F1980" t="s">
        <v>4563</v>
      </c>
      <c r="G1980">
        <v>20000</v>
      </c>
      <c r="H1980">
        <v>1985</v>
      </c>
      <c r="I1980" t="s">
        <v>4561</v>
      </c>
      <c r="J1980" t="s">
        <v>61</v>
      </c>
      <c r="K1980" t="s">
        <v>58</v>
      </c>
      <c r="L1980" t="s">
        <v>58</v>
      </c>
      <c r="M1980" t="s">
        <v>58</v>
      </c>
      <c r="P1980" t="s">
        <v>61</v>
      </c>
      <c r="Q1980" t="s">
        <v>58</v>
      </c>
      <c r="R1980" s="11" t="str">
        <f>HYPERLINK("\\imagefiles.bcgov\imagery\scanned_maps\moe_terrain_maps\Scanned_T_maps_all\L04\L04-376","\\imagefiles.bcgov\imagery\scanned_maps\moe_terrain_maps\Scanned_T_maps_all\L04\L04-376")</f>
        <v>\\imagefiles.bcgov\imagery\scanned_maps\moe_terrain_maps\Scanned_T_maps_all\L04\L04-376</v>
      </c>
      <c r="S1980" t="s">
        <v>62</v>
      </c>
      <c r="T1980" s="11" t="str">
        <f>HYPERLINK("http://www.env.gov.bc.ca/esd/distdata/ecosystems/TEI_Scanned_Maps/L04/L04-376","http://www.env.gov.bc.ca/esd/distdata/ecosystems/TEI_Scanned_Maps/L04/L04-376")</f>
        <v>http://www.env.gov.bc.ca/esd/distdata/ecosystems/TEI_Scanned_Maps/L04/L04-376</v>
      </c>
      <c r="U1980" t="s">
        <v>58</v>
      </c>
      <c r="V1980" t="s">
        <v>58</v>
      </c>
      <c r="W1980" t="s">
        <v>58</v>
      </c>
      <c r="X1980" t="s">
        <v>58</v>
      </c>
      <c r="Y1980" t="s">
        <v>58</v>
      </c>
      <c r="Z1980" t="s">
        <v>58</v>
      </c>
      <c r="AA1980" t="s">
        <v>58</v>
      </c>
      <c r="AC1980" t="s">
        <v>58</v>
      </c>
      <c r="AE1980" t="s">
        <v>58</v>
      </c>
      <c r="AG1980" t="s">
        <v>63</v>
      </c>
      <c r="AH1980" s="11" t="str">
        <f t="shared" si="143"/>
        <v>mailto: soilterrain@victoria1.gov.bc.ca</v>
      </c>
    </row>
    <row r="1981" spans="1:34">
      <c r="A1981" t="s">
        <v>4564</v>
      </c>
      <c r="B1981" t="s">
        <v>56</v>
      </c>
      <c r="C1981" s="10" t="s">
        <v>4558</v>
      </c>
      <c r="D1981" t="s">
        <v>58</v>
      </c>
      <c r="E1981" t="s">
        <v>4559</v>
      </c>
      <c r="F1981" t="s">
        <v>4565</v>
      </c>
      <c r="G1981">
        <v>20000</v>
      </c>
      <c r="H1981">
        <v>1985</v>
      </c>
      <c r="I1981" t="s">
        <v>4561</v>
      </c>
      <c r="J1981" t="s">
        <v>61</v>
      </c>
      <c r="K1981" t="s">
        <v>58</v>
      </c>
      <c r="L1981" t="s">
        <v>61</v>
      </c>
      <c r="M1981" t="s">
        <v>58</v>
      </c>
      <c r="Q1981" t="s">
        <v>58</v>
      </c>
      <c r="R1981" s="11" t="str">
        <f>HYPERLINK("\\imagefiles.bcgov\imagery\scanned_maps\moe_terrain_maps\Scanned_T_maps_all\L04\L04-377","\\imagefiles.bcgov\imagery\scanned_maps\moe_terrain_maps\Scanned_T_maps_all\L04\L04-377")</f>
        <v>\\imagefiles.bcgov\imagery\scanned_maps\moe_terrain_maps\Scanned_T_maps_all\L04\L04-377</v>
      </c>
      <c r="S1981" t="s">
        <v>62</v>
      </c>
      <c r="T1981" s="11" t="str">
        <f>HYPERLINK("http://www.env.gov.bc.ca/esd/distdata/ecosystems/TEI_Scanned_Maps/L04/L04-377","http://www.env.gov.bc.ca/esd/distdata/ecosystems/TEI_Scanned_Maps/L04/L04-377")</f>
        <v>http://www.env.gov.bc.ca/esd/distdata/ecosystems/TEI_Scanned_Maps/L04/L04-377</v>
      </c>
      <c r="U1981" t="s">
        <v>58</v>
      </c>
      <c r="V1981" t="s">
        <v>58</v>
      </c>
      <c r="W1981" t="s">
        <v>58</v>
      </c>
      <c r="X1981" t="s">
        <v>58</v>
      </c>
      <c r="Y1981" t="s">
        <v>58</v>
      </c>
      <c r="Z1981" t="s">
        <v>58</v>
      </c>
      <c r="AA1981" t="s">
        <v>58</v>
      </c>
      <c r="AC1981" t="s">
        <v>58</v>
      </c>
      <c r="AE1981" t="s">
        <v>58</v>
      </c>
      <c r="AG1981" t="s">
        <v>63</v>
      </c>
      <c r="AH1981" s="11" t="str">
        <f t="shared" si="143"/>
        <v>mailto: soilterrain@victoria1.gov.bc.ca</v>
      </c>
    </row>
    <row r="1982" spans="1:34">
      <c r="A1982" t="s">
        <v>4566</v>
      </c>
      <c r="B1982" t="s">
        <v>56</v>
      </c>
      <c r="C1982" s="10" t="s">
        <v>4558</v>
      </c>
      <c r="D1982" t="s">
        <v>58</v>
      </c>
      <c r="E1982" t="s">
        <v>4559</v>
      </c>
      <c r="F1982" t="s">
        <v>4567</v>
      </c>
      <c r="G1982">
        <v>20000</v>
      </c>
      <c r="H1982">
        <v>1985</v>
      </c>
      <c r="I1982" t="s">
        <v>4561</v>
      </c>
      <c r="J1982" t="s">
        <v>61</v>
      </c>
      <c r="K1982" t="s">
        <v>61</v>
      </c>
      <c r="L1982" t="s">
        <v>58</v>
      </c>
      <c r="M1982" t="s">
        <v>58</v>
      </c>
      <c r="Q1982" t="s">
        <v>58</v>
      </c>
      <c r="R1982" s="11" t="str">
        <f>HYPERLINK("\\imagefiles.bcgov\imagery\scanned_maps\moe_terrain_maps\Scanned_T_maps_all\L04\L04-378","\\imagefiles.bcgov\imagery\scanned_maps\moe_terrain_maps\Scanned_T_maps_all\L04\L04-378")</f>
        <v>\\imagefiles.bcgov\imagery\scanned_maps\moe_terrain_maps\Scanned_T_maps_all\L04\L04-378</v>
      </c>
      <c r="S1982" t="s">
        <v>62</v>
      </c>
      <c r="T1982" s="11" t="str">
        <f>HYPERLINK("http://www.env.gov.bc.ca/esd/distdata/ecosystems/TEI_Scanned_Maps/L04/L04-378","http://www.env.gov.bc.ca/esd/distdata/ecosystems/TEI_Scanned_Maps/L04/L04-378")</f>
        <v>http://www.env.gov.bc.ca/esd/distdata/ecosystems/TEI_Scanned_Maps/L04/L04-378</v>
      </c>
      <c r="U1982" t="s">
        <v>58</v>
      </c>
      <c r="V1982" t="s">
        <v>58</v>
      </c>
      <c r="W1982" t="s">
        <v>58</v>
      </c>
      <c r="X1982" t="s">
        <v>58</v>
      </c>
      <c r="Y1982" t="s">
        <v>58</v>
      </c>
      <c r="Z1982" t="s">
        <v>58</v>
      </c>
      <c r="AA1982" t="s">
        <v>58</v>
      </c>
      <c r="AC1982" t="s">
        <v>58</v>
      </c>
      <c r="AE1982" t="s">
        <v>58</v>
      </c>
      <c r="AG1982" t="s">
        <v>63</v>
      </c>
      <c r="AH1982" s="11" t="str">
        <f t="shared" si="143"/>
        <v>mailto: soilterrain@victoria1.gov.bc.ca</v>
      </c>
    </row>
    <row r="1983" spans="1:34">
      <c r="A1983" t="s">
        <v>4568</v>
      </c>
      <c r="B1983" t="s">
        <v>56</v>
      </c>
      <c r="C1983" s="10" t="s">
        <v>192</v>
      </c>
      <c r="D1983" t="s">
        <v>58</v>
      </c>
      <c r="E1983" t="s">
        <v>59</v>
      </c>
      <c r="F1983" t="s">
        <v>4569</v>
      </c>
      <c r="G1983">
        <v>20000</v>
      </c>
      <c r="H1983">
        <v>1988</v>
      </c>
      <c r="I1983" t="s">
        <v>58</v>
      </c>
      <c r="J1983" t="s">
        <v>58</v>
      </c>
      <c r="K1983" t="s">
        <v>61</v>
      </c>
      <c r="L1983" t="s">
        <v>58</v>
      </c>
      <c r="M1983" t="s">
        <v>58</v>
      </c>
      <c r="P1983" t="s">
        <v>61</v>
      </c>
      <c r="Q1983" t="s">
        <v>58</v>
      </c>
      <c r="R1983" s="11" t="str">
        <f>HYPERLINK("\\imagefiles.bcgov\imagery\scanned_maps\moe_terrain_maps\Scanned_T_maps_all\L05\L05-1417","\\imagefiles.bcgov\imagery\scanned_maps\moe_terrain_maps\Scanned_T_maps_all\L05\L05-1417")</f>
        <v>\\imagefiles.bcgov\imagery\scanned_maps\moe_terrain_maps\Scanned_T_maps_all\L05\L05-1417</v>
      </c>
      <c r="S1983" t="s">
        <v>62</v>
      </c>
      <c r="T1983" s="11" t="str">
        <f>HYPERLINK("http://www.env.gov.bc.ca/esd/distdata/ecosystems/TEI_Scanned_Maps/L05/L05-1417","http://www.env.gov.bc.ca/esd/distdata/ecosystems/TEI_Scanned_Maps/L05/L05-1417")</f>
        <v>http://www.env.gov.bc.ca/esd/distdata/ecosystems/TEI_Scanned_Maps/L05/L05-1417</v>
      </c>
      <c r="U1983" t="s">
        <v>58</v>
      </c>
      <c r="V1983" t="s">
        <v>58</v>
      </c>
      <c r="W1983" t="s">
        <v>58</v>
      </c>
      <c r="X1983" t="s">
        <v>58</v>
      </c>
      <c r="Y1983" t="s">
        <v>58</v>
      </c>
      <c r="Z1983" t="s">
        <v>58</v>
      </c>
      <c r="AA1983" t="s">
        <v>58</v>
      </c>
      <c r="AC1983" t="s">
        <v>58</v>
      </c>
      <c r="AE1983" t="s">
        <v>58</v>
      </c>
      <c r="AG1983" t="s">
        <v>63</v>
      </c>
      <c r="AH1983" s="11" t="str">
        <f t="shared" si="143"/>
        <v>mailto: soilterrain@victoria1.gov.bc.ca</v>
      </c>
    </row>
    <row r="1984" spans="1:34">
      <c r="A1984" t="s">
        <v>4570</v>
      </c>
      <c r="B1984" t="s">
        <v>56</v>
      </c>
      <c r="C1984" s="10" t="s">
        <v>192</v>
      </c>
      <c r="D1984" t="s">
        <v>58</v>
      </c>
      <c r="E1984" t="s">
        <v>557</v>
      </c>
      <c r="F1984" t="s">
        <v>4571</v>
      </c>
      <c r="G1984">
        <v>20000</v>
      </c>
      <c r="H1984">
        <v>1988</v>
      </c>
      <c r="I1984" t="s">
        <v>58</v>
      </c>
      <c r="J1984" t="s">
        <v>61</v>
      </c>
      <c r="K1984" t="s">
        <v>58</v>
      </c>
      <c r="L1984" t="s">
        <v>58</v>
      </c>
      <c r="M1984" t="s">
        <v>58</v>
      </c>
      <c r="P1984" t="s">
        <v>61</v>
      </c>
      <c r="Q1984" t="s">
        <v>58</v>
      </c>
      <c r="R1984" s="11" t="str">
        <f>HYPERLINK("\\imagefiles.bcgov\imagery\scanned_maps\moe_terrain_maps\Scanned_T_maps_all\L05\L05-1418","\\imagefiles.bcgov\imagery\scanned_maps\moe_terrain_maps\Scanned_T_maps_all\L05\L05-1418")</f>
        <v>\\imagefiles.bcgov\imagery\scanned_maps\moe_terrain_maps\Scanned_T_maps_all\L05\L05-1418</v>
      </c>
      <c r="S1984" t="s">
        <v>62</v>
      </c>
      <c r="T1984" s="11" t="str">
        <f>HYPERLINK("http://www.env.gov.bc.ca/esd/distdata/ecosystems/TEI_Scanned_Maps/L05/L05-1418","http://www.env.gov.bc.ca/esd/distdata/ecosystems/TEI_Scanned_Maps/L05/L05-1418")</f>
        <v>http://www.env.gov.bc.ca/esd/distdata/ecosystems/TEI_Scanned_Maps/L05/L05-1418</v>
      </c>
      <c r="U1984" t="s">
        <v>58</v>
      </c>
      <c r="V1984" t="s">
        <v>58</v>
      </c>
      <c r="W1984" t="s">
        <v>58</v>
      </c>
      <c r="X1984" t="s">
        <v>58</v>
      </c>
      <c r="Y1984" t="s">
        <v>58</v>
      </c>
      <c r="Z1984" t="s">
        <v>58</v>
      </c>
      <c r="AA1984" t="s">
        <v>58</v>
      </c>
      <c r="AC1984" t="s">
        <v>58</v>
      </c>
      <c r="AE1984" t="s">
        <v>58</v>
      </c>
      <c r="AG1984" t="s">
        <v>63</v>
      </c>
      <c r="AH1984" s="11" t="str">
        <f t="shared" si="143"/>
        <v>mailto: soilterrain@victoria1.gov.bc.ca</v>
      </c>
    </row>
    <row r="1985" spans="1:34">
      <c r="A1985" t="s">
        <v>4572</v>
      </c>
      <c r="B1985" t="s">
        <v>56</v>
      </c>
      <c r="C1985" s="10" t="s">
        <v>192</v>
      </c>
      <c r="D1985" t="s">
        <v>58</v>
      </c>
      <c r="E1985" t="s">
        <v>557</v>
      </c>
      <c r="F1985" t="s">
        <v>4573</v>
      </c>
      <c r="G1985">
        <v>20000</v>
      </c>
      <c r="H1985">
        <v>1987</v>
      </c>
      <c r="I1985" t="s">
        <v>58</v>
      </c>
      <c r="J1985" t="s">
        <v>61</v>
      </c>
      <c r="K1985" t="s">
        <v>58</v>
      </c>
      <c r="L1985" t="s">
        <v>58</v>
      </c>
      <c r="M1985" t="s">
        <v>58</v>
      </c>
      <c r="P1985" t="s">
        <v>61</v>
      </c>
      <c r="Q1985" t="s">
        <v>58</v>
      </c>
      <c r="R1985" s="11" t="str">
        <f>HYPERLINK("\\imagefiles.bcgov\imagery\scanned_maps\moe_terrain_maps\Scanned_T_maps_all\L05\L05-1419","\\imagefiles.bcgov\imagery\scanned_maps\moe_terrain_maps\Scanned_T_maps_all\L05\L05-1419")</f>
        <v>\\imagefiles.bcgov\imagery\scanned_maps\moe_terrain_maps\Scanned_T_maps_all\L05\L05-1419</v>
      </c>
      <c r="S1985" t="s">
        <v>62</v>
      </c>
      <c r="T1985" s="11" t="str">
        <f>HYPERLINK("http://www.env.gov.bc.ca/esd/distdata/ecosystems/TEI_Scanned_Maps/L05/L05-1419","http://www.env.gov.bc.ca/esd/distdata/ecosystems/TEI_Scanned_Maps/L05/L05-1419")</f>
        <v>http://www.env.gov.bc.ca/esd/distdata/ecosystems/TEI_Scanned_Maps/L05/L05-1419</v>
      </c>
      <c r="U1985" t="s">
        <v>58</v>
      </c>
      <c r="V1985" t="s">
        <v>58</v>
      </c>
      <c r="W1985" t="s">
        <v>58</v>
      </c>
      <c r="X1985" t="s">
        <v>58</v>
      </c>
      <c r="Y1985" t="s">
        <v>58</v>
      </c>
      <c r="Z1985" t="s">
        <v>58</v>
      </c>
      <c r="AA1985" t="s">
        <v>58</v>
      </c>
      <c r="AC1985" t="s">
        <v>58</v>
      </c>
      <c r="AE1985" t="s">
        <v>58</v>
      </c>
      <c r="AG1985" t="s">
        <v>63</v>
      </c>
      <c r="AH1985" s="11" t="str">
        <f t="shared" si="143"/>
        <v>mailto: soilterrain@victoria1.gov.bc.ca</v>
      </c>
    </row>
    <row r="1986" spans="1:34">
      <c r="A1986" t="s">
        <v>4574</v>
      </c>
      <c r="B1986" t="s">
        <v>56</v>
      </c>
      <c r="C1986" s="10" t="s">
        <v>192</v>
      </c>
      <c r="D1986" t="s">
        <v>58</v>
      </c>
      <c r="E1986" t="s">
        <v>557</v>
      </c>
      <c r="F1986" t="s">
        <v>4575</v>
      </c>
      <c r="G1986">
        <v>20000</v>
      </c>
      <c r="H1986" t="s">
        <v>187</v>
      </c>
      <c r="I1986" t="s">
        <v>58</v>
      </c>
      <c r="J1986" t="s">
        <v>61</v>
      </c>
      <c r="K1986" t="s">
        <v>58</v>
      </c>
      <c r="L1986" t="s">
        <v>58</v>
      </c>
      <c r="M1986" t="s">
        <v>58</v>
      </c>
      <c r="P1986" t="s">
        <v>61</v>
      </c>
      <c r="Q1986" t="s">
        <v>58</v>
      </c>
      <c r="R1986" s="11" t="str">
        <f>HYPERLINK("\\imagefiles.bcgov\imagery\scanned_maps\moe_terrain_maps\Scanned_T_maps_all\L05\L05-1420","\\imagefiles.bcgov\imagery\scanned_maps\moe_terrain_maps\Scanned_T_maps_all\L05\L05-1420")</f>
        <v>\\imagefiles.bcgov\imagery\scanned_maps\moe_terrain_maps\Scanned_T_maps_all\L05\L05-1420</v>
      </c>
      <c r="S1986" t="s">
        <v>62</v>
      </c>
      <c r="T1986" s="11" t="str">
        <f>HYPERLINK("http://www.env.gov.bc.ca/esd/distdata/ecosystems/TEI_Scanned_Maps/L05/L05-1420","http://www.env.gov.bc.ca/esd/distdata/ecosystems/TEI_Scanned_Maps/L05/L05-1420")</f>
        <v>http://www.env.gov.bc.ca/esd/distdata/ecosystems/TEI_Scanned_Maps/L05/L05-1420</v>
      </c>
      <c r="U1986" t="s">
        <v>58</v>
      </c>
      <c r="V1986" t="s">
        <v>58</v>
      </c>
      <c r="W1986" t="s">
        <v>58</v>
      </c>
      <c r="X1986" t="s">
        <v>58</v>
      </c>
      <c r="Y1986" t="s">
        <v>58</v>
      </c>
      <c r="Z1986" t="s">
        <v>58</v>
      </c>
      <c r="AA1986" t="s">
        <v>58</v>
      </c>
      <c r="AC1986" t="s">
        <v>58</v>
      </c>
      <c r="AE1986" t="s">
        <v>58</v>
      </c>
      <c r="AG1986" t="s">
        <v>63</v>
      </c>
      <c r="AH1986" s="11" t="str">
        <f t="shared" ref="AH1986:AH2049" si="144">HYPERLINK("mailto: soilterrain@victoria1.gov.bc.ca","mailto: soilterrain@victoria1.gov.bc.ca")</f>
        <v>mailto: soilterrain@victoria1.gov.bc.ca</v>
      </c>
    </row>
    <row r="1987" spans="1:34">
      <c r="A1987" t="s">
        <v>4576</v>
      </c>
      <c r="B1987" t="s">
        <v>56</v>
      </c>
      <c r="C1987" s="10" t="s">
        <v>192</v>
      </c>
      <c r="D1987" t="s">
        <v>58</v>
      </c>
      <c r="E1987" t="s">
        <v>59</v>
      </c>
      <c r="F1987" t="s">
        <v>4577</v>
      </c>
      <c r="G1987">
        <v>20000</v>
      </c>
      <c r="H1987">
        <v>1985</v>
      </c>
      <c r="I1987" t="s">
        <v>58</v>
      </c>
      <c r="J1987" t="s">
        <v>58</v>
      </c>
      <c r="K1987" t="s">
        <v>61</v>
      </c>
      <c r="L1987" t="s">
        <v>58</v>
      </c>
      <c r="M1987" t="s">
        <v>58</v>
      </c>
      <c r="Q1987" t="s">
        <v>58</v>
      </c>
      <c r="R1987" s="11" t="str">
        <f>HYPERLINK("\\imagefiles.bcgov\imagery\scanned_maps\moe_terrain_maps\Scanned_T_maps_all\L05\L05-1421","\\imagefiles.bcgov\imagery\scanned_maps\moe_terrain_maps\Scanned_T_maps_all\L05\L05-1421")</f>
        <v>\\imagefiles.bcgov\imagery\scanned_maps\moe_terrain_maps\Scanned_T_maps_all\L05\L05-1421</v>
      </c>
      <c r="S1987" t="s">
        <v>62</v>
      </c>
      <c r="T1987" s="11" t="str">
        <f>HYPERLINK("http://www.env.gov.bc.ca/esd/distdata/ecosystems/TEI_Scanned_Maps/L05/L05-1421","http://www.env.gov.bc.ca/esd/distdata/ecosystems/TEI_Scanned_Maps/L05/L05-1421")</f>
        <v>http://www.env.gov.bc.ca/esd/distdata/ecosystems/TEI_Scanned_Maps/L05/L05-1421</v>
      </c>
      <c r="U1987" t="s">
        <v>58</v>
      </c>
      <c r="V1987" t="s">
        <v>58</v>
      </c>
      <c r="W1987" t="s">
        <v>58</v>
      </c>
      <c r="X1987" t="s">
        <v>58</v>
      </c>
      <c r="Y1987" t="s">
        <v>58</v>
      </c>
      <c r="Z1987" t="s">
        <v>58</v>
      </c>
      <c r="AA1987" t="s">
        <v>58</v>
      </c>
      <c r="AC1987" t="s">
        <v>58</v>
      </c>
      <c r="AE1987" t="s">
        <v>58</v>
      </c>
      <c r="AG1987" t="s">
        <v>63</v>
      </c>
      <c r="AH1987" s="11" t="str">
        <f t="shared" si="144"/>
        <v>mailto: soilterrain@victoria1.gov.bc.ca</v>
      </c>
    </row>
    <row r="1988" spans="1:34">
      <c r="A1988" t="s">
        <v>4578</v>
      </c>
      <c r="B1988" t="s">
        <v>56</v>
      </c>
      <c r="C1988" s="10" t="s">
        <v>192</v>
      </c>
      <c r="D1988" t="s">
        <v>58</v>
      </c>
      <c r="E1988" t="s">
        <v>557</v>
      </c>
      <c r="F1988" t="s">
        <v>4579</v>
      </c>
      <c r="G1988">
        <v>20000</v>
      </c>
      <c r="H1988">
        <v>1981</v>
      </c>
      <c r="I1988" t="s">
        <v>58</v>
      </c>
      <c r="J1988" t="s">
        <v>61</v>
      </c>
      <c r="K1988" t="s">
        <v>58</v>
      </c>
      <c r="L1988" t="s">
        <v>58</v>
      </c>
      <c r="M1988" t="s">
        <v>58</v>
      </c>
      <c r="P1988" t="s">
        <v>61</v>
      </c>
      <c r="Q1988" t="s">
        <v>58</v>
      </c>
      <c r="R1988" s="11" t="str">
        <f>HYPERLINK("\\imagefiles.bcgov\imagery\scanned_maps\moe_terrain_maps\Scanned_T_maps_all\L05\L05-1422","\\imagefiles.bcgov\imagery\scanned_maps\moe_terrain_maps\Scanned_T_maps_all\L05\L05-1422")</f>
        <v>\\imagefiles.bcgov\imagery\scanned_maps\moe_terrain_maps\Scanned_T_maps_all\L05\L05-1422</v>
      </c>
      <c r="S1988" t="s">
        <v>62</v>
      </c>
      <c r="T1988" s="11" t="str">
        <f>HYPERLINK("http://www.env.gov.bc.ca/esd/distdata/ecosystems/TEI_Scanned_Maps/L05/L05-1422","http://www.env.gov.bc.ca/esd/distdata/ecosystems/TEI_Scanned_Maps/L05/L05-1422")</f>
        <v>http://www.env.gov.bc.ca/esd/distdata/ecosystems/TEI_Scanned_Maps/L05/L05-1422</v>
      </c>
      <c r="U1988" t="s">
        <v>58</v>
      </c>
      <c r="V1988" t="s">
        <v>58</v>
      </c>
      <c r="W1988" t="s">
        <v>58</v>
      </c>
      <c r="X1988" t="s">
        <v>58</v>
      </c>
      <c r="Y1988" t="s">
        <v>58</v>
      </c>
      <c r="Z1988" t="s">
        <v>58</v>
      </c>
      <c r="AA1988" t="s">
        <v>58</v>
      </c>
      <c r="AC1988" t="s">
        <v>58</v>
      </c>
      <c r="AE1988" t="s">
        <v>58</v>
      </c>
      <c r="AG1988" t="s">
        <v>63</v>
      </c>
      <c r="AH1988" s="11" t="str">
        <f t="shared" si="144"/>
        <v>mailto: soilterrain@victoria1.gov.bc.ca</v>
      </c>
    </row>
    <row r="1989" spans="1:34">
      <c r="A1989" t="s">
        <v>4580</v>
      </c>
      <c r="B1989" t="s">
        <v>56</v>
      </c>
      <c r="C1989" s="10" t="s">
        <v>192</v>
      </c>
      <c r="D1989" t="s">
        <v>58</v>
      </c>
      <c r="E1989" t="s">
        <v>557</v>
      </c>
      <c r="F1989" t="s">
        <v>4581</v>
      </c>
      <c r="G1989">
        <v>20000</v>
      </c>
      <c r="H1989">
        <v>1983</v>
      </c>
      <c r="I1989" t="s">
        <v>58</v>
      </c>
      <c r="J1989" t="s">
        <v>61</v>
      </c>
      <c r="K1989" t="s">
        <v>58</v>
      </c>
      <c r="L1989" t="s">
        <v>58</v>
      </c>
      <c r="M1989" t="s">
        <v>58</v>
      </c>
      <c r="P1989" t="s">
        <v>61</v>
      </c>
      <c r="Q1989" t="s">
        <v>58</v>
      </c>
      <c r="R1989" s="11" t="str">
        <f>HYPERLINK("\\imagefiles.bcgov\imagery\scanned_maps\moe_terrain_maps\Scanned_T_maps_all\L05\L05-1423","\\imagefiles.bcgov\imagery\scanned_maps\moe_terrain_maps\Scanned_T_maps_all\L05\L05-1423")</f>
        <v>\\imagefiles.bcgov\imagery\scanned_maps\moe_terrain_maps\Scanned_T_maps_all\L05\L05-1423</v>
      </c>
      <c r="S1989" t="s">
        <v>62</v>
      </c>
      <c r="T1989" s="11" t="str">
        <f>HYPERLINK("http://www.env.gov.bc.ca/esd/distdata/ecosystems/TEI_Scanned_Maps/L05/L05-1423","http://www.env.gov.bc.ca/esd/distdata/ecosystems/TEI_Scanned_Maps/L05/L05-1423")</f>
        <v>http://www.env.gov.bc.ca/esd/distdata/ecosystems/TEI_Scanned_Maps/L05/L05-1423</v>
      </c>
      <c r="U1989" t="s">
        <v>58</v>
      </c>
      <c r="V1989" t="s">
        <v>58</v>
      </c>
      <c r="W1989" t="s">
        <v>58</v>
      </c>
      <c r="X1989" t="s">
        <v>58</v>
      </c>
      <c r="Y1989" t="s">
        <v>58</v>
      </c>
      <c r="Z1989" t="s">
        <v>58</v>
      </c>
      <c r="AA1989" t="s">
        <v>58</v>
      </c>
      <c r="AC1989" t="s">
        <v>58</v>
      </c>
      <c r="AE1989" t="s">
        <v>58</v>
      </c>
      <c r="AG1989" t="s">
        <v>63</v>
      </c>
      <c r="AH1989" s="11" t="str">
        <f t="shared" si="144"/>
        <v>mailto: soilterrain@victoria1.gov.bc.ca</v>
      </c>
    </row>
    <row r="1990" spans="1:34">
      <c r="A1990" t="s">
        <v>4582</v>
      </c>
      <c r="B1990" t="s">
        <v>56</v>
      </c>
      <c r="C1990" s="10" t="s">
        <v>4583</v>
      </c>
      <c r="D1990" t="s">
        <v>58</v>
      </c>
      <c r="E1990" t="s">
        <v>4584</v>
      </c>
      <c r="F1990" t="s">
        <v>4585</v>
      </c>
      <c r="G1990">
        <v>250000</v>
      </c>
      <c r="H1990">
        <v>1981</v>
      </c>
      <c r="I1990" t="s">
        <v>58</v>
      </c>
      <c r="J1990" t="s">
        <v>61</v>
      </c>
      <c r="K1990" t="s">
        <v>58</v>
      </c>
      <c r="L1990" t="s">
        <v>58</v>
      </c>
      <c r="M1990" t="s">
        <v>58</v>
      </c>
      <c r="O1990" t="s">
        <v>61</v>
      </c>
      <c r="Q1990" t="s">
        <v>58</v>
      </c>
      <c r="R1990" s="11" t="str">
        <f>HYPERLINK("\\imagefiles.bcgov\imagery\scanned_maps\moe_terrain_maps\Scanned_T_maps_all\L05\L05-1424","\\imagefiles.bcgov\imagery\scanned_maps\moe_terrain_maps\Scanned_T_maps_all\L05\L05-1424")</f>
        <v>\\imagefiles.bcgov\imagery\scanned_maps\moe_terrain_maps\Scanned_T_maps_all\L05\L05-1424</v>
      </c>
      <c r="S1990" t="s">
        <v>62</v>
      </c>
      <c r="T1990" s="11" t="str">
        <f>HYPERLINK("http://www.env.gov.bc.ca/esd/distdata/ecosystems/TEI_Scanned_Maps/L05/L05-1424","http://www.env.gov.bc.ca/esd/distdata/ecosystems/TEI_Scanned_Maps/L05/L05-1424")</f>
        <v>http://www.env.gov.bc.ca/esd/distdata/ecosystems/TEI_Scanned_Maps/L05/L05-1424</v>
      </c>
      <c r="U1990" t="s">
        <v>58</v>
      </c>
      <c r="V1990" t="s">
        <v>58</v>
      </c>
      <c r="W1990" t="s">
        <v>58</v>
      </c>
      <c r="X1990" t="s">
        <v>58</v>
      </c>
      <c r="Y1990" t="s">
        <v>58</v>
      </c>
      <c r="Z1990" t="s">
        <v>58</v>
      </c>
      <c r="AA1990" t="s">
        <v>58</v>
      </c>
      <c r="AC1990" t="s">
        <v>58</v>
      </c>
      <c r="AE1990" t="s">
        <v>58</v>
      </c>
      <c r="AG1990" t="s">
        <v>63</v>
      </c>
      <c r="AH1990" s="11" t="str">
        <f t="shared" si="144"/>
        <v>mailto: soilterrain@victoria1.gov.bc.ca</v>
      </c>
    </row>
    <row r="1991" spans="1:34">
      <c r="A1991" t="s">
        <v>4586</v>
      </c>
      <c r="B1991" t="s">
        <v>56</v>
      </c>
      <c r="C1991" s="10" t="s">
        <v>1887</v>
      </c>
      <c r="D1991" t="s">
        <v>61</v>
      </c>
      <c r="E1991" t="s">
        <v>4584</v>
      </c>
      <c r="F1991" t="s">
        <v>4587</v>
      </c>
      <c r="G1991">
        <v>125000</v>
      </c>
      <c r="H1991">
        <v>1979</v>
      </c>
      <c r="I1991" t="s">
        <v>58</v>
      </c>
      <c r="J1991" t="s">
        <v>61</v>
      </c>
      <c r="K1991" t="s">
        <v>58</v>
      </c>
      <c r="L1991" t="s">
        <v>58</v>
      </c>
      <c r="M1991" t="s">
        <v>58</v>
      </c>
      <c r="O1991" t="s">
        <v>61</v>
      </c>
      <c r="Q1991" t="s">
        <v>58</v>
      </c>
      <c r="R1991" s="11" t="str">
        <f>HYPERLINK("\\imagefiles.bcgov\imagery\scanned_maps\moe_terrain_maps\Scanned_T_maps_all\L05\L05-1427","\\imagefiles.bcgov\imagery\scanned_maps\moe_terrain_maps\Scanned_T_maps_all\L05\L05-1427")</f>
        <v>\\imagefiles.bcgov\imagery\scanned_maps\moe_terrain_maps\Scanned_T_maps_all\L05\L05-1427</v>
      </c>
      <c r="S1991" t="s">
        <v>62</v>
      </c>
      <c r="T1991" s="11" t="str">
        <f>HYPERLINK("http://www.env.gov.bc.ca/esd/distdata/ecosystems/TEI_Scanned_Maps/L05/L05-1427","http://www.env.gov.bc.ca/esd/distdata/ecosystems/TEI_Scanned_Maps/L05/L05-1427")</f>
        <v>http://www.env.gov.bc.ca/esd/distdata/ecosystems/TEI_Scanned_Maps/L05/L05-1427</v>
      </c>
      <c r="U1991" t="s">
        <v>58</v>
      </c>
      <c r="V1991" t="s">
        <v>58</v>
      </c>
      <c r="W1991" t="s">
        <v>58</v>
      </c>
      <c r="X1991" t="s">
        <v>58</v>
      </c>
      <c r="Y1991" t="s">
        <v>58</v>
      </c>
      <c r="Z1991" t="s">
        <v>58</v>
      </c>
      <c r="AA1991" t="s">
        <v>58</v>
      </c>
      <c r="AC1991" t="s">
        <v>58</v>
      </c>
      <c r="AE1991" t="s">
        <v>58</v>
      </c>
      <c r="AG1991" t="s">
        <v>63</v>
      </c>
      <c r="AH1991" s="11" t="str">
        <f t="shared" si="144"/>
        <v>mailto: soilterrain@victoria1.gov.bc.ca</v>
      </c>
    </row>
    <row r="1992" spans="1:34">
      <c r="A1992" t="s">
        <v>4588</v>
      </c>
      <c r="B1992" t="s">
        <v>56</v>
      </c>
      <c r="C1992" s="10" t="s">
        <v>1887</v>
      </c>
      <c r="D1992" t="s">
        <v>61</v>
      </c>
      <c r="E1992" t="s">
        <v>4584</v>
      </c>
      <c r="F1992" t="s">
        <v>4589</v>
      </c>
      <c r="G1992">
        <v>125000</v>
      </c>
      <c r="H1992">
        <v>1981</v>
      </c>
      <c r="I1992" t="s">
        <v>58</v>
      </c>
      <c r="J1992" t="s">
        <v>61</v>
      </c>
      <c r="K1992" t="s">
        <v>58</v>
      </c>
      <c r="L1992" t="s">
        <v>58</v>
      </c>
      <c r="M1992" t="s">
        <v>58</v>
      </c>
      <c r="O1992" t="s">
        <v>61</v>
      </c>
      <c r="Q1992" t="s">
        <v>58</v>
      </c>
      <c r="R1992" s="11" t="str">
        <f>HYPERLINK("\\imagefiles.bcgov\imagery\scanned_maps\moe_terrain_maps\Scanned_T_maps_all\L05\L05-1428","\\imagefiles.bcgov\imagery\scanned_maps\moe_terrain_maps\Scanned_T_maps_all\L05\L05-1428")</f>
        <v>\\imagefiles.bcgov\imagery\scanned_maps\moe_terrain_maps\Scanned_T_maps_all\L05\L05-1428</v>
      </c>
      <c r="S1992" t="s">
        <v>62</v>
      </c>
      <c r="T1992" s="11" t="str">
        <f>HYPERLINK("http://www.env.gov.bc.ca/esd/distdata/ecosystems/TEI_Scanned_Maps/L05/L05-1428","http://www.env.gov.bc.ca/esd/distdata/ecosystems/TEI_Scanned_Maps/L05/L05-1428")</f>
        <v>http://www.env.gov.bc.ca/esd/distdata/ecosystems/TEI_Scanned_Maps/L05/L05-1428</v>
      </c>
      <c r="U1992" t="s">
        <v>58</v>
      </c>
      <c r="V1992" t="s">
        <v>58</v>
      </c>
      <c r="W1992" t="s">
        <v>58</v>
      </c>
      <c r="X1992" t="s">
        <v>58</v>
      </c>
      <c r="Y1992" t="s">
        <v>58</v>
      </c>
      <c r="Z1992" t="s">
        <v>58</v>
      </c>
      <c r="AA1992" t="s">
        <v>58</v>
      </c>
      <c r="AC1992" t="s">
        <v>58</v>
      </c>
      <c r="AE1992" t="s">
        <v>58</v>
      </c>
      <c r="AG1992" t="s">
        <v>63</v>
      </c>
      <c r="AH1992" s="11" t="str">
        <f t="shared" si="144"/>
        <v>mailto: soilterrain@victoria1.gov.bc.ca</v>
      </c>
    </row>
    <row r="1993" spans="1:34">
      <c r="A1993" t="s">
        <v>4590</v>
      </c>
      <c r="B1993" t="s">
        <v>56</v>
      </c>
      <c r="C1993" s="10" t="s">
        <v>1887</v>
      </c>
      <c r="D1993" t="s">
        <v>61</v>
      </c>
      <c r="E1993" t="s">
        <v>4584</v>
      </c>
      <c r="F1993" t="s">
        <v>4591</v>
      </c>
      <c r="G1993">
        <v>125000</v>
      </c>
      <c r="H1993">
        <v>1981</v>
      </c>
      <c r="I1993" t="s">
        <v>58</v>
      </c>
      <c r="J1993" t="s">
        <v>61</v>
      </c>
      <c r="K1993" t="s">
        <v>58</v>
      </c>
      <c r="L1993" t="s">
        <v>58</v>
      </c>
      <c r="M1993" t="s">
        <v>58</v>
      </c>
      <c r="O1993" t="s">
        <v>61</v>
      </c>
      <c r="Q1993" t="s">
        <v>58</v>
      </c>
      <c r="R1993" s="11" t="str">
        <f>HYPERLINK("\\imagefiles.bcgov\imagery\scanned_maps\moe_terrain_maps\Scanned_T_maps_all\L05\L05-1429","\\imagefiles.bcgov\imagery\scanned_maps\moe_terrain_maps\Scanned_T_maps_all\L05\L05-1429")</f>
        <v>\\imagefiles.bcgov\imagery\scanned_maps\moe_terrain_maps\Scanned_T_maps_all\L05\L05-1429</v>
      </c>
      <c r="S1993" t="s">
        <v>62</v>
      </c>
      <c r="T1993" s="11" t="str">
        <f>HYPERLINK("http://www.env.gov.bc.ca/esd/distdata/ecosystems/TEI_Scanned_Maps/L05/L05-1429","http://www.env.gov.bc.ca/esd/distdata/ecosystems/TEI_Scanned_Maps/L05/L05-1429")</f>
        <v>http://www.env.gov.bc.ca/esd/distdata/ecosystems/TEI_Scanned_Maps/L05/L05-1429</v>
      </c>
      <c r="U1993" t="s">
        <v>58</v>
      </c>
      <c r="V1993" t="s">
        <v>58</v>
      </c>
      <c r="W1993" t="s">
        <v>58</v>
      </c>
      <c r="X1993" t="s">
        <v>58</v>
      </c>
      <c r="Y1993" t="s">
        <v>58</v>
      </c>
      <c r="Z1993" t="s">
        <v>58</v>
      </c>
      <c r="AA1993" t="s">
        <v>58</v>
      </c>
      <c r="AC1993" t="s">
        <v>58</v>
      </c>
      <c r="AE1993" t="s">
        <v>58</v>
      </c>
      <c r="AG1993" t="s">
        <v>63</v>
      </c>
      <c r="AH1993" s="11" t="str">
        <f t="shared" si="144"/>
        <v>mailto: soilterrain@victoria1.gov.bc.ca</v>
      </c>
    </row>
    <row r="1994" spans="1:34">
      <c r="A1994" t="s">
        <v>4592</v>
      </c>
      <c r="B1994" t="s">
        <v>56</v>
      </c>
      <c r="C1994" s="10" t="s">
        <v>1887</v>
      </c>
      <c r="D1994" t="s">
        <v>61</v>
      </c>
      <c r="E1994" t="s">
        <v>4584</v>
      </c>
      <c r="F1994" t="s">
        <v>4593</v>
      </c>
      <c r="G1994">
        <v>125000</v>
      </c>
      <c r="H1994">
        <v>1979</v>
      </c>
      <c r="I1994" t="s">
        <v>58</v>
      </c>
      <c r="J1994" t="s">
        <v>61</v>
      </c>
      <c r="K1994" t="s">
        <v>58</v>
      </c>
      <c r="L1994" t="s">
        <v>58</v>
      </c>
      <c r="M1994" t="s">
        <v>58</v>
      </c>
      <c r="O1994" t="s">
        <v>61</v>
      </c>
      <c r="Q1994" t="s">
        <v>58</v>
      </c>
      <c r="R1994" s="11" t="str">
        <f>HYPERLINK("\\imagefiles.bcgov\imagery\scanned_maps\moe_terrain_maps\Scanned_T_maps_all\L05\L05-1430","\\imagefiles.bcgov\imagery\scanned_maps\moe_terrain_maps\Scanned_T_maps_all\L05\L05-1430")</f>
        <v>\\imagefiles.bcgov\imagery\scanned_maps\moe_terrain_maps\Scanned_T_maps_all\L05\L05-1430</v>
      </c>
      <c r="S1994" t="s">
        <v>62</v>
      </c>
      <c r="T1994" s="11" t="str">
        <f>HYPERLINK("http://www.env.gov.bc.ca/esd/distdata/ecosystems/TEI_Scanned_Maps/L05/L05-1430","http://www.env.gov.bc.ca/esd/distdata/ecosystems/TEI_Scanned_Maps/L05/L05-1430")</f>
        <v>http://www.env.gov.bc.ca/esd/distdata/ecosystems/TEI_Scanned_Maps/L05/L05-1430</v>
      </c>
      <c r="U1994" t="s">
        <v>58</v>
      </c>
      <c r="V1994" t="s">
        <v>58</v>
      </c>
      <c r="W1994" t="s">
        <v>58</v>
      </c>
      <c r="X1994" t="s">
        <v>58</v>
      </c>
      <c r="Y1994" t="s">
        <v>58</v>
      </c>
      <c r="Z1994" t="s">
        <v>58</v>
      </c>
      <c r="AA1994" t="s">
        <v>58</v>
      </c>
      <c r="AC1994" t="s">
        <v>58</v>
      </c>
      <c r="AE1994" t="s">
        <v>58</v>
      </c>
      <c r="AG1994" t="s">
        <v>63</v>
      </c>
      <c r="AH1994" s="11" t="str">
        <f t="shared" si="144"/>
        <v>mailto: soilterrain@victoria1.gov.bc.ca</v>
      </c>
    </row>
    <row r="1995" spans="1:34">
      <c r="A1995" t="s">
        <v>4594</v>
      </c>
      <c r="B1995" t="s">
        <v>56</v>
      </c>
      <c r="C1995" s="10" t="s">
        <v>1893</v>
      </c>
      <c r="D1995" t="s">
        <v>61</v>
      </c>
      <c r="E1995" t="s">
        <v>4584</v>
      </c>
      <c r="F1995" t="s">
        <v>4595</v>
      </c>
      <c r="G1995">
        <v>125000</v>
      </c>
      <c r="H1995">
        <v>1974</v>
      </c>
      <c r="I1995" t="s">
        <v>58</v>
      </c>
      <c r="J1995" t="s">
        <v>61</v>
      </c>
      <c r="K1995" t="s">
        <v>58</v>
      </c>
      <c r="L1995" t="s">
        <v>58</v>
      </c>
      <c r="M1995" t="s">
        <v>58</v>
      </c>
      <c r="P1995" t="s">
        <v>61</v>
      </c>
      <c r="Q1995" t="s">
        <v>4596</v>
      </c>
      <c r="R1995" s="11" t="str">
        <f>HYPERLINK("\\imagefiles.bcgov\imagery\scanned_maps\moe_terrain_maps\Scanned_T_maps_all\L05\L05-1431","\\imagefiles.bcgov\imagery\scanned_maps\moe_terrain_maps\Scanned_T_maps_all\L05\L05-1431")</f>
        <v>\\imagefiles.bcgov\imagery\scanned_maps\moe_terrain_maps\Scanned_T_maps_all\L05\L05-1431</v>
      </c>
      <c r="S1995" t="s">
        <v>62</v>
      </c>
      <c r="T1995" s="11" t="str">
        <f>HYPERLINK("http://www.env.gov.bc.ca/esd/distdata/ecosystems/TEI_Scanned_Maps/L05/L05-1431","http://www.env.gov.bc.ca/esd/distdata/ecosystems/TEI_Scanned_Maps/L05/L05-1431")</f>
        <v>http://www.env.gov.bc.ca/esd/distdata/ecosystems/TEI_Scanned_Maps/L05/L05-1431</v>
      </c>
      <c r="U1995" t="s">
        <v>58</v>
      </c>
      <c r="V1995" t="s">
        <v>58</v>
      </c>
      <c r="W1995" t="s">
        <v>58</v>
      </c>
      <c r="X1995" t="s">
        <v>58</v>
      </c>
      <c r="Y1995" t="s">
        <v>58</v>
      </c>
      <c r="Z1995" t="s">
        <v>58</v>
      </c>
      <c r="AA1995" t="s">
        <v>58</v>
      </c>
      <c r="AC1995" t="s">
        <v>58</v>
      </c>
      <c r="AE1995" t="s">
        <v>58</v>
      </c>
      <c r="AG1995" t="s">
        <v>63</v>
      </c>
      <c r="AH1995" s="11" t="str">
        <f t="shared" si="144"/>
        <v>mailto: soilterrain@victoria1.gov.bc.ca</v>
      </c>
    </row>
    <row r="1996" spans="1:34">
      <c r="A1996" t="s">
        <v>4597</v>
      </c>
      <c r="B1996" t="s">
        <v>56</v>
      </c>
      <c r="C1996" s="10" t="s">
        <v>4598</v>
      </c>
      <c r="D1996" t="s">
        <v>58</v>
      </c>
      <c r="E1996" t="s">
        <v>4599</v>
      </c>
      <c r="F1996" t="s">
        <v>4600</v>
      </c>
      <c r="G1996">
        <v>250000</v>
      </c>
      <c r="H1996">
        <v>1979</v>
      </c>
      <c r="I1996" t="s">
        <v>58</v>
      </c>
      <c r="J1996" t="s">
        <v>61</v>
      </c>
      <c r="K1996" t="s">
        <v>58</v>
      </c>
      <c r="L1996" t="s">
        <v>58</v>
      </c>
      <c r="M1996" t="s">
        <v>58</v>
      </c>
      <c r="O1996" t="s">
        <v>61</v>
      </c>
      <c r="Q1996" t="s">
        <v>58</v>
      </c>
      <c r="R1996" s="11" t="str">
        <f>HYPERLINK("\\imagefiles.bcgov\imagery\scanned_maps\moe_terrain_maps\Scanned_T_maps_all\L06\L06-2358","\\imagefiles.bcgov\imagery\scanned_maps\moe_terrain_maps\Scanned_T_maps_all\L06\L06-2358")</f>
        <v>\\imagefiles.bcgov\imagery\scanned_maps\moe_terrain_maps\Scanned_T_maps_all\L06\L06-2358</v>
      </c>
      <c r="S1996" t="s">
        <v>62</v>
      </c>
      <c r="T1996" s="11" t="str">
        <f>HYPERLINK("http://www.env.gov.bc.ca/esd/distdata/ecosystems/TEI_Scanned_Maps/L06/L06-2358","http://www.env.gov.bc.ca/esd/distdata/ecosystems/TEI_Scanned_Maps/L06/L06-2358")</f>
        <v>http://www.env.gov.bc.ca/esd/distdata/ecosystems/TEI_Scanned_Maps/L06/L06-2358</v>
      </c>
      <c r="U1996" t="s">
        <v>58</v>
      </c>
      <c r="V1996" t="s">
        <v>58</v>
      </c>
      <c r="W1996" t="s">
        <v>58</v>
      </c>
      <c r="X1996" t="s">
        <v>58</v>
      </c>
      <c r="Y1996" t="s">
        <v>58</v>
      </c>
      <c r="Z1996" t="s">
        <v>58</v>
      </c>
      <c r="AA1996" t="s">
        <v>58</v>
      </c>
      <c r="AC1996" t="s">
        <v>58</v>
      </c>
      <c r="AE1996" t="s">
        <v>58</v>
      </c>
      <c r="AG1996" t="s">
        <v>63</v>
      </c>
      <c r="AH1996" s="11" t="str">
        <f t="shared" si="144"/>
        <v>mailto: soilterrain@victoria1.gov.bc.ca</v>
      </c>
    </row>
    <row r="1997" spans="1:34">
      <c r="A1997" t="s">
        <v>4601</v>
      </c>
      <c r="B1997" t="s">
        <v>56</v>
      </c>
      <c r="C1997" s="10" t="s">
        <v>4598</v>
      </c>
      <c r="D1997" t="s">
        <v>58</v>
      </c>
      <c r="E1997" t="s">
        <v>4599</v>
      </c>
      <c r="F1997" t="s">
        <v>4602</v>
      </c>
      <c r="G1997">
        <v>250000</v>
      </c>
      <c r="H1997">
        <v>1974</v>
      </c>
      <c r="I1997" t="s">
        <v>58</v>
      </c>
      <c r="J1997" t="s">
        <v>61</v>
      </c>
      <c r="K1997" t="s">
        <v>58</v>
      </c>
      <c r="L1997" t="s">
        <v>58</v>
      </c>
      <c r="M1997" t="s">
        <v>58</v>
      </c>
      <c r="O1997" t="s">
        <v>61</v>
      </c>
      <c r="Q1997" t="s">
        <v>58</v>
      </c>
      <c r="R1997" s="11" t="str">
        <f>HYPERLINK("\\imagefiles.bcgov\imagery\scanned_maps\moe_terrain_maps\Scanned_T_maps_all\L06\L06-2359","\\imagefiles.bcgov\imagery\scanned_maps\moe_terrain_maps\Scanned_T_maps_all\L06\L06-2359")</f>
        <v>\\imagefiles.bcgov\imagery\scanned_maps\moe_terrain_maps\Scanned_T_maps_all\L06\L06-2359</v>
      </c>
      <c r="S1997" t="s">
        <v>62</v>
      </c>
      <c r="T1997" s="11" t="str">
        <f>HYPERLINK("http://www.env.gov.bc.ca/esd/distdata/ecosystems/TEI_Scanned_Maps/L06/L06-2359","http://www.env.gov.bc.ca/esd/distdata/ecosystems/TEI_Scanned_Maps/L06/L06-2359")</f>
        <v>http://www.env.gov.bc.ca/esd/distdata/ecosystems/TEI_Scanned_Maps/L06/L06-2359</v>
      </c>
      <c r="U1997" t="s">
        <v>58</v>
      </c>
      <c r="V1997" t="s">
        <v>58</v>
      </c>
      <c r="W1997" t="s">
        <v>58</v>
      </c>
      <c r="X1997" t="s">
        <v>58</v>
      </c>
      <c r="Y1997" t="s">
        <v>58</v>
      </c>
      <c r="Z1997" t="s">
        <v>58</v>
      </c>
      <c r="AA1997" t="s">
        <v>58</v>
      </c>
      <c r="AC1997" t="s">
        <v>58</v>
      </c>
      <c r="AE1997" t="s">
        <v>58</v>
      </c>
      <c r="AG1997" t="s">
        <v>63</v>
      </c>
      <c r="AH1997" s="11" t="str">
        <f t="shared" si="144"/>
        <v>mailto: soilterrain@victoria1.gov.bc.ca</v>
      </c>
    </row>
    <row r="1998" spans="1:34">
      <c r="A1998" t="s">
        <v>4603</v>
      </c>
      <c r="B1998" t="s">
        <v>56</v>
      </c>
      <c r="C1998" s="10" t="s">
        <v>4598</v>
      </c>
      <c r="D1998" t="s">
        <v>58</v>
      </c>
      <c r="E1998" t="s">
        <v>4599</v>
      </c>
      <c r="F1998" t="s">
        <v>4604</v>
      </c>
      <c r="G1998">
        <v>250000</v>
      </c>
      <c r="H1998">
        <v>1979</v>
      </c>
      <c r="I1998" t="s">
        <v>58</v>
      </c>
      <c r="J1998" t="s">
        <v>61</v>
      </c>
      <c r="K1998" t="s">
        <v>58</v>
      </c>
      <c r="L1998" t="s">
        <v>58</v>
      </c>
      <c r="M1998" t="s">
        <v>58</v>
      </c>
      <c r="O1998" t="s">
        <v>61</v>
      </c>
      <c r="Q1998" t="s">
        <v>58</v>
      </c>
      <c r="R1998" s="11" t="str">
        <f>HYPERLINK("\\imagefiles.bcgov\imagery\scanned_maps\moe_terrain_maps\Scanned_T_maps_all\L06\L06-2360","\\imagefiles.bcgov\imagery\scanned_maps\moe_terrain_maps\Scanned_T_maps_all\L06\L06-2360")</f>
        <v>\\imagefiles.bcgov\imagery\scanned_maps\moe_terrain_maps\Scanned_T_maps_all\L06\L06-2360</v>
      </c>
      <c r="S1998" t="s">
        <v>62</v>
      </c>
      <c r="T1998" s="11" t="str">
        <f>HYPERLINK("http://www.env.gov.bc.ca/esd/distdata/ecosystems/TEI_Scanned_Maps/L06/L06-2360","http://www.env.gov.bc.ca/esd/distdata/ecosystems/TEI_Scanned_Maps/L06/L06-2360")</f>
        <v>http://www.env.gov.bc.ca/esd/distdata/ecosystems/TEI_Scanned_Maps/L06/L06-2360</v>
      </c>
      <c r="U1998" t="s">
        <v>58</v>
      </c>
      <c r="V1998" t="s">
        <v>58</v>
      </c>
      <c r="W1998" t="s">
        <v>58</v>
      </c>
      <c r="X1998" t="s">
        <v>58</v>
      </c>
      <c r="Y1998" t="s">
        <v>58</v>
      </c>
      <c r="Z1998" t="s">
        <v>58</v>
      </c>
      <c r="AA1998" t="s">
        <v>58</v>
      </c>
      <c r="AC1998" t="s">
        <v>58</v>
      </c>
      <c r="AE1998" t="s">
        <v>58</v>
      </c>
      <c r="AG1998" t="s">
        <v>63</v>
      </c>
      <c r="AH1998" s="11" t="str">
        <f t="shared" si="144"/>
        <v>mailto: soilterrain@victoria1.gov.bc.ca</v>
      </c>
    </row>
    <row r="1999" spans="1:34">
      <c r="A1999" t="s">
        <v>4605</v>
      </c>
      <c r="B1999" t="s">
        <v>56</v>
      </c>
      <c r="C1999" s="10" t="s">
        <v>1033</v>
      </c>
      <c r="D1999" t="s">
        <v>61</v>
      </c>
      <c r="E1999" t="s">
        <v>4176</v>
      </c>
      <c r="F1999" t="s">
        <v>4606</v>
      </c>
      <c r="G1999">
        <v>25000</v>
      </c>
      <c r="H1999">
        <v>1974</v>
      </c>
      <c r="I1999" t="s">
        <v>4607</v>
      </c>
      <c r="J1999" t="s">
        <v>58</v>
      </c>
      <c r="K1999" t="s">
        <v>58</v>
      </c>
      <c r="L1999" t="s">
        <v>58</v>
      </c>
      <c r="M1999" t="s">
        <v>58</v>
      </c>
      <c r="O1999" t="s">
        <v>61</v>
      </c>
      <c r="Q1999" t="s">
        <v>58</v>
      </c>
      <c r="R1999" s="11" t="str">
        <f>HYPERLINK("\\imagefiles.bcgov\imagery\scanned_maps\moe_terrain_maps\Scanned_T_maps_all\L08\L08-100","\\imagefiles.bcgov\imagery\scanned_maps\moe_terrain_maps\Scanned_T_maps_all\L08\L08-100")</f>
        <v>\\imagefiles.bcgov\imagery\scanned_maps\moe_terrain_maps\Scanned_T_maps_all\L08\L08-100</v>
      </c>
      <c r="S1999" t="s">
        <v>62</v>
      </c>
      <c r="T1999" s="11" t="str">
        <f>HYPERLINK("http://www.env.gov.bc.ca/esd/distdata/ecosystems/TEI_Scanned_Maps/L08/L08-100","http://www.env.gov.bc.ca/esd/distdata/ecosystems/TEI_Scanned_Maps/L08/L08-100")</f>
        <v>http://www.env.gov.bc.ca/esd/distdata/ecosystems/TEI_Scanned_Maps/L08/L08-100</v>
      </c>
      <c r="U1999" t="s">
        <v>58</v>
      </c>
      <c r="V1999" t="s">
        <v>58</v>
      </c>
      <c r="W1999" t="s">
        <v>58</v>
      </c>
      <c r="X1999" t="s">
        <v>58</v>
      </c>
      <c r="Y1999" t="s">
        <v>58</v>
      </c>
      <c r="Z1999" t="s">
        <v>58</v>
      </c>
      <c r="AA1999" t="s">
        <v>58</v>
      </c>
      <c r="AC1999" t="s">
        <v>58</v>
      </c>
      <c r="AE1999" t="s">
        <v>58</v>
      </c>
      <c r="AG1999" t="s">
        <v>63</v>
      </c>
      <c r="AH1999" s="11" t="str">
        <f t="shared" si="144"/>
        <v>mailto: soilterrain@victoria1.gov.bc.ca</v>
      </c>
    </row>
    <row r="2000" spans="1:34">
      <c r="A2000" t="s">
        <v>4608</v>
      </c>
      <c r="B2000" t="s">
        <v>56</v>
      </c>
      <c r="C2000" s="10" t="s">
        <v>1033</v>
      </c>
      <c r="D2000" t="s">
        <v>61</v>
      </c>
      <c r="E2000" t="s">
        <v>4176</v>
      </c>
      <c r="F2000" t="s">
        <v>4609</v>
      </c>
      <c r="G2000">
        <v>25000</v>
      </c>
      <c r="H2000">
        <v>1984</v>
      </c>
      <c r="I2000" t="s">
        <v>4607</v>
      </c>
      <c r="J2000" t="s">
        <v>58</v>
      </c>
      <c r="K2000" t="s">
        <v>58</v>
      </c>
      <c r="L2000" t="s">
        <v>58</v>
      </c>
      <c r="M2000" t="s">
        <v>58</v>
      </c>
      <c r="O2000" t="s">
        <v>61</v>
      </c>
      <c r="Q2000" t="s">
        <v>58</v>
      </c>
      <c r="R2000" s="11" t="str">
        <f>HYPERLINK("\\imagefiles.bcgov\imagery\scanned_maps\moe_terrain_maps\Scanned_T_maps_all\L08\L08-101","\\imagefiles.bcgov\imagery\scanned_maps\moe_terrain_maps\Scanned_T_maps_all\L08\L08-101")</f>
        <v>\\imagefiles.bcgov\imagery\scanned_maps\moe_terrain_maps\Scanned_T_maps_all\L08\L08-101</v>
      </c>
      <c r="S2000" t="s">
        <v>62</v>
      </c>
      <c r="T2000" s="11" t="str">
        <f>HYPERLINK("http://www.env.gov.bc.ca/esd/distdata/ecosystems/TEI_Scanned_Maps/L08/L08-101","http://www.env.gov.bc.ca/esd/distdata/ecosystems/TEI_Scanned_Maps/L08/L08-101")</f>
        <v>http://www.env.gov.bc.ca/esd/distdata/ecosystems/TEI_Scanned_Maps/L08/L08-101</v>
      </c>
      <c r="U2000" t="s">
        <v>58</v>
      </c>
      <c r="V2000" t="s">
        <v>58</v>
      </c>
      <c r="W2000" t="s">
        <v>58</v>
      </c>
      <c r="X2000" t="s">
        <v>58</v>
      </c>
      <c r="Y2000" t="s">
        <v>58</v>
      </c>
      <c r="Z2000" t="s">
        <v>58</v>
      </c>
      <c r="AA2000" t="s">
        <v>58</v>
      </c>
      <c r="AC2000" t="s">
        <v>58</v>
      </c>
      <c r="AE2000" t="s">
        <v>58</v>
      </c>
      <c r="AG2000" t="s">
        <v>63</v>
      </c>
      <c r="AH2000" s="11" t="str">
        <f t="shared" si="144"/>
        <v>mailto: soilterrain@victoria1.gov.bc.ca</v>
      </c>
    </row>
    <row r="2001" spans="1:34">
      <c r="A2001" t="s">
        <v>4610</v>
      </c>
      <c r="B2001" t="s">
        <v>56</v>
      </c>
      <c r="C2001" s="10" t="s">
        <v>1033</v>
      </c>
      <c r="D2001" t="s">
        <v>61</v>
      </c>
      <c r="E2001" t="s">
        <v>4176</v>
      </c>
      <c r="F2001" t="s">
        <v>4611</v>
      </c>
      <c r="G2001">
        <v>25000</v>
      </c>
      <c r="H2001">
        <v>1985</v>
      </c>
      <c r="I2001" t="s">
        <v>4607</v>
      </c>
      <c r="J2001" t="s">
        <v>58</v>
      </c>
      <c r="K2001" t="s">
        <v>58</v>
      </c>
      <c r="L2001" t="s">
        <v>58</v>
      </c>
      <c r="M2001" t="s">
        <v>58</v>
      </c>
      <c r="O2001" t="s">
        <v>61</v>
      </c>
      <c r="Q2001" t="s">
        <v>58</v>
      </c>
      <c r="R2001" s="11" t="str">
        <f>HYPERLINK("\\imagefiles.bcgov\imagery\scanned_maps\moe_terrain_maps\Scanned_T_maps_all\L08\L08-102","\\imagefiles.bcgov\imagery\scanned_maps\moe_terrain_maps\Scanned_T_maps_all\L08\L08-102")</f>
        <v>\\imagefiles.bcgov\imagery\scanned_maps\moe_terrain_maps\Scanned_T_maps_all\L08\L08-102</v>
      </c>
      <c r="S2001" t="s">
        <v>62</v>
      </c>
      <c r="T2001" s="11" t="str">
        <f>HYPERLINK("http://www.env.gov.bc.ca/esd/distdata/ecosystems/TEI_Scanned_Maps/L08/L08-102","http://www.env.gov.bc.ca/esd/distdata/ecosystems/TEI_Scanned_Maps/L08/L08-102")</f>
        <v>http://www.env.gov.bc.ca/esd/distdata/ecosystems/TEI_Scanned_Maps/L08/L08-102</v>
      </c>
      <c r="U2001" t="s">
        <v>58</v>
      </c>
      <c r="V2001" t="s">
        <v>58</v>
      </c>
      <c r="W2001" t="s">
        <v>58</v>
      </c>
      <c r="X2001" t="s">
        <v>58</v>
      </c>
      <c r="Y2001" t="s">
        <v>58</v>
      </c>
      <c r="Z2001" t="s">
        <v>58</v>
      </c>
      <c r="AA2001" t="s">
        <v>58</v>
      </c>
      <c r="AC2001" t="s">
        <v>58</v>
      </c>
      <c r="AE2001" t="s">
        <v>58</v>
      </c>
      <c r="AG2001" t="s">
        <v>63</v>
      </c>
      <c r="AH2001" s="11" t="str">
        <f t="shared" si="144"/>
        <v>mailto: soilterrain@victoria1.gov.bc.ca</v>
      </c>
    </row>
    <row r="2002" spans="1:34">
      <c r="A2002" t="s">
        <v>4612</v>
      </c>
      <c r="B2002" t="s">
        <v>56</v>
      </c>
      <c r="C2002" s="10" t="s">
        <v>4613</v>
      </c>
      <c r="D2002" t="s">
        <v>58</v>
      </c>
      <c r="E2002" t="s">
        <v>4176</v>
      </c>
      <c r="F2002" t="s">
        <v>4614</v>
      </c>
      <c r="G2002">
        <v>25000</v>
      </c>
      <c r="H2002" t="s">
        <v>187</v>
      </c>
      <c r="I2002" t="s">
        <v>4607</v>
      </c>
      <c r="J2002" t="s">
        <v>58</v>
      </c>
      <c r="K2002" t="s">
        <v>58</v>
      </c>
      <c r="L2002" t="s">
        <v>58</v>
      </c>
      <c r="M2002" t="s">
        <v>58</v>
      </c>
      <c r="O2002" t="s">
        <v>61</v>
      </c>
      <c r="Q2002" t="s">
        <v>58</v>
      </c>
      <c r="R2002" s="11" t="str">
        <f>HYPERLINK("\\imagefiles.bcgov\imagery\scanned_maps\moe_terrain_maps\Scanned_T_maps_all\L08\L08-103","\\imagefiles.bcgov\imagery\scanned_maps\moe_terrain_maps\Scanned_T_maps_all\L08\L08-103")</f>
        <v>\\imagefiles.bcgov\imagery\scanned_maps\moe_terrain_maps\Scanned_T_maps_all\L08\L08-103</v>
      </c>
      <c r="S2002" t="s">
        <v>62</v>
      </c>
      <c r="T2002" s="11" t="str">
        <f>HYPERLINK("http://www.env.gov.bc.ca/esd/distdata/ecosystems/TEI_Scanned_Maps/L08/L08-103","http://www.env.gov.bc.ca/esd/distdata/ecosystems/TEI_Scanned_Maps/L08/L08-103")</f>
        <v>http://www.env.gov.bc.ca/esd/distdata/ecosystems/TEI_Scanned_Maps/L08/L08-103</v>
      </c>
      <c r="U2002" t="s">
        <v>58</v>
      </c>
      <c r="V2002" t="s">
        <v>58</v>
      </c>
      <c r="W2002" t="s">
        <v>58</v>
      </c>
      <c r="X2002" t="s">
        <v>58</v>
      </c>
      <c r="Y2002" t="s">
        <v>58</v>
      </c>
      <c r="Z2002" t="s">
        <v>58</v>
      </c>
      <c r="AA2002" t="s">
        <v>58</v>
      </c>
      <c r="AC2002" t="s">
        <v>58</v>
      </c>
      <c r="AE2002" t="s">
        <v>58</v>
      </c>
      <c r="AG2002" t="s">
        <v>63</v>
      </c>
      <c r="AH2002" s="11" t="str">
        <f t="shared" si="144"/>
        <v>mailto: soilterrain@victoria1.gov.bc.ca</v>
      </c>
    </row>
    <row r="2003" spans="1:34">
      <c r="A2003" t="s">
        <v>4615</v>
      </c>
      <c r="B2003" t="s">
        <v>56</v>
      </c>
      <c r="C2003" s="10" t="s">
        <v>4613</v>
      </c>
      <c r="D2003" t="s">
        <v>58</v>
      </c>
      <c r="E2003" t="s">
        <v>4176</v>
      </c>
      <c r="F2003" t="s">
        <v>4616</v>
      </c>
      <c r="G2003">
        <v>25000</v>
      </c>
      <c r="H2003" t="s">
        <v>187</v>
      </c>
      <c r="I2003" t="s">
        <v>4607</v>
      </c>
      <c r="J2003" t="s">
        <v>58</v>
      </c>
      <c r="K2003" t="s">
        <v>58</v>
      </c>
      <c r="L2003" t="s">
        <v>58</v>
      </c>
      <c r="M2003" t="s">
        <v>58</v>
      </c>
      <c r="O2003" t="s">
        <v>61</v>
      </c>
      <c r="Q2003" t="s">
        <v>58</v>
      </c>
      <c r="R2003" s="11" t="str">
        <f>HYPERLINK("\\imagefiles.bcgov\imagery\scanned_maps\moe_terrain_maps\Scanned_T_maps_all\L08\L08-104","\\imagefiles.bcgov\imagery\scanned_maps\moe_terrain_maps\Scanned_T_maps_all\L08\L08-104")</f>
        <v>\\imagefiles.bcgov\imagery\scanned_maps\moe_terrain_maps\Scanned_T_maps_all\L08\L08-104</v>
      </c>
      <c r="S2003" t="s">
        <v>62</v>
      </c>
      <c r="T2003" s="11" t="str">
        <f>HYPERLINK("http://www.env.gov.bc.ca/esd/distdata/ecosystems/TEI_Scanned_Maps/L08/L08-104","http://www.env.gov.bc.ca/esd/distdata/ecosystems/TEI_Scanned_Maps/L08/L08-104")</f>
        <v>http://www.env.gov.bc.ca/esd/distdata/ecosystems/TEI_Scanned_Maps/L08/L08-104</v>
      </c>
      <c r="U2003" t="s">
        <v>58</v>
      </c>
      <c r="V2003" t="s">
        <v>58</v>
      </c>
      <c r="W2003" t="s">
        <v>58</v>
      </c>
      <c r="X2003" t="s">
        <v>58</v>
      </c>
      <c r="Y2003" t="s">
        <v>58</v>
      </c>
      <c r="Z2003" t="s">
        <v>58</v>
      </c>
      <c r="AA2003" t="s">
        <v>58</v>
      </c>
      <c r="AC2003" t="s">
        <v>58</v>
      </c>
      <c r="AE2003" t="s">
        <v>58</v>
      </c>
      <c r="AG2003" t="s">
        <v>63</v>
      </c>
      <c r="AH2003" s="11" t="str">
        <f t="shared" si="144"/>
        <v>mailto: soilterrain@victoria1.gov.bc.ca</v>
      </c>
    </row>
    <row r="2004" spans="1:34">
      <c r="A2004" t="s">
        <v>4617</v>
      </c>
      <c r="B2004" t="s">
        <v>56</v>
      </c>
      <c r="C2004" s="10" t="s">
        <v>1035</v>
      </c>
      <c r="D2004" t="s">
        <v>61</v>
      </c>
      <c r="E2004" t="s">
        <v>4176</v>
      </c>
      <c r="F2004" t="s">
        <v>4618</v>
      </c>
      <c r="G2004">
        <v>25000</v>
      </c>
      <c r="H2004" t="s">
        <v>187</v>
      </c>
      <c r="I2004" t="s">
        <v>4607</v>
      </c>
      <c r="J2004" t="s">
        <v>58</v>
      </c>
      <c r="K2004" t="s">
        <v>58</v>
      </c>
      <c r="L2004" t="s">
        <v>58</v>
      </c>
      <c r="M2004" t="s">
        <v>58</v>
      </c>
      <c r="O2004" t="s">
        <v>61</v>
      </c>
      <c r="Q2004" t="s">
        <v>58</v>
      </c>
      <c r="R2004" s="11" t="str">
        <f>HYPERLINK("\\imagefiles.bcgov\imagery\scanned_maps\moe_terrain_maps\Scanned_T_maps_all\L08\L08-105","\\imagefiles.bcgov\imagery\scanned_maps\moe_terrain_maps\Scanned_T_maps_all\L08\L08-105")</f>
        <v>\\imagefiles.bcgov\imagery\scanned_maps\moe_terrain_maps\Scanned_T_maps_all\L08\L08-105</v>
      </c>
      <c r="S2004" t="s">
        <v>62</v>
      </c>
      <c r="T2004" s="11" t="str">
        <f>HYPERLINK("http://www.env.gov.bc.ca/esd/distdata/ecosystems/TEI_Scanned_Maps/L08/L08-105","http://www.env.gov.bc.ca/esd/distdata/ecosystems/TEI_Scanned_Maps/L08/L08-105")</f>
        <v>http://www.env.gov.bc.ca/esd/distdata/ecosystems/TEI_Scanned_Maps/L08/L08-105</v>
      </c>
      <c r="U2004" t="s">
        <v>58</v>
      </c>
      <c r="V2004" t="s">
        <v>58</v>
      </c>
      <c r="W2004" t="s">
        <v>58</v>
      </c>
      <c r="X2004" t="s">
        <v>58</v>
      </c>
      <c r="Y2004" t="s">
        <v>58</v>
      </c>
      <c r="Z2004" t="s">
        <v>58</v>
      </c>
      <c r="AA2004" t="s">
        <v>58</v>
      </c>
      <c r="AC2004" t="s">
        <v>58</v>
      </c>
      <c r="AE2004" t="s">
        <v>58</v>
      </c>
      <c r="AG2004" t="s">
        <v>63</v>
      </c>
      <c r="AH2004" s="11" t="str">
        <f t="shared" si="144"/>
        <v>mailto: soilterrain@victoria1.gov.bc.ca</v>
      </c>
    </row>
    <row r="2005" spans="1:34">
      <c r="A2005" t="s">
        <v>4619</v>
      </c>
      <c r="B2005" t="s">
        <v>56</v>
      </c>
      <c r="C2005" s="10" t="s">
        <v>1035</v>
      </c>
      <c r="D2005" t="s">
        <v>61</v>
      </c>
      <c r="E2005" t="s">
        <v>4176</v>
      </c>
      <c r="F2005" t="s">
        <v>4620</v>
      </c>
      <c r="G2005">
        <v>25000</v>
      </c>
      <c r="H2005">
        <v>1984</v>
      </c>
      <c r="I2005" t="s">
        <v>4607</v>
      </c>
      <c r="J2005" t="s">
        <v>58</v>
      </c>
      <c r="K2005" t="s">
        <v>58</v>
      </c>
      <c r="L2005" t="s">
        <v>58</v>
      </c>
      <c r="M2005" t="s">
        <v>58</v>
      </c>
      <c r="O2005" t="s">
        <v>61</v>
      </c>
      <c r="Q2005" t="s">
        <v>58</v>
      </c>
      <c r="R2005" s="11" t="str">
        <f>HYPERLINK("\\imagefiles.bcgov\imagery\scanned_maps\moe_terrain_maps\Scanned_T_maps_all\L08\L08-106","\\imagefiles.bcgov\imagery\scanned_maps\moe_terrain_maps\Scanned_T_maps_all\L08\L08-106")</f>
        <v>\\imagefiles.bcgov\imagery\scanned_maps\moe_terrain_maps\Scanned_T_maps_all\L08\L08-106</v>
      </c>
      <c r="S2005" t="s">
        <v>62</v>
      </c>
      <c r="T2005" s="11" t="str">
        <f>HYPERLINK("http://www.env.gov.bc.ca/esd/distdata/ecosystems/TEI_Scanned_Maps/L08/L08-106","http://www.env.gov.bc.ca/esd/distdata/ecosystems/TEI_Scanned_Maps/L08/L08-106")</f>
        <v>http://www.env.gov.bc.ca/esd/distdata/ecosystems/TEI_Scanned_Maps/L08/L08-106</v>
      </c>
      <c r="U2005" t="s">
        <v>58</v>
      </c>
      <c r="V2005" t="s">
        <v>58</v>
      </c>
      <c r="W2005" t="s">
        <v>58</v>
      </c>
      <c r="X2005" t="s">
        <v>58</v>
      </c>
      <c r="Y2005" t="s">
        <v>58</v>
      </c>
      <c r="Z2005" t="s">
        <v>58</v>
      </c>
      <c r="AA2005" t="s">
        <v>58</v>
      </c>
      <c r="AC2005" t="s">
        <v>58</v>
      </c>
      <c r="AE2005" t="s">
        <v>58</v>
      </c>
      <c r="AG2005" t="s">
        <v>63</v>
      </c>
      <c r="AH2005" s="11" t="str">
        <f t="shared" si="144"/>
        <v>mailto: soilterrain@victoria1.gov.bc.ca</v>
      </c>
    </row>
    <row r="2006" spans="1:34">
      <c r="A2006" t="s">
        <v>4621</v>
      </c>
      <c r="B2006" t="s">
        <v>56</v>
      </c>
      <c r="C2006" s="10" t="s">
        <v>1035</v>
      </c>
      <c r="D2006" t="s">
        <v>61</v>
      </c>
      <c r="E2006" t="s">
        <v>4176</v>
      </c>
      <c r="F2006" t="s">
        <v>4622</v>
      </c>
      <c r="G2006">
        <v>25000</v>
      </c>
      <c r="H2006">
        <v>1985</v>
      </c>
      <c r="I2006" t="s">
        <v>4607</v>
      </c>
      <c r="J2006" t="s">
        <v>58</v>
      </c>
      <c r="K2006" t="s">
        <v>58</v>
      </c>
      <c r="L2006" t="s">
        <v>58</v>
      </c>
      <c r="M2006" t="s">
        <v>58</v>
      </c>
      <c r="O2006" t="s">
        <v>61</v>
      </c>
      <c r="Q2006" t="s">
        <v>58</v>
      </c>
      <c r="R2006" s="11" t="str">
        <f>HYPERLINK("\\imagefiles.bcgov\imagery\scanned_maps\moe_terrain_maps\Scanned_T_maps_all\L08\L08-107","\\imagefiles.bcgov\imagery\scanned_maps\moe_terrain_maps\Scanned_T_maps_all\L08\L08-107")</f>
        <v>\\imagefiles.bcgov\imagery\scanned_maps\moe_terrain_maps\Scanned_T_maps_all\L08\L08-107</v>
      </c>
      <c r="S2006" t="s">
        <v>62</v>
      </c>
      <c r="T2006" s="11" t="str">
        <f>HYPERLINK("http://www.env.gov.bc.ca/esd/distdata/ecosystems/TEI_Scanned_Maps/L08/L08-107","http://www.env.gov.bc.ca/esd/distdata/ecosystems/TEI_Scanned_Maps/L08/L08-107")</f>
        <v>http://www.env.gov.bc.ca/esd/distdata/ecosystems/TEI_Scanned_Maps/L08/L08-107</v>
      </c>
      <c r="U2006" t="s">
        <v>58</v>
      </c>
      <c r="V2006" t="s">
        <v>58</v>
      </c>
      <c r="W2006" t="s">
        <v>58</v>
      </c>
      <c r="X2006" t="s">
        <v>58</v>
      </c>
      <c r="Y2006" t="s">
        <v>58</v>
      </c>
      <c r="Z2006" t="s">
        <v>58</v>
      </c>
      <c r="AA2006" t="s">
        <v>58</v>
      </c>
      <c r="AC2006" t="s">
        <v>58</v>
      </c>
      <c r="AE2006" t="s">
        <v>58</v>
      </c>
      <c r="AG2006" t="s">
        <v>63</v>
      </c>
      <c r="AH2006" s="11" t="str">
        <f t="shared" si="144"/>
        <v>mailto: soilterrain@victoria1.gov.bc.ca</v>
      </c>
    </row>
    <row r="2007" spans="1:34">
      <c r="A2007" t="s">
        <v>4623</v>
      </c>
      <c r="B2007" t="s">
        <v>56</v>
      </c>
      <c r="C2007" s="10" t="s">
        <v>1035</v>
      </c>
      <c r="D2007" t="s">
        <v>61</v>
      </c>
      <c r="E2007" t="s">
        <v>4176</v>
      </c>
      <c r="F2007" t="s">
        <v>4624</v>
      </c>
      <c r="G2007">
        <v>25000</v>
      </c>
      <c r="H2007" t="s">
        <v>187</v>
      </c>
      <c r="I2007" t="s">
        <v>4607</v>
      </c>
      <c r="J2007" t="s">
        <v>58</v>
      </c>
      <c r="K2007" t="s">
        <v>58</v>
      </c>
      <c r="L2007" t="s">
        <v>58</v>
      </c>
      <c r="M2007" t="s">
        <v>58</v>
      </c>
      <c r="O2007" t="s">
        <v>61</v>
      </c>
      <c r="Q2007" t="s">
        <v>58</v>
      </c>
      <c r="R2007" s="11" t="str">
        <f>HYPERLINK("\\imagefiles.bcgov\imagery\scanned_maps\moe_terrain_maps\Scanned_T_maps_all\L08\L08-108","\\imagefiles.bcgov\imagery\scanned_maps\moe_terrain_maps\Scanned_T_maps_all\L08\L08-108")</f>
        <v>\\imagefiles.bcgov\imagery\scanned_maps\moe_terrain_maps\Scanned_T_maps_all\L08\L08-108</v>
      </c>
      <c r="S2007" t="s">
        <v>62</v>
      </c>
      <c r="T2007" s="11" t="str">
        <f>HYPERLINK("http://www.env.gov.bc.ca/esd/distdata/ecosystems/TEI_Scanned_Maps/L08/L08-108","http://www.env.gov.bc.ca/esd/distdata/ecosystems/TEI_Scanned_Maps/L08/L08-108")</f>
        <v>http://www.env.gov.bc.ca/esd/distdata/ecosystems/TEI_Scanned_Maps/L08/L08-108</v>
      </c>
      <c r="U2007" t="s">
        <v>58</v>
      </c>
      <c r="V2007" t="s">
        <v>58</v>
      </c>
      <c r="W2007" t="s">
        <v>58</v>
      </c>
      <c r="X2007" t="s">
        <v>58</v>
      </c>
      <c r="Y2007" t="s">
        <v>58</v>
      </c>
      <c r="Z2007" t="s">
        <v>58</v>
      </c>
      <c r="AA2007" t="s">
        <v>58</v>
      </c>
      <c r="AC2007" t="s">
        <v>58</v>
      </c>
      <c r="AE2007" t="s">
        <v>58</v>
      </c>
      <c r="AG2007" t="s">
        <v>63</v>
      </c>
      <c r="AH2007" s="11" t="str">
        <f t="shared" si="144"/>
        <v>mailto: soilterrain@victoria1.gov.bc.ca</v>
      </c>
    </row>
    <row r="2008" spans="1:34">
      <c r="A2008" t="s">
        <v>4625</v>
      </c>
      <c r="B2008" t="s">
        <v>56</v>
      </c>
      <c r="C2008" s="10" t="s">
        <v>4613</v>
      </c>
      <c r="D2008" t="s">
        <v>58</v>
      </c>
      <c r="E2008" t="s">
        <v>4176</v>
      </c>
      <c r="F2008" t="s">
        <v>4626</v>
      </c>
      <c r="G2008">
        <v>25000</v>
      </c>
      <c r="H2008" t="s">
        <v>187</v>
      </c>
      <c r="I2008" t="s">
        <v>4607</v>
      </c>
      <c r="J2008" t="s">
        <v>58</v>
      </c>
      <c r="K2008" t="s">
        <v>58</v>
      </c>
      <c r="L2008" t="s">
        <v>58</v>
      </c>
      <c r="M2008" t="s">
        <v>58</v>
      </c>
      <c r="O2008" t="s">
        <v>61</v>
      </c>
      <c r="Q2008" t="s">
        <v>58</v>
      </c>
      <c r="R2008" s="11" t="str">
        <f>HYPERLINK("\\imagefiles.bcgov\imagery\scanned_maps\moe_terrain_maps\Scanned_T_maps_all\L08\L08-109","\\imagefiles.bcgov\imagery\scanned_maps\moe_terrain_maps\Scanned_T_maps_all\L08\L08-109")</f>
        <v>\\imagefiles.bcgov\imagery\scanned_maps\moe_terrain_maps\Scanned_T_maps_all\L08\L08-109</v>
      </c>
      <c r="S2008" t="s">
        <v>62</v>
      </c>
      <c r="T2008" s="11" t="str">
        <f>HYPERLINK("http://www.env.gov.bc.ca/esd/distdata/ecosystems/TEI_Scanned_Maps/L08/L08-109","http://www.env.gov.bc.ca/esd/distdata/ecosystems/TEI_Scanned_Maps/L08/L08-109")</f>
        <v>http://www.env.gov.bc.ca/esd/distdata/ecosystems/TEI_Scanned_Maps/L08/L08-109</v>
      </c>
      <c r="U2008" t="s">
        <v>58</v>
      </c>
      <c r="V2008" t="s">
        <v>58</v>
      </c>
      <c r="W2008" t="s">
        <v>58</v>
      </c>
      <c r="X2008" t="s">
        <v>58</v>
      </c>
      <c r="Y2008" t="s">
        <v>58</v>
      </c>
      <c r="Z2008" t="s">
        <v>58</v>
      </c>
      <c r="AA2008" t="s">
        <v>58</v>
      </c>
      <c r="AC2008" t="s">
        <v>58</v>
      </c>
      <c r="AE2008" t="s">
        <v>58</v>
      </c>
      <c r="AG2008" t="s">
        <v>63</v>
      </c>
      <c r="AH2008" s="11" t="str">
        <f t="shared" si="144"/>
        <v>mailto: soilterrain@victoria1.gov.bc.ca</v>
      </c>
    </row>
    <row r="2009" spans="1:34">
      <c r="A2009" t="s">
        <v>4627</v>
      </c>
      <c r="B2009" t="s">
        <v>56</v>
      </c>
      <c r="C2009" s="10" t="s">
        <v>4628</v>
      </c>
      <c r="D2009" t="s">
        <v>58</v>
      </c>
      <c r="E2009" t="s">
        <v>4629</v>
      </c>
      <c r="F2009" t="s">
        <v>4630</v>
      </c>
      <c r="G2009">
        <v>20000</v>
      </c>
      <c r="H2009" t="s">
        <v>187</v>
      </c>
      <c r="I2009" t="s">
        <v>58</v>
      </c>
      <c r="J2009" t="s">
        <v>61</v>
      </c>
      <c r="K2009" t="s">
        <v>61</v>
      </c>
      <c r="L2009" t="s">
        <v>61</v>
      </c>
      <c r="M2009" t="s">
        <v>58</v>
      </c>
      <c r="Q2009" t="s">
        <v>58</v>
      </c>
      <c r="R2009" s="11" t="str">
        <f>HYPERLINK("\\imagefiles.bcgov\imagery\scanned_maps\moe_terrain_maps\Scanned_T_maps_all\L24\L24-2483","\\imagefiles.bcgov\imagery\scanned_maps\moe_terrain_maps\Scanned_T_maps_all\L24\L24-2483")</f>
        <v>\\imagefiles.bcgov\imagery\scanned_maps\moe_terrain_maps\Scanned_T_maps_all\L24\L24-2483</v>
      </c>
      <c r="S2009" t="s">
        <v>62</v>
      </c>
      <c r="T2009" s="11" t="str">
        <f>HYPERLINK("http://www.env.gov.bc.ca/esd/distdata/ecosystems/TEI_Scanned_Maps/L24/L24-2483","http://www.env.gov.bc.ca/esd/distdata/ecosystems/TEI_Scanned_Maps/L24/L24-2483")</f>
        <v>http://www.env.gov.bc.ca/esd/distdata/ecosystems/TEI_Scanned_Maps/L24/L24-2483</v>
      </c>
      <c r="U2009" t="s">
        <v>269</v>
      </c>
      <c r="V2009" s="11" t="str">
        <f>HYPERLINK("http://www.library.for.gov.bc.ca/#focus","http://www.library.for.gov.bc.ca/#focus")</f>
        <v>http://www.library.for.gov.bc.ca/#focus</v>
      </c>
      <c r="W2009" t="s">
        <v>58</v>
      </c>
      <c r="X2009" t="s">
        <v>58</v>
      </c>
      <c r="Y2009" t="s">
        <v>58</v>
      </c>
      <c r="Z2009" t="s">
        <v>58</v>
      </c>
      <c r="AA2009" t="s">
        <v>58</v>
      </c>
      <c r="AC2009" t="s">
        <v>58</v>
      </c>
      <c r="AE2009" t="s">
        <v>58</v>
      </c>
      <c r="AG2009" t="s">
        <v>63</v>
      </c>
      <c r="AH2009" s="11" t="str">
        <f t="shared" si="144"/>
        <v>mailto: soilterrain@victoria1.gov.bc.ca</v>
      </c>
    </row>
    <row r="2010" spans="1:34">
      <c r="A2010" t="s">
        <v>4631</v>
      </c>
      <c r="B2010" t="s">
        <v>56</v>
      </c>
      <c r="C2010" s="10" t="s">
        <v>4632</v>
      </c>
      <c r="D2010" t="s">
        <v>61</v>
      </c>
      <c r="E2010" t="s">
        <v>4633</v>
      </c>
      <c r="F2010" t="s">
        <v>4634</v>
      </c>
      <c r="G2010">
        <v>15840</v>
      </c>
      <c r="H2010">
        <v>1981</v>
      </c>
      <c r="I2010" t="s">
        <v>4635</v>
      </c>
      <c r="J2010" t="s">
        <v>61</v>
      </c>
      <c r="K2010" t="s">
        <v>58</v>
      </c>
      <c r="L2010" t="s">
        <v>58</v>
      </c>
      <c r="M2010" t="s">
        <v>58</v>
      </c>
      <c r="P2010" t="s">
        <v>61</v>
      </c>
      <c r="Q2010" t="s">
        <v>132</v>
      </c>
      <c r="R2010" s="11" t="str">
        <f>HYPERLINK("\\imagefiles.bcgov\imagery\scanned_maps\moe_terrain_maps\Scanned_T_maps_all\M05\M05-3946","\\imagefiles.bcgov\imagery\scanned_maps\moe_terrain_maps\Scanned_T_maps_all\M05\M05-3946")</f>
        <v>\\imagefiles.bcgov\imagery\scanned_maps\moe_terrain_maps\Scanned_T_maps_all\M05\M05-3946</v>
      </c>
      <c r="S2010" t="s">
        <v>62</v>
      </c>
      <c r="T2010" s="11" t="str">
        <f>HYPERLINK("http://www.env.gov.bc.ca/esd/distdata/ecosystems/TEI_Scanned_Maps/M05/M05-3946","http://www.env.gov.bc.ca/esd/distdata/ecosystems/TEI_Scanned_Maps/M05/M05-3946")</f>
        <v>http://www.env.gov.bc.ca/esd/distdata/ecosystems/TEI_Scanned_Maps/M05/M05-3946</v>
      </c>
      <c r="U2010" t="s">
        <v>269</v>
      </c>
      <c r="V2010" s="11" t="str">
        <f>HYPERLINK("http://www.library.for.gov.bc.ca/#focus","http://www.library.for.gov.bc.ca/#focus")</f>
        <v>http://www.library.for.gov.bc.ca/#focus</v>
      </c>
      <c r="W2010" t="s">
        <v>58</v>
      </c>
      <c r="X2010" t="s">
        <v>58</v>
      </c>
      <c r="Y2010" t="s">
        <v>58</v>
      </c>
      <c r="Z2010" t="s">
        <v>58</v>
      </c>
      <c r="AA2010" t="s">
        <v>58</v>
      </c>
      <c r="AC2010" t="s">
        <v>58</v>
      </c>
      <c r="AE2010" t="s">
        <v>58</v>
      </c>
      <c r="AG2010" t="s">
        <v>63</v>
      </c>
      <c r="AH2010" s="11" t="str">
        <f t="shared" si="144"/>
        <v>mailto: soilterrain@victoria1.gov.bc.ca</v>
      </c>
    </row>
    <row r="2011" spans="1:34">
      <c r="A2011" t="s">
        <v>4636</v>
      </c>
      <c r="B2011" t="s">
        <v>56</v>
      </c>
      <c r="C2011" s="10" t="s">
        <v>1017</v>
      </c>
      <c r="D2011" t="s">
        <v>61</v>
      </c>
      <c r="E2011" t="s">
        <v>4176</v>
      </c>
      <c r="F2011" t="s">
        <v>4637</v>
      </c>
      <c r="G2011">
        <v>25000</v>
      </c>
      <c r="H2011" t="s">
        <v>187</v>
      </c>
      <c r="I2011" t="s">
        <v>4607</v>
      </c>
      <c r="J2011" t="s">
        <v>58</v>
      </c>
      <c r="K2011" t="s">
        <v>58</v>
      </c>
      <c r="L2011" t="s">
        <v>58</v>
      </c>
      <c r="M2011" t="s">
        <v>58</v>
      </c>
      <c r="O2011" t="s">
        <v>61</v>
      </c>
      <c r="Q2011" t="s">
        <v>58</v>
      </c>
      <c r="R2011" s="11" t="str">
        <f>HYPERLINK("\\imagefiles.bcgov\imagery\scanned_maps\moe_terrain_maps\Scanned_T_maps_all\L08\L08-110","\\imagefiles.bcgov\imagery\scanned_maps\moe_terrain_maps\Scanned_T_maps_all\L08\L08-110")</f>
        <v>\\imagefiles.bcgov\imagery\scanned_maps\moe_terrain_maps\Scanned_T_maps_all\L08\L08-110</v>
      </c>
      <c r="S2011" t="s">
        <v>62</v>
      </c>
      <c r="T2011" s="11" t="str">
        <f>HYPERLINK("http://www.env.gov.bc.ca/esd/distdata/ecosystems/TEI_Scanned_Maps/L08/L08-110","http://www.env.gov.bc.ca/esd/distdata/ecosystems/TEI_Scanned_Maps/L08/L08-110")</f>
        <v>http://www.env.gov.bc.ca/esd/distdata/ecosystems/TEI_Scanned_Maps/L08/L08-110</v>
      </c>
      <c r="U2011" t="s">
        <v>58</v>
      </c>
      <c r="V2011" t="s">
        <v>58</v>
      </c>
      <c r="W2011" t="s">
        <v>58</v>
      </c>
      <c r="X2011" t="s">
        <v>58</v>
      </c>
      <c r="Y2011" t="s">
        <v>58</v>
      </c>
      <c r="Z2011" t="s">
        <v>58</v>
      </c>
      <c r="AA2011" t="s">
        <v>58</v>
      </c>
      <c r="AC2011" t="s">
        <v>58</v>
      </c>
      <c r="AE2011" t="s">
        <v>58</v>
      </c>
      <c r="AG2011" t="s">
        <v>63</v>
      </c>
      <c r="AH2011" s="11" t="str">
        <f t="shared" si="144"/>
        <v>mailto: soilterrain@victoria1.gov.bc.ca</v>
      </c>
    </row>
    <row r="2012" spans="1:34">
      <c r="A2012" t="s">
        <v>4638</v>
      </c>
      <c r="B2012" t="s">
        <v>56</v>
      </c>
      <c r="C2012" s="10" t="s">
        <v>1017</v>
      </c>
      <c r="D2012" t="s">
        <v>61</v>
      </c>
      <c r="E2012" t="s">
        <v>4176</v>
      </c>
      <c r="F2012" t="s">
        <v>4639</v>
      </c>
      <c r="G2012">
        <v>25000</v>
      </c>
      <c r="H2012">
        <v>1984</v>
      </c>
      <c r="I2012" t="s">
        <v>4607</v>
      </c>
      <c r="J2012" t="s">
        <v>58</v>
      </c>
      <c r="K2012" t="s">
        <v>58</v>
      </c>
      <c r="L2012" t="s">
        <v>58</v>
      </c>
      <c r="M2012" t="s">
        <v>58</v>
      </c>
      <c r="O2012" t="s">
        <v>61</v>
      </c>
      <c r="Q2012" t="s">
        <v>58</v>
      </c>
      <c r="R2012" s="11" t="str">
        <f>HYPERLINK("\\imagefiles.bcgov\imagery\scanned_maps\moe_terrain_maps\Scanned_T_maps_all\L08\L08-111","\\imagefiles.bcgov\imagery\scanned_maps\moe_terrain_maps\Scanned_T_maps_all\L08\L08-111")</f>
        <v>\\imagefiles.bcgov\imagery\scanned_maps\moe_terrain_maps\Scanned_T_maps_all\L08\L08-111</v>
      </c>
      <c r="S2012" t="s">
        <v>62</v>
      </c>
      <c r="T2012" s="11" t="str">
        <f>HYPERLINK("http://www.env.gov.bc.ca/esd/distdata/ecosystems/TEI_Scanned_Maps/L08/L08-111","http://www.env.gov.bc.ca/esd/distdata/ecosystems/TEI_Scanned_Maps/L08/L08-111")</f>
        <v>http://www.env.gov.bc.ca/esd/distdata/ecosystems/TEI_Scanned_Maps/L08/L08-111</v>
      </c>
      <c r="U2012" t="s">
        <v>58</v>
      </c>
      <c r="V2012" t="s">
        <v>58</v>
      </c>
      <c r="W2012" t="s">
        <v>58</v>
      </c>
      <c r="X2012" t="s">
        <v>58</v>
      </c>
      <c r="Y2012" t="s">
        <v>58</v>
      </c>
      <c r="Z2012" t="s">
        <v>58</v>
      </c>
      <c r="AA2012" t="s">
        <v>58</v>
      </c>
      <c r="AC2012" t="s">
        <v>58</v>
      </c>
      <c r="AE2012" t="s">
        <v>58</v>
      </c>
      <c r="AG2012" t="s">
        <v>63</v>
      </c>
      <c r="AH2012" s="11" t="str">
        <f t="shared" si="144"/>
        <v>mailto: soilterrain@victoria1.gov.bc.ca</v>
      </c>
    </row>
    <row r="2013" spans="1:34">
      <c r="A2013" t="s">
        <v>4640</v>
      </c>
      <c r="B2013" t="s">
        <v>56</v>
      </c>
      <c r="C2013" s="10" t="s">
        <v>1017</v>
      </c>
      <c r="D2013" t="s">
        <v>61</v>
      </c>
      <c r="E2013" t="s">
        <v>4176</v>
      </c>
      <c r="F2013" t="s">
        <v>4641</v>
      </c>
      <c r="G2013">
        <v>25000</v>
      </c>
      <c r="H2013">
        <v>1985</v>
      </c>
      <c r="I2013" t="s">
        <v>4607</v>
      </c>
      <c r="J2013" t="s">
        <v>58</v>
      </c>
      <c r="K2013" t="s">
        <v>58</v>
      </c>
      <c r="L2013" t="s">
        <v>58</v>
      </c>
      <c r="M2013" t="s">
        <v>58</v>
      </c>
      <c r="O2013" t="s">
        <v>61</v>
      </c>
      <c r="Q2013" t="s">
        <v>58</v>
      </c>
      <c r="R2013" s="11" t="str">
        <f>HYPERLINK("\\imagefiles.bcgov\imagery\scanned_maps\moe_terrain_maps\Scanned_T_maps_all\L08\L08-112","\\imagefiles.bcgov\imagery\scanned_maps\moe_terrain_maps\Scanned_T_maps_all\L08\L08-112")</f>
        <v>\\imagefiles.bcgov\imagery\scanned_maps\moe_terrain_maps\Scanned_T_maps_all\L08\L08-112</v>
      </c>
      <c r="S2013" t="s">
        <v>62</v>
      </c>
      <c r="T2013" s="11" t="str">
        <f>HYPERLINK("http://www.env.gov.bc.ca/esd/distdata/ecosystems/TEI_Scanned_Maps/L08/L08-112","http://www.env.gov.bc.ca/esd/distdata/ecosystems/TEI_Scanned_Maps/L08/L08-112")</f>
        <v>http://www.env.gov.bc.ca/esd/distdata/ecosystems/TEI_Scanned_Maps/L08/L08-112</v>
      </c>
      <c r="U2013" t="s">
        <v>58</v>
      </c>
      <c r="V2013" t="s">
        <v>58</v>
      </c>
      <c r="W2013" t="s">
        <v>58</v>
      </c>
      <c r="X2013" t="s">
        <v>58</v>
      </c>
      <c r="Y2013" t="s">
        <v>58</v>
      </c>
      <c r="Z2013" t="s">
        <v>58</v>
      </c>
      <c r="AA2013" t="s">
        <v>58</v>
      </c>
      <c r="AC2013" t="s">
        <v>58</v>
      </c>
      <c r="AE2013" t="s">
        <v>58</v>
      </c>
      <c r="AG2013" t="s">
        <v>63</v>
      </c>
      <c r="AH2013" s="11" t="str">
        <f t="shared" si="144"/>
        <v>mailto: soilterrain@victoria1.gov.bc.ca</v>
      </c>
    </row>
    <row r="2014" spans="1:34">
      <c r="A2014" t="s">
        <v>4642</v>
      </c>
      <c r="B2014" t="s">
        <v>56</v>
      </c>
      <c r="C2014" s="10" t="s">
        <v>1017</v>
      </c>
      <c r="D2014" t="s">
        <v>61</v>
      </c>
      <c r="E2014" t="s">
        <v>4176</v>
      </c>
      <c r="F2014" t="s">
        <v>4643</v>
      </c>
      <c r="G2014">
        <v>25000</v>
      </c>
      <c r="H2014" t="s">
        <v>187</v>
      </c>
      <c r="I2014" t="s">
        <v>4607</v>
      </c>
      <c r="J2014" t="s">
        <v>58</v>
      </c>
      <c r="K2014" t="s">
        <v>58</v>
      </c>
      <c r="L2014" t="s">
        <v>58</v>
      </c>
      <c r="M2014" t="s">
        <v>58</v>
      </c>
      <c r="O2014" t="s">
        <v>61</v>
      </c>
      <c r="Q2014" t="s">
        <v>58</v>
      </c>
      <c r="R2014" s="11" t="str">
        <f>HYPERLINK("\\imagefiles.bcgov\imagery\scanned_maps\moe_terrain_maps\Scanned_T_maps_all\L08\L08-113","\\imagefiles.bcgov\imagery\scanned_maps\moe_terrain_maps\Scanned_T_maps_all\L08\L08-113")</f>
        <v>\\imagefiles.bcgov\imagery\scanned_maps\moe_terrain_maps\Scanned_T_maps_all\L08\L08-113</v>
      </c>
      <c r="S2014" t="s">
        <v>62</v>
      </c>
      <c r="T2014" s="11" t="str">
        <f>HYPERLINK("http://www.env.gov.bc.ca/esd/distdata/ecosystems/TEI_Scanned_Maps/L08/L08-113","http://www.env.gov.bc.ca/esd/distdata/ecosystems/TEI_Scanned_Maps/L08/L08-113")</f>
        <v>http://www.env.gov.bc.ca/esd/distdata/ecosystems/TEI_Scanned_Maps/L08/L08-113</v>
      </c>
      <c r="U2014" t="s">
        <v>58</v>
      </c>
      <c r="V2014" t="s">
        <v>58</v>
      </c>
      <c r="W2014" t="s">
        <v>58</v>
      </c>
      <c r="X2014" t="s">
        <v>58</v>
      </c>
      <c r="Y2014" t="s">
        <v>58</v>
      </c>
      <c r="Z2014" t="s">
        <v>58</v>
      </c>
      <c r="AA2014" t="s">
        <v>58</v>
      </c>
      <c r="AC2014" t="s">
        <v>58</v>
      </c>
      <c r="AE2014" t="s">
        <v>58</v>
      </c>
      <c r="AG2014" t="s">
        <v>63</v>
      </c>
      <c r="AH2014" s="11" t="str">
        <f t="shared" si="144"/>
        <v>mailto: soilterrain@victoria1.gov.bc.ca</v>
      </c>
    </row>
    <row r="2015" spans="1:34">
      <c r="A2015" t="s">
        <v>4644</v>
      </c>
      <c r="B2015" t="s">
        <v>56</v>
      </c>
      <c r="C2015" s="10" t="s">
        <v>1033</v>
      </c>
      <c r="D2015" t="s">
        <v>61</v>
      </c>
      <c r="E2015" t="s">
        <v>4176</v>
      </c>
      <c r="F2015" t="s">
        <v>4645</v>
      </c>
      <c r="G2015">
        <v>25000</v>
      </c>
      <c r="H2015">
        <v>1985</v>
      </c>
      <c r="I2015" t="s">
        <v>58</v>
      </c>
      <c r="J2015" t="s">
        <v>58</v>
      </c>
      <c r="K2015" t="s">
        <v>58</v>
      </c>
      <c r="L2015" t="s">
        <v>58</v>
      </c>
      <c r="M2015" t="s">
        <v>58</v>
      </c>
      <c r="O2015" t="s">
        <v>61</v>
      </c>
      <c r="Q2015" t="s">
        <v>58</v>
      </c>
      <c r="R2015" s="11" t="str">
        <f>HYPERLINK("\\imagefiles.bcgov\imagery\scanned_maps\moe_terrain_maps\Scanned_T_maps_all\L08\L08-5076","\\imagefiles.bcgov\imagery\scanned_maps\moe_terrain_maps\Scanned_T_maps_all\L08\L08-5076")</f>
        <v>\\imagefiles.bcgov\imagery\scanned_maps\moe_terrain_maps\Scanned_T_maps_all\L08\L08-5076</v>
      </c>
      <c r="S2015" t="s">
        <v>62</v>
      </c>
      <c r="T2015" s="11" t="str">
        <f>HYPERLINK("http://www.env.gov.bc.ca/esd/distdata/ecosystems/TEI_Scanned_Maps/L08/L08-5076","http://www.env.gov.bc.ca/esd/distdata/ecosystems/TEI_Scanned_Maps/L08/L08-5076")</f>
        <v>http://www.env.gov.bc.ca/esd/distdata/ecosystems/TEI_Scanned_Maps/L08/L08-5076</v>
      </c>
      <c r="U2015" t="s">
        <v>2487</v>
      </c>
      <c r="V2015" s="11" t="str">
        <f>HYPERLINK("http://res.agr.ca/cansis/publications/surveys/bc/","http://res.agr.ca/cansis/publications/surveys/bc/")</f>
        <v>http://res.agr.ca/cansis/publications/surveys/bc/</v>
      </c>
      <c r="W2015" t="s">
        <v>2488</v>
      </c>
      <c r="X2015" s="11" t="str">
        <f>HYPERLINK("http://res.agr.ca/cansis/publications/surveys/bc/","http://res.agr.ca/cansis/publications/surveys/bc/")</f>
        <v>http://res.agr.ca/cansis/publications/surveys/bc/</v>
      </c>
      <c r="Y2015" t="s">
        <v>2490</v>
      </c>
      <c r="Z2015" s="11" t="str">
        <f>HYPERLINK("http://res.agr.ca/cansis/publications/surveys/bc/","http://res.agr.ca/cansis/publications/surveys/bc/")</f>
        <v>http://res.agr.ca/cansis/publications/surveys/bc/</v>
      </c>
      <c r="AA2015" t="s">
        <v>269</v>
      </c>
      <c r="AB2015" s="11" t="str">
        <f>HYPERLINK("http://www.library.for.gov.bc.ca/#focus","http://www.library.for.gov.bc.ca/#focus")</f>
        <v>http://www.library.for.gov.bc.ca/#focus</v>
      </c>
      <c r="AC2015" t="s">
        <v>58</v>
      </c>
      <c r="AE2015" t="s">
        <v>58</v>
      </c>
      <c r="AG2015" t="s">
        <v>63</v>
      </c>
      <c r="AH2015" s="11" t="str">
        <f t="shared" si="144"/>
        <v>mailto: soilterrain@victoria1.gov.bc.ca</v>
      </c>
    </row>
    <row r="2016" spans="1:34">
      <c r="A2016" t="s">
        <v>4646</v>
      </c>
      <c r="B2016" t="s">
        <v>56</v>
      </c>
      <c r="C2016" s="10" t="s">
        <v>1017</v>
      </c>
      <c r="D2016" t="s">
        <v>61</v>
      </c>
      <c r="E2016" t="s">
        <v>4176</v>
      </c>
      <c r="F2016" t="s">
        <v>4647</v>
      </c>
      <c r="G2016">
        <v>25000</v>
      </c>
      <c r="H2016" t="s">
        <v>187</v>
      </c>
      <c r="I2016" t="s">
        <v>58</v>
      </c>
      <c r="J2016" t="s">
        <v>58</v>
      </c>
      <c r="K2016" t="s">
        <v>58</v>
      </c>
      <c r="L2016" t="s">
        <v>58</v>
      </c>
      <c r="M2016" t="s">
        <v>58</v>
      </c>
      <c r="O2016" t="s">
        <v>61</v>
      </c>
      <c r="Q2016" t="s">
        <v>58</v>
      </c>
      <c r="R2016" s="11" t="str">
        <f>HYPERLINK("\\imagefiles.bcgov\imagery\scanned_maps\moe_terrain_maps\Scanned_T_maps_all\L08\L08-5077","\\imagefiles.bcgov\imagery\scanned_maps\moe_terrain_maps\Scanned_T_maps_all\L08\L08-5077")</f>
        <v>\\imagefiles.bcgov\imagery\scanned_maps\moe_terrain_maps\Scanned_T_maps_all\L08\L08-5077</v>
      </c>
      <c r="S2016" t="s">
        <v>62</v>
      </c>
      <c r="T2016" s="11" t="str">
        <f>HYPERLINK("http://www.env.gov.bc.ca/esd/distdata/ecosystems/TEI_Scanned_Maps/L08/L08-5077","http://www.env.gov.bc.ca/esd/distdata/ecosystems/TEI_Scanned_Maps/L08/L08-5077")</f>
        <v>http://www.env.gov.bc.ca/esd/distdata/ecosystems/TEI_Scanned_Maps/L08/L08-5077</v>
      </c>
      <c r="U2016" t="s">
        <v>2487</v>
      </c>
      <c r="V2016" s="11" t="str">
        <f>HYPERLINK("http://res.agr.ca/cansis/publications/surveys/bc/","http://res.agr.ca/cansis/publications/surveys/bc/")</f>
        <v>http://res.agr.ca/cansis/publications/surveys/bc/</v>
      </c>
      <c r="W2016" t="s">
        <v>2488</v>
      </c>
      <c r="X2016" s="11" t="str">
        <f>HYPERLINK("http://res.agr.ca/cansis/publications/surveys/bc/","http://res.agr.ca/cansis/publications/surveys/bc/")</f>
        <v>http://res.agr.ca/cansis/publications/surveys/bc/</v>
      </c>
      <c r="Y2016" t="s">
        <v>2490</v>
      </c>
      <c r="Z2016" s="11" t="str">
        <f>HYPERLINK("http://res.agr.ca/cansis/publications/surveys/bc/","http://res.agr.ca/cansis/publications/surveys/bc/")</f>
        <v>http://res.agr.ca/cansis/publications/surveys/bc/</v>
      </c>
      <c r="AA2016" t="s">
        <v>269</v>
      </c>
      <c r="AB2016" s="11" t="str">
        <f>HYPERLINK("http://www.library.for.gov.bc.ca/#focus","http://www.library.for.gov.bc.ca/#focus")</f>
        <v>http://www.library.for.gov.bc.ca/#focus</v>
      </c>
      <c r="AC2016" t="s">
        <v>58</v>
      </c>
      <c r="AE2016" t="s">
        <v>58</v>
      </c>
      <c r="AG2016" t="s">
        <v>63</v>
      </c>
      <c r="AH2016" s="11" t="str">
        <f t="shared" si="144"/>
        <v>mailto: soilterrain@victoria1.gov.bc.ca</v>
      </c>
    </row>
    <row r="2017" spans="1:34">
      <c r="A2017" t="s">
        <v>4648</v>
      </c>
      <c r="B2017" t="s">
        <v>56</v>
      </c>
      <c r="C2017" s="10" t="s">
        <v>1147</v>
      </c>
      <c r="D2017" t="s">
        <v>61</v>
      </c>
      <c r="E2017" t="s">
        <v>4176</v>
      </c>
      <c r="F2017" t="s">
        <v>4649</v>
      </c>
      <c r="G2017">
        <v>25000</v>
      </c>
      <c r="H2017">
        <v>1985</v>
      </c>
      <c r="I2017" t="s">
        <v>58</v>
      </c>
      <c r="J2017" t="s">
        <v>58</v>
      </c>
      <c r="K2017" t="s">
        <v>58</v>
      </c>
      <c r="L2017" t="s">
        <v>58</v>
      </c>
      <c r="M2017" t="s">
        <v>58</v>
      </c>
      <c r="O2017" t="s">
        <v>61</v>
      </c>
      <c r="Q2017" t="s">
        <v>58</v>
      </c>
      <c r="R2017" s="11" t="str">
        <f>HYPERLINK("\\imagefiles.bcgov\imagery\scanned_maps\moe_terrain_maps\Scanned_T_maps_all\L08\L08-5078","\\imagefiles.bcgov\imagery\scanned_maps\moe_terrain_maps\Scanned_T_maps_all\L08\L08-5078")</f>
        <v>\\imagefiles.bcgov\imagery\scanned_maps\moe_terrain_maps\Scanned_T_maps_all\L08\L08-5078</v>
      </c>
      <c r="S2017" t="s">
        <v>62</v>
      </c>
      <c r="T2017" s="11" t="str">
        <f>HYPERLINK("http://www.env.gov.bc.ca/esd/distdata/ecosystems/TEI_Scanned_Maps/L08/L08-5078","http://www.env.gov.bc.ca/esd/distdata/ecosystems/TEI_Scanned_Maps/L08/L08-5078")</f>
        <v>http://www.env.gov.bc.ca/esd/distdata/ecosystems/TEI_Scanned_Maps/L08/L08-5078</v>
      </c>
      <c r="U2017" t="s">
        <v>2487</v>
      </c>
      <c r="V2017" s="11" t="str">
        <f>HYPERLINK("http://res.agr.ca/cansis/publications/surveys/bc/","http://res.agr.ca/cansis/publications/surveys/bc/")</f>
        <v>http://res.agr.ca/cansis/publications/surveys/bc/</v>
      </c>
      <c r="W2017" t="s">
        <v>2488</v>
      </c>
      <c r="X2017" s="11" t="str">
        <f>HYPERLINK("http://res.agr.ca/cansis/publications/surveys/bc/","http://res.agr.ca/cansis/publications/surveys/bc/")</f>
        <v>http://res.agr.ca/cansis/publications/surveys/bc/</v>
      </c>
      <c r="Y2017" t="s">
        <v>2490</v>
      </c>
      <c r="Z2017" s="11" t="str">
        <f>HYPERLINK("http://res.agr.ca/cansis/publications/surveys/bc/","http://res.agr.ca/cansis/publications/surveys/bc/")</f>
        <v>http://res.agr.ca/cansis/publications/surveys/bc/</v>
      </c>
      <c r="AA2017" t="s">
        <v>269</v>
      </c>
      <c r="AB2017" s="11" t="str">
        <f>HYPERLINK("http://www.library.for.gov.bc.ca/#focus","http://www.library.for.gov.bc.ca/#focus")</f>
        <v>http://www.library.for.gov.bc.ca/#focus</v>
      </c>
      <c r="AC2017" t="s">
        <v>58</v>
      </c>
      <c r="AE2017" t="s">
        <v>58</v>
      </c>
      <c r="AG2017" t="s">
        <v>63</v>
      </c>
      <c r="AH2017" s="11" t="str">
        <f t="shared" si="144"/>
        <v>mailto: soilterrain@victoria1.gov.bc.ca</v>
      </c>
    </row>
    <row r="2018" spans="1:34">
      <c r="A2018" t="s">
        <v>4650</v>
      </c>
      <c r="B2018" t="s">
        <v>56</v>
      </c>
      <c r="C2018" s="10" t="s">
        <v>4504</v>
      </c>
      <c r="D2018" t="s">
        <v>61</v>
      </c>
      <c r="E2018" t="s">
        <v>4176</v>
      </c>
      <c r="F2018" t="s">
        <v>4651</v>
      </c>
      <c r="G2018">
        <v>250000</v>
      </c>
      <c r="H2018" t="s">
        <v>187</v>
      </c>
      <c r="I2018" t="s">
        <v>58</v>
      </c>
      <c r="J2018" t="s">
        <v>58</v>
      </c>
      <c r="K2018" t="s">
        <v>58</v>
      </c>
      <c r="L2018" t="s">
        <v>58</v>
      </c>
      <c r="M2018" t="s">
        <v>58</v>
      </c>
      <c r="O2018" t="s">
        <v>61</v>
      </c>
      <c r="Q2018" t="s">
        <v>58</v>
      </c>
      <c r="R2018" s="11" t="str">
        <f>HYPERLINK("\\imagefiles.bcgov\imagery\scanned_maps\moe_terrain_maps\Scanned_T_maps_all\L08\L08-5079","\\imagefiles.bcgov\imagery\scanned_maps\moe_terrain_maps\Scanned_T_maps_all\L08\L08-5079")</f>
        <v>\\imagefiles.bcgov\imagery\scanned_maps\moe_terrain_maps\Scanned_T_maps_all\L08\L08-5079</v>
      </c>
      <c r="S2018" t="s">
        <v>62</v>
      </c>
      <c r="T2018" s="11" t="str">
        <f>HYPERLINK("http://www.env.gov.bc.ca/esd/distdata/ecosystems/TEI_Scanned_Maps/L08/L08-5079","http://www.env.gov.bc.ca/esd/distdata/ecosystems/TEI_Scanned_Maps/L08/L08-5079")</f>
        <v>http://www.env.gov.bc.ca/esd/distdata/ecosystems/TEI_Scanned_Maps/L08/L08-5079</v>
      </c>
      <c r="U2018" t="s">
        <v>58</v>
      </c>
      <c r="V2018" t="s">
        <v>58</v>
      </c>
      <c r="W2018" t="s">
        <v>58</v>
      </c>
      <c r="X2018" t="s">
        <v>58</v>
      </c>
      <c r="Y2018" t="s">
        <v>58</v>
      </c>
      <c r="Z2018" t="s">
        <v>58</v>
      </c>
      <c r="AA2018" t="s">
        <v>58</v>
      </c>
      <c r="AC2018" t="s">
        <v>58</v>
      </c>
      <c r="AE2018" t="s">
        <v>58</v>
      </c>
      <c r="AG2018" t="s">
        <v>63</v>
      </c>
      <c r="AH2018" s="11" t="str">
        <f t="shared" si="144"/>
        <v>mailto: soilterrain@victoria1.gov.bc.ca</v>
      </c>
    </row>
    <row r="2019" spans="1:34">
      <c r="A2019" t="s">
        <v>4652</v>
      </c>
      <c r="B2019" t="s">
        <v>56</v>
      </c>
      <c r="C2019" s="10" t="s">
        <v>4653</v>
      </c>
      <c r="D2019" t="s">
        <v>58</v>
      </c>
      <c r="E2019" t="s">
        <v>4176</v>
      </c>
      <c r="F2019" t="s">
        <v>4654</v>
      </c>
      <c r="G2019">
        <v>25000</v>
      </c>
      <c r="H2019" t="s">
        <v>187</v>
      </c>
      <c r="I2019" t="s">
        <v>58</v>
      </c>
      <c r="J2019" t="s">
        <v>58</v>
      </c>
      <c r="K2019" t="s">
        <v>58</v>
      </c>
      <c r="L2019" t="s">
        <v>58</v>
      </c>
      <c r="M2019" t="s">
        <v>58</v>
      </c>
      <c r="O2019" t="s">
        <v>61</v>
      </c>
      <c r="Q2019" t="s">
        <v>58</v>
      </c>
      <c r="R2019" s="11" t="str">
        <f>HYPERLINK("\\imagefiles.bcgov\imagery\scanned_maps\moe_terrain_maps\Scanned_T_maps_all\L08\L08-604","\\imagefiles.bcgov\imagery\scanned_maps\moe_terrain_maps\Scanned_T_maps_all\L08\L08-604")</f>
        <v>\\imagefiles.bcgov\imagery\scanned_maps\moe_terrain_maps\Scanned_T_maps_all\L08\L08-604</v>
      </c>
      <c r="S2019" t="s">
        <v>62</v>
      </c>
      <c r="T2019" s="11" t="str">
        <f>HYPERLINK("http://www.env.gov.bc.ca/esd/distdata/ecosystems/TEI_Scanned_Maps/L08/L08-604","http://www.env.gov.bc.ca/esd/distdata/ecosystems/TEI_Scanned_Maps/L08/L08-604")</f>
        <v>http://www.env.gov.bc.ca/esd/distdata/ecosystems/TEI_Scanned_Maps/L08/L08-604</v>
      </c>
      <c r="U2019" t="s">
        <v>58</v>
      </c>
      <c r="V2019" t="s">
        <v>58</v>
      </c>
      <c r="W2019" t="s">
        <v>58</v>
      </c>
      <c r="X2019" t="s">
        <v>58</v>
      </c>
      <c r="Y2019" t="s">
        <v>58</v>
      </c>
      <c r="Z2019" t="s">
        <v>58</v>
      </c>
      <c r="AA2019" t="s">
        <v>58</v>
      </c>
      <c r="AC2019" t="s">
        <v>58</v>
      </c>
      <c r="AE2019" t="s">
        <v>58</v>
      </c>
      <c r="AG2019" t="s">
        <v>63</v>
      </c>
      <c r="AH2019" s="11" t="str">
        <f t="shared" si="144"/>
        <v>mailto: soilterrain@victoria1.gov.bc.ca</v>
      </c>
    </row>
    <row r="2020" spans="1:34">
      <c r="A2020" t="s">
        <v>4655</v>
      </c>
      <c r="B2020" t="s">
        <v>56</v>
      </c>
      <c r="C2020" s="10" t="s">
        <v>4653</v>
      </c>
      <c r="D2020" t="s">
        <v>58</v>
      </c>
      <c r="E2020" t="s">
        <v>4176</v>
      </c>
      <c r="F2020" t="s">
        <v>4656</v>
      </c>
      <c r="G2020">
        <v>25000</v>
      </c>
      <c r="H2020" t="s">
        <v>187</v>
      </c>
      <c r="I2020" t="s">
        <v>58</v>
      </c>
      <c r="J2020" t="s">
        <v>58</v>
      </c>
      <c r="K2020" t="s">
        <v>58</v>
      </c>
      <c r="L2020" t="s">
        <v>58</v>
      </c>
      <c r="M2020" t="s">
        <v>58</v>
      </c>
      <c r="O2020" t="s">
        <v>61</v>
      </c>
      <c r="Q2020" t="s">
        <v>58</v>
      </c>
      <c r="R2020" s="11" t="str">
        <f>HYPERLINK("\\imagefiles.bcgov\imagery\scanned_maps\moe_terrain_maps\Scanned_T_maps_all\L08\L08-605","\\imagefiles.bcgov\imagery\scanned_maps\moe_terrain_maps\Scanned_T_maps_all\L08\L08-605")</f>
        <v>\\imagefiles.bcgov\imagery\scanned_maps\moe_terrain_maps\Scanned_T_maps_all\L08\L08-605</v>
      </c>
      <c r="S2020" t="s">
        <v>62</v>
      </c>
      <c r="T2020" s="11" t="str">
        <f>HYPERLINK("http://www.env.gov.bc.ca/esd/distdata/ecosystems/TEI_Scanned_Maps/L08/L08-605","http://www.env.gov.bc.ca/esd/distdata/ecosystems/TEI_Scanned_Maps/L08/L08-605")</f>
        <v>http://www.env.gov.bc.ca/esd/distdata/ecosystems/TEI_Scanned_Maps/L08/L08-605</v>
      </c>
      <c r="U2020" t="s">
        <v>58</v>
      </c>
      <c r="V2020" t="s">
        <v>58</v>
      </c>
      <c r="W2020" t="s">
        <v>58</v>
      </c>
      <c r="X2020" t="s">
        <v>58</v>
      </c>
      <c r="Y2020" t="s">
        <v>58</v>
      </c>
      <c r="Z2020" t="s">
        <v>58</v>
      </c>
      <c r="AA2020" t="s">
        <v>58</v>
      </c>
      <c r="AC2020" t="s">
        <v>58</v>
      </c>
      <c r="AE2020" t="s">
        <v>58</v>
      </c>
      <c r="AG2020" t="s">
        <v>63</v>
      </c>
      <c r="AH2020" s="11" t="str">
        <f t="shared" si="144"/>
        <v>mailto: soilterrain@victoria1.gov.bc.ca</v>
      </c>
    </row>
    <row r="2021" spans="1:34">
      <c r="A2021" t="s">
        <v>4657</v>
      </c>
      <c r="B2021" t="s">
        <v>56</v>
      </c>
      <c r="C2021" s="10" t="s">
        <v>4653</v>
      </c>
      <c r="D2021" t="s">
        <v>58</v>
      </c>
      <c r="E2021" t="s">
        <v>4176</v>
      </c>
      <c r="F2021" t="s">
        <v>4658</v>
      </c>
      <c r="G2021">
        <v>25000</v>
      </c>
      <c r="H2021">
        <v>1984</v>
      </c>
      <c r="I2021" t="s">
        <v>58</v>
      </c>
      <c r="J2021" t="s">
        <v>58</v>
      </c>
      <c r="K2021" t="s">
        <v>58</v>
      </c>
      <c r="L2021" t="s">
        <v>58</v>
      </c>
      <c r="M2021" t="s">
        <v>58</v>
      </c>
      <c r="O2021" t="s">
        <v>61</v>
      </c>
      <c r="Q2021" t="s">
        <v>58</v>
      </c>
      <c r="R2021" s="11" t="str">
        <f>HYPERLINK("\\imagefiles.bcgov\imagery\scanned_maps\moe_terrain_maps\Scanned_T_maps_all\L08\L08-606","\\imagefiles.bcgov\imagery\scanned_maps\moe_terrain_maps\Scanned_T_maps_all\L08\L08-606")</f>
        <v>\\imagefiles.bcgov\imagery\scanned_maps\moe_terrain_maps\Scanned_T_maps_all\L08\L08-606</v>
      </c>
      <c r="S2021" t="s">
        <v>62</v>
      </c>
      <c r="T2021" s="11" t="str">
        <f>HYPERLINK("http://www.env.gov.bc.ca/esd/distdata/ecosystems/TEI_Scanned_Maps/L08/L08-606","http://www.env.gov.bc.ca/esd/distdata/ecosystems/TEI_Scanned_Maps/L08/L08-606")</f>
        <v>http://www.env.gov.bc.ca/esd/distdata/ecosystems/TEI_Scanned_Maps/L08/L08-606</v>
      </c>
      <c r="U2021" t="s">
        <v>58</v>
      </c>
      <c r="V2021" t="s">
        <v>58</v>
      </c>
      <c r="W2021" t="s">
        <v>58</v>
      </c>
      <c r="X2021" t="s">
        <v>58</v>
      </c>
      <c r="Y2021" t="s">
        <v>58</v>
      </c>
      <c r="Z2021" t="s">
        <v>58</v>
      </c>
      <c r="AA2021" t="s">
        <v>58</v>
      </c>
      <c r="AC2021" t="s">
        <v>58</v>
      </c>
      <c r="AE2021" t="s">
        <v>58</v>
      </c>
      <c r="AG2021" t="s">
        <v>63</v>
      </c>
      <c r="AH2021" s="11" t="str">
        <f t="shared" si="144"/>
        <v>mailto: soilterrain@victoria1.gov.bc.ca</v>
      </c>
    </row>
    <row r="2022" spans="1:34">
      <c r="A2022" t="s">
        <v>4659</v>
      </c>
      <c r="B2022" t="s">
        <v>56</v>
      </c>
      <c r="C2022" s="10" t="s">
        <v>4653</v>
      </c>
      <c r="D2022" t="s">
        <v>58</v>
      </c>
      <c r="E2022" t="s">
        <v>4176</v>
      </c>
      <c r="F2022" t="s">
        <v>4660</v>
      </c>
      <c r="G2022">
        <v>25000</v>
      </c>
      <c r="H2022">
        <v>1985</v>
      </c>
      <c r="I2022" t="s">
        <v>58</v>
      </c>
      <c r="J2022" t="s">
        <v>58</v>
      </c>
      <c r="K2022" t="s">
        <v>58</v>
      </c>
      <c r="L2022" t="s">
        <v>58</v>
      </c>
      <c r="M2022" t="s">
        <v>58</v>
      </c>
      <c r="O2022" t="s">
        <v>61</v>
      </c>
      <c r="Q2022" t="s">
        <v>58</v>
      </c>
      <c r="R2022" s="11" t="str">
        <f>HYPERLINK("\\imagefiles.bcgov\imagery\scanned_maps\moe_terrain_maps\Scanned_T_maps_all\L08\L08-607","\\imagefiles.bcgov\imagery\scanned_maps\moe_terrain_maps\Scanned_T_maps_all\L08\L08-607")</f>
        <v>\\imagefiles.bcgov\imagery\scanned_maps\moe_terrain_maps\Scanned_T_maps_all\L08\L08-607</v>
      </c>
      <c r="S2022" t="s">
        <v>62</v>
      </c>
      <c r="T2022" s="11" t="str">
        <f>HYPERLINK("http://www.env.gov.bc.ca/esd/distdata/ecosystems/TEI_Scanned_Maps/L08/L08-607","http://www.env.gov.bc.ca/esd/distdata/ecosystems/TEI_Scanned_Maps/L08/L08-607")</f>
        <v>http://www.env.gov.bc.ca/esd/distdata/ecosystems/TEI_Scanned_Maps/L08/L08-607</v>
      </c>
      <c r="U2022" t="s">
        <v>58</v>
      </c>
      <c r="V2022" t="s">
        <v>58</v>
      </c>
      <c r="W2022" t="s">
        <v>58</v>
      </c>
      <c r="X2022" t="s">
        <v>58</v>
      </c>
      <c r="Y2022" t="s">
        <v>58</v>
      </c>
      <c r="Z2022" t="s">
        <v>58</v>
      </c>
      <c r="AA2022" t="s">
        <v>58</v>
      </c>
      <c r="AC2022" t="s">
        <v>58</v>
      </c>
      <c r="AE2022" t="s">
        <v>58</v>
      </c>
      <c r="AG2022" t="s">
        <v>63</v>
      </c>
      <c r="AH2022" s="11" t="str">
        <f t="shared" si="144"/>
        <v>mailto: soilterrain@victoria1.gov.bc.ca</v>
      </c>
    </row>
    <row r="2023" spans="1:34">
      <c r="A2023" t="s">
        <v>4661</v>
      </c>
      <c r="B2023" t="s">
        <v>56</v>
      </c>
      <c r="C2023" s="10" t="s">
        <v>4653</v>
      </c>
      <c r="D2023" t="s">
        <v>58</v>
      </c>
      <c r="E2023" t="s">
        <v>4176</v>
      </c>
      <c r="F2023" t="s">
        <v>4662</v>
      </c>
      <c r="G2023">
        <v>25000</v>
      </c>
      <c r="H2023" t="s">
        <v>187</v>
      </c>
      <c r="I2023" t="s">
        <v>58</v>
      </c>
      <c r="J2023" t="s">
        <v>58</v>
      </c>
      <c r="K2023" t="s">
        <v>58</v>
      </c>
      <c r="L2023" t="s">
        <v>58</v>
      </c>
      <c r="M2023" t="s">
        <v>58</v>
      </c>
      <c r="O2023" t="s">
        <v>61</v>
      </c>
      <c r="Q2023" t="s">
        <v>58</v>
      </c>
      <c r="R2023" s="11" t="str">
        <f>HYPERLINK("\\imagefiles.bcgov\imagery\scanned_maps\moe_terrain_maps\Scanned_T_maps_all\L08\L08-608","\\imagefiles.bcgov\imagery\scanned_maps\moe_terrain_maps\Scanned_T_maps_all\L08\L08-608")</f>
        <v>\\imagefiles.bcgov\imagery\scanned_maps\moe_terrain_maps\Scanned_T_maps_all\L08\L08-608</v>
      </c>
      <c r="S2023" t="s">
        <v>62</v>
      </c>
      <c r="T2023" s="11" t="str">
        <f>HYPERLINK("http://www.env.gov.bc.ca/esd/distdata/ecosystems/TEI_Scanned_Maps/L08/L08-608","http://www.env.gov.bc.ca/esd/distdata/ecosystems/TEI_Scanned_Maps/L08/L08-608")</f>
        <v>http://www.env.gov.bc.ca/esd/distdata/ecosystems/TEI_Scanned_Maps/L08/L08-608</v>
      </c>
      <c r="U2023" t="s">
        <v>58</v>
      </c>
      <c r="V2023" t="s">
        <v>58</v>
      </c>
      <c r="W2023" t="s">
        <v>58</v>
      </c>
      <c r="X2023" t="s">
        <v>58</v>
      </c>
      <c r="Y2023" t="s">
        <v>58</v>
      </c>
      <c r="Z2023" t="s">
        <v>58</v>
      </c>
      <c r="AA2023" t="s">
        <v>58</v>
      </c>
      <c r="AC2023" t="s">
        <v>58</v>
      </c>
      <c r="AE2023" t="s">
        <v>58</v>
      </c>
      <c r="AG2023" t="s">
        <v>63</v>
      </c>
      <c r="AH2023" s="11" t="str">
        <f t="shared" si="144"/>
        <v>mailto: soilterrain@victoria1.gov.bc.ca</v>
      </c>
    </row>
    <row r="2024" spans="1:34">
      <c r="A2024" t="s">
        <v>4663</v>
      </c>
      <c r="B2024" t="s">
        <v>56</v>
      </c>
      <c r="C2024" s="10" t="s">
        <v>1147</v>
      </c>
      <c r="D2024" t="s">
        <v>61</v>
      </c>
      <c r="E2024" t="s">
        <v>4176</v>
      </c>
      <c r="F2024" t="s">
        <v>4664</v>
      </c>
      <c r="G2024">
        <v>25000</v>
      </c>
      <c r="H2024" t="s">
        <v>187</v>
      </c>
      <c r="I2024" t="s">
        <v>58</v>
      </c>
      <c r="J2024" t="s">
        <v>58</v>
      </c>
      <c r="K2024" t="s">
        <v>58</v>
      </c>
      <c r="L2024" t="s">
        <v>58</v>
      </c>
      <c r="M2024" t="s">
        <v>58</v>
      </c>
      <c r="O2024" t="s">
        <v>61</v>
      </c>
      <c r="Q2024" t="s">
        <v>58</v>
      </c>
      <c r="R2024" s="11" t="str">
        <f>HYPERLINK("\\imagefiles.bcgov\imagery\scanned_maps\moe_terrain_maps\Scanned_T_maps_all\L08\L08-609","\\imagefiles.bcgov\imagery\scanned_maps\moe_terrain_maps\Scanned_T_maps_all\L08\L08-609")</f>
        <v>\\imagefiles.bcgov\imagery\scanned_maps\moe_terrain_maps\Scanned_T_maps_all\L08\L08-609</v>
      </c>
      <c r="S2024" t="s">
        <v>62</v>
      </c>
      <c r="T2024" s="11" t="str">
        <f>HYPERLINK("http://www.env.gov.bc.ca/esd/distdata/ecosystems/TEI_Scanned_Maps/L08/L08-609","http://www.env.gov.bc.ca/esd/distdata/ecosystems/TEI_Scanned_Maps/L08/L08-609")</f>
        <v>http://www.env.gov.bc.ca/esd/distdata/ecosystems/TEI_Scanned_Maps/L08/L08-609</v>
      </c>
      <c r="U2024" t="s">
        <v>58</v>
      </c>
      <c r="V2024" t="s">
        <v>58</v>
      </c>
      <c r="W2024" t="s">
        <v>58</v>
      </c>
      <c r="X2024" t="s">
        <v>58</v>
      </c>
      <c r="Y2024" t="s">
        <v>58</v>
      </c>
      <c r="Z2024" t="s">
        <v>58</v>
      </c>
      <c r="AA2024" t="s">
        <v>58</v>
      </c>
      <c r="AC2024" t="s">
        <v>58</v>
      </c>
      <c r="AE2024" t="s">
        <v>58</v>
      </c>
      <c r="AG2024" t="s">
        <v>63</v>
      </c>
      <c r="AH2024" s="11" t="str">
        <f t="shared" si="144"/>
        <v>mailto: soilterrain@victoria1.gov.bc.ca</v>
      </c>
    </row>
    <row r="2025" spans="1:34">
      <c r="A2025" t="s">
        <v>4665</v>
      </c>
      <c r="B2025" t="s">
        <v>56</v>
      </c>
      <c r="C2025" s="10" t="s">
        <v>1147</v>
      </c>
      <c r="D2025" t="s">
        <v>61</v>
      </c>
      <c r="E2025" t="s">
        <v>4176</v>
      </c>
      <c r="F2025" t="s">
        <v>4666</v>
      </c>
      <c r="G2025">
        <v>25000</v>
      </c>
      <c r="H2025" t="s">
        <v>187</v>
      </c>
      <c r="I2025" t="s">
        <v>58</v>
      </c>
      <c r="J2025" t="s">
        <v>58</v>
      </c>
      <c r="K2025" t="s">
        <v>58</v>
      </c>
      <c r="L2025" t="s">
        <v>58</v>
      </c>
      <c r="M2025" t="s">
        <v>58</v>
      </c>
      <c r="O2025" t="s">
        <v>61</v>
      </c>
      <c r="Q2025" t="s">
        <v>58</v>
      </c>
      <c r="R2025" s="11" t="str">
        <f>HYPERLINK("\\imagefiles.bcgov\imagery\scanned_maps\moe_terrain_maps\Scanned_T_maps_all\L08\L08-610","\\imagefiles.bcgov\imagery\scanned_maps\moe_terrain_maps\Scanned_T_maps_all\L08\L08-610")</f>
        <v>\\imagefiles.bcgov\imagery\scanned_maps\moe_terrain_maps\Scanned_T_maps_all\L08\L08-610</v>
      </c>
      <c r="S2025" t="s">
        <v>62</v>
      </c>
      <c r="T2025" s="11" t="str">
        <f>HYPERLINK("http://www.env.gov.bc.ca/esd/distdata/ecosystems/TEI_Scanned_Maps/L08/L08-610","http://www.env.gov.bc.ca/esd/distdata/ecosystems/TEI_Scanned_Maps/L08/L08-610")</f>
        <v>http://www.env.gov.bc.ca/esd/distdata/ecosystems/TEI_Scanned_Maps/L08/L08-610</v>
      </c>
      <c r="U2025" t="s">
        <v>58</v>
      </c>
      <c r="V2025" t="s">
        <v>58</v>
      </c>
      <c r="W2025" t="s">
        <v>58</v>
      </c>
      <c r="X2025" t="s">
        <v>58</v>
      </c>
      <c r="Y2025" t="s">
        <v>58</v>
      </c>
      <c r="Z2025" t="s">
        <v>58</v>
      </c>
      <c r="AA2025" t="s">
        <v>58</v>
      </c>
      <c r="AC2025" t="s">
        <v>58</v>
      </c>
      <c r="AE2025" t="s">
        <v>58</v>
      </c>
      <c r="AG2025" t="s">
        <v>63</v>
      </c>
      <c r="AH2025" s="11" t="str">
        <f t="shared" si="144"/>
        <v>mailto: soilterrain@victoria1.gov.bc.ca</v>
      </c>
    </row>
    <row r="2026" spans="1:34">
      <c r="A2026" t="s">
        <v>4667</v>
      </c>
      <c r="B2026" t="s">
        <v>56</v>
      </c>
      <c r="C2026" s="10" t="s">
        <v>1147</v>
      </c>
      <c r="D2026" t="s">
        <v>61</v>
      </c>
      <c r="E2026" t="s">
        <v>4176</v>
      </c>
      <c r="F2026" t="s">
        <v>4668</v>
      </c>
      <c r="G2026">
        <v>25000</v>
      </c>
      <c r="H2026">
        <v>1984</v>
      </c>
      <c r="I2026" t="s">
        <v>58</v>
      </c>
      <c r="J2026" t="s">
        <v>58</v>
      </c>
      <c r="K2026" t="s">
        <v>58</v>
      </c>
      <c r="L2026" t="s">
        <v>58</v>
      </c>
      <c r="M2026" t="s">
        <v>58</v>
      </c>
      <c r="O2026" t="s">
        <v>61</v>
      </c>
      <c r="Q2026" t="s">
        <v>58</v>
      </c>
      <c r="R2026" s="11" t="str">
        <f>HYPERLINK("\\imagefiles.bcgov\imagery\scanned_maps\moe_terrain_maps\Scanned_T_maps_all\L08\L08-611","\\imagefiles.bcgov\imagery\scanned_maps\moe_terrain_maps\Scanned_T_maps_all\L08\L08-611")</f>
        <v>\\imagefiles.bcgov\imagery\scanned_maps\moe_terrain_maps\Scanned_T_maps_all\L08\L08-611</v>
      </c>
      <c r="S2026" t="s">
        <v>62</v>
      </c>
      <c r="T2026" s="11" t="str">
        <f>HYPERLINK("http://www.env.gov.bc.ca/esd/distdata/ecosystems/TEI_Scanned_Maps/L08/L08-611","http://www.env.gov.bc.ca/esd/distdata/ecosystems/TEI_Scanned_Maps/L08/L08-611")</f>
        <v>http://www.env.gov.bc.ca/esd/distdata/ecosystems/TEI_Scanned_Maps/L08/L08-611</v>
      </c>
      <c r="U2026" t="s">
        <v>58</v>
      </c>
      <c r="V2026" t="s">
        <v>58</v>
      </c>
      <c r="W2026" t="s">
        <v>58</v>
      </c>
      <c r="X2026" t="s">
        <v>58</v>
      </c>
      <c r="Y2026" t="s">
        <v>58</v>
      </c>
      <c r="Z2026" t="s">
        <v>58</v>
      </c>
      <c r="AA2026" t="s">
        <v>58</v>
      </c>
      <c r="AC2026" t="s">
        <v>58</v>
      </c>
      <c r="AE2026" t="s">
        <v>58</v>
      </c>
      <c r="AG2026" t="s">
        <v>63</v>
      </c>
      <c r="AH2026" s="11" t="str">
        <f t="shared" si="144"/>
        <v>mailto: soilterrain@victoria1.gov.bc.ca</v>
      </c>
    </row>
    <row r="2027" spans="1:34">
      <c r="A2027" t="s">
        <v>4669</v>
      </c>
      <c r="B2027" t="s">
        <v>56</v>
      </c>
      <c r="C2027" s="10" t="s">
        <v>1147</v>
      </c>
      <c r="D2027" t="s">
        <v>61</v>
      </c>
      <c r="E2027" t="s">
        <v>4176</v>
      </c>
      <c r="F2027" t="s">
        <v>4670</v>
      </c>
      <c r="G2027">
        <v>25000</v>
      </c>
      <c r="H2027">
        <v>1985</v>
      </c>
      <c r="I2027" t="s">
        <v>58</v>
      </c>
      <c r="J2027" t="s">
        <v>58</v>
      </c>
      <c r="K2027" t="s">
        <v>58</v>
      </c>
      <c r="L2027" t="s">
        <v>58</v>
      </c>
      <c r="M2027" t="s">
        <v>58</v>
      </c>
      <c r="O2027" t="s">
        <v>61</v>
      </c>
      <c r="Q2027" t="s">
        <v>58</v>
      </c>
      <c r="R2027" s="11" t="str">
        <f>HYPERLINK("\\imagefiles.bcgov\imagery\scanned_maps\moe_terrain_maps\Scanned_T_maps_all\L08\L08-612","\\imagefiles.bcgov\imagery\scanned_maps\moe_terrain_maps\Scanned_T_maps_all\L08\L08-612")</f>
        <v>\\imagefiles.bcgov\imagery\scanned_maps\moe_terrain_maps\Scanned_T_maps_all\L08\L08-612</v>
      </c>
      <c r="S2027" t="s">
        <v>62</v>
      </c>
      <c r="T2027" s="11" t="str">
        <f>HYPERLINK("http://www.env.gov.bc.ca/esd/distdata/ecosystems/TEI_Scanned_Maps/L08/L08-612","http://www.env.gov.bc.ca/esd/distdata/ecosystems/TEI_Scanned_Maps/L08/L08-612")</f>
        <v>http://www.env.gov.bc.ca/esd/distdata/ecosystems/TEI_Scanned_Maps/L08/L08-612</v>
      </c>
      <c r="U2027" t="s">
        <v>58</v>
      </c>
      <c r="V2027" t="s">
        <v>58</v>
      </c>
      <c r="W2027" t="s">
        <v>58</v>
      </c>
      <c r="X2027" t="s">
        <v>58</v>
      </c>
      <c r="Y2027" t="s">
        <v>58</v>
      </c>
      <c r="Z2027" t="s">
        <v>58</v>
      </c>
      <c r="AA2027" t="s">
        <v>58</v>
      </c>
      <c r="AC2027" t="s">
        <v>58</v>
      </c>
      <c r="AE2027" t="s">
        <v>58</v>
      </c>
      <c r="AG2027" t="s">
        <v>63</v>
      </c>
      <c r="AH2027" s="11" t="str">
        <f t="shared" si="144"/>
        <v>mailto: soilterrain@victoria1.gov.bc.ca</v>
      </c>
    </row>
    <row r="2028" spans="1:34">
      <c r="A2028" t="s">
        <v>4671</v>
      </c>
      <c r="B2028" t="s">
        <v>56</v>
      </c>
      <c r="C2028" s="10" t="s">
        <v>1033</v>
      </c>
      <c r="D2028" t="s">
        <v>61</v>
      </c>
      <c r="E2028" t="s">
        <v>4176</v>
      </c>
      <c r="F2028" t="s">
        <v>4672</v>
      </c>
      <c r="G2028">
        <v>25000</v>
      </c>
      <c r="H2028" t="s">
        <v>187</v>
      </c>
      <c r="I2028" t="s">
        <v>58</v>
      </c>
      <c r="J2028" t="s">
        <v>58</v>
      </c>
      <c r="K2028" t="s">
        <v>58</v>
      </c>
      <c r="L2028" t="s">
        <v>58</v>
      </c>
      <c r="M2028" t="s">
        <v>58</v>
      </c>
      <c r="O2028" t="s">
        <v>61</v>
      </c>
      <c r="Q2028" t="s">
        <v>58</v>
      </c>
      <c r="R2028" s="11" t="str">
        <f>HYPERLINK("\\imagefiles.bcgov\imagery\scanned_maps\moe_terrain_maps\Scanned_T_maps_all\L08\L08-81","\\imagefiles.bcgov\imagery\scanned_maps\moe_terrain_maps\Scanned_T_maps_all\L08\L08-81")</f>
        <v>\\imagefiles.bcgov\imagery\scanned_maps\moe_terrain_maps\Scanned_T_maps_all\L08\L08-81</v>
      </c>
      <c r="S2028" t="s">
        <v>62</v>
      </c>
      <c r="T2028" s="11" t="str">
        <f>HYPERLINK("http://www.env.gov.bc.ca/esd/distdata/ecosystems/TEI_Scanned_Maps/L08/L08-81","http://www.env.gov.bc.ca/esd/distdata/ecosystems/TEI_Scanned_Maps/L08/L08-81")</f>
        <v>http://www.env.gov.bc.ca/esd/distdata/ecosystems/TEI_Scanned_Maps/L08/L08-81</v>
      </c>
      <c r="U2028" t="s">
        <v>269</v>
      </c>
      <c r="V2028" s="11" t="str">
        <f>HYPERLINK("http://www.library.for.gov.bc.ca/#focus","http://www.library.for.gov.bc.ca/#focus")</f>
        <v>http://www.library.for.gov.bc.ca/#focus</v>
      </c>
      <c r="W2028" t="s">
        <v>58</v>
      </c>
      <c r="X2028" t="s">
        <v>58</v>
      </c>
      <c r="Y2028" t="s">
        <v>58</v>
      </c>
      <c r="Z2028" t="s">
        <v>58</v>
      </c>
      <c r="AA2028" t="s">
        <v>58</v>
      </c>
      <c r="AC2028" t="s">
        <v>58</v>
      </c>
      <c r="AE2028" t="s">
        <v>58</v>
      </c>
      <c r="AG2028" t="s">
        <v>63</v>
      </c>
      <c r="AH2028" s="11" t="str">
        <f t="shared" si="144"/>
        <v>mailto: soilterrain@victoria1.gov.bc.ca</v>
      </c>
    </row>
    <row r="2029" spans="1:34">
      <c r="A2029" t="s">
        <v>4673</v>
      </c>
      <c r="B2029" t="s">
        <v>56</v>
      </c>
      <c r="C2029" s="10" t="s">
        <v>1033</v>
      </c>
      <c r="D2029" t="s">
        <v>61</v>
      </c>
      <c r="E2029" t="s">
        <v>4176</v>
      </c>
      <c r="F2029" t="s">
        <v>4674</v>
      </c>
      <c r="G2029">
        <v>25000</v>
      </c>
      <c r="H2029" t="s">
        <v>187</v>
      </c>
      <c r="I2029" t="s">
        <v>4607</v>
      </c>
      <c r="J2029" t="s">
        <v>58</v>
      </c>
      <c r="K2029" t="s">
        <v>58</v>
      </c>
      <c r="L2029" t="s">
        <v>58</v>
      </c>
      <c r="M2029" t="s">
        <v>58</v>
      </c>
      <c r="O2029" t="s">
        <v>61</v>
      </c>
      <c r="Q2029" t="s">
        <v>58</v>
      </c>
      <c r="R2029" s="11" t="str">
        <f>HYPERLINK("\\imagefiles.bcgov\imagery\scanned_maps\moe_terrain_maps\Scanned_T_maps_all\L08\L08-82","\\imagefiles.bcgov\imagery\scanned_maps\moe_terrain_maps\Scanned_T_maps_all\L08\L08-82")</f>
        <v>\\imagefiles.bcgov\imagery\scanned_maps\moe_terrain_maps\Scanned_T_maps_all\L08\L08-82</v>
      </c>
      <c r="S2029" t="s">
        <v>62</v>
      </c>
      <c r="T2029" s="11" t="str">
        <f>HYPERLINK("http://www.env.gov.bc.ca/esd/distdata/ecosystems/TEI_Scanned_Maps/L08/L08-82","http://www.env.gov.bc.ca/esd/distdata/ecosystems/TEI_Scanned_Maps/L08/L08-82")</f>
        <v>http://www.env.gov.bc.ca/esd/distdata/ecosystems/TEI_Scanned_Maps/L08/L08-82</v>
      </c>
      <c r="U2029" t="s">
        <v>269</v>
      </c>
      <c r="V2029" s="11" t="str">
        <f>HYPERLINK("http://www.library.for.gov.bc.ca/#focus","http://www.library.for.gov.bc.ca/#focus")</f>
        <v>http://www.library.for.gov.bc.ca/#focus</v>
      </c>
      <c r="W2029" t="s">
        <v>58</v>
      </c>
      <c r="X2029" t="s">
        <v>58</v>
      </c>
      <c r="Y2029" t="s">
        <v>58</v>
      </c>
      <c r="Z2029" t="s">
        <v>58</v>
      </c>
      <c r="AA2029" t="s">
        <v>58</v>
      </c>
      <c r="AC2029" t="s">
        <v>58</v>
      </c>
      <c r="AE2029" t="s">
        <v>58</v>
      </c>
      <c r="AG2029" t="s">
        <v>63</v>
      </c>
      <c r="AH2029" s="11" t="str">
        <f t="shared" si="144"/>
        <v>mailto: soilterrain@victoria1.gov.bc.ca</v>
      </c>
    </row>
    <row r="2030" spans="1:34">
      <c r="A2030" t="s">
        <v>4675</v>
      </c>
      <c r="B2030" t="s">
        <v>56</v>
      </c>
      <c r="C2030" s="10" t="s">
        <v>1033</v>
      </c>
      <c r="D2030" t="s">
        <v>61</v>
      </c>
      <c r="E2030" t="s">
        <v>4176</v>
      </c>
      <c r="F2030" t="s">
        <v>4676</v>
      </c>
      <c r="G2030">
        <v>25000</v>
      </c>
      <c r="H2030" t="s">
        <v>187</v>
      </c>
      <c r="I2030" t="s">
        <v>4607</v>
      </c>
      <c r="J2030" t="s">
        <v>58</v>
      </c>
      <c r="K2030" t="s">
        <v>58</v>
      </c>
      <c r="L2030" t="s">
        <v>58</v>
      </c>
      <c r="M2030" t="s">
        <v>58</v>
      </c>
      <c r="O2030" t="s">
        <v>61</v>
      </c>
      <c r="Q2030" t="s">
        <v>58</v>
      </c>
      <c r="R2030" s="11" t="str">
        <f>HYPERLINK("\\imagefiles.bcgov\imagery\scanned_maps\moe_terrain_maps\Scanned_T_maps_all\L08\L08-83","\\imagefiles.bcgov\imagery\scanned_maps\moe_terrain_maps\Scanned_T_maps_all\L08\L08-83")</f>
        <v>\\imagefiles.bcgov\imagery\scanned_maps\moe_terrain_maps\Scanned_T_maps_all\L08\L08-83</v>
      </c>
      <c r="S2030" t="s">
        <v>62</v>
      </c>
      <c r="T2030" s="11" t="str">
        <f>HYPERLINK("http://www.env.gov.bc.ca/esd/distdata/ecosystems/TEI_Scanned_Maps/L08/L08-83","http://www.env.gov.bc.ca/esd/distdata/ecosystems/TEI_Scanned_Maps/L08/L08-83")</f>
        <v>http://www.env.gov.bc.ca/esd/distdata/ecosystems/TEI_Scanned_Maps/L08/L08-83</v>
      </c>
      <c r="U2030" t="s">
        <v>269</v>
      </c>
      <c r="V2030" s="11" t="str">
        <f>HYPERLINK("http://www.library.for.gov.bc.ca/#focus","http://www.library.for.gov.bc.ca/#focus")</f>
        <v>http://www.library.for.gov.bc.ca/#focus</v>
      </c>
      <c r="W2030" t="s">
        <v>58</v>
      </c>
      <c r="X2030" t="s">
        <v>58</v>
      </c>
      <c r="Y2030" t="s">
        <v>58</v>
      </c>
      <c r="Z2030" t="s">
        <v>58</v>
      </c>
      <c r="AA2030" t="s">
        <v>58</v>
      </c>
      <c r="AC2030" t="s">
        <v>58</v>
      </c>
      <c r="AE2030" t="s">
        <v>58</v>
      </c>
      <c r="AG2030" t="s">
        <v>63</v>
      </c>
      <c r="AH2030" s="11" t="str">
        <f t="shared" si="144"/>
        <v>mailto: soilterrain@victoria1.gov.bc.ca</v>
      </c>
    </row>
    <row r="2031" spans="1:34">
      <c r="A2031" t="s">
        <v>4677</v>
      </c>
      <c r="B2031" t="s">
        <v>56</v>
      </c>
      <c r="C2031" s="10" t="s">
        <v>1033</v>
      </c>
      <c r="D2031" t="s">
        <v>61</v>
      </c>
      <c r="E2031" t="s">
        <v>4176</v>
      </c>
      <c r="F2031" t="s">
        <v>4678</v>
      </c>
      <c r="G2031">
        <v>25000</v>
      </c>
      <c r="H2031" t="s">
        <v>187</v>
      </c>
      <c r="I2031" t="s">
        <v>4607</v>
      </c>
      <c r="J2031" t="s">
        <v>58</v>
      </c>
      <c r="K2031" t="s">
        <v>58</v>
      </c>
      <c r="L2031" t="s">
        <v>58</v>
      </c>
      <c r="M2031" t="s">
        <v>58</v>
      </c>
      <c r="O2031" t="s">
        <v>61</v>
      </c>
      <c r="Q2031" t="s">
        <v>58</v>
      </c>
      <c r="R2031" s="11" t="str">
        <f>HYPERLINK("\\imagefiles.bcgov\imagery\scanned_maps\moe_terrain_maps\Scanned_T_maps_all\L08\L08-84","\\imagefiles.bcgov\imagery\scanned_maps\moe_terrain_maps\Scanned_T_maps_all\L08\L08-84")</f>
        <v>\\imagefiles.bcgov\imagery\scanned_maps\moe_terrain_maps\Scanned_T_maps_all\L08\L08-84</v>
      </c>
      <c r="S2031" t="s">
        <v>62</v>
      </c>
      <c r="T2031" s="11" t="str">
        <f>HYPERLINK("http://www.env.gov.bc.ca/esd/distdata/ecosystems/TEI_Scanned_Maps/L08/L08-84","http://www.env.gov.bc.ca/esd/distdata/ecosystems/TEI_Scanned_Maps/L08/L08-84")</f>
        <v>http://www.env.gov.bc.ca/esd/distdata/ecosystems/TEI_Scanned_Maps/L08/L08-84</v>
      </c>
      <c r="U2031" t="s">
        <v>269</v>
      </c>
      <c r="V2031" s="11" t="str">
        <f>HYPERLINK("http://www.library.for.gov.bc.ca/#focus","http://www.library.for.gov.bc.ca/#focus")</f>
        <v>http://www.library.for.gov.bc.ca/#focus</v>
      </c>
      <c r="W2031" t="s">
        <v>58</v>
      </c>
      <c r="X2031" t="s">
        <v>58</v>
      </c>
      <c r="Y2031" t="s">
        <v>58</v>
      </c>
      <c r="Z2031" t="s">
        <v>58</v>
      </c>
      <c r="AA2031" t="s">
        <v>58</v>
      </c>
      <c r="AC2031" t="s">
        <v>58</v>
      </c>
      <c r="AE2031" t="s">
        <v>58</v>
      </c>
      <c r="AG2031" t="s">
        <v>63</v>
      </c>
      <c r="AH2031" s="11" t="str">
        <f t="shared" si="144"/>
        <v>mailto: soilterrain@victoria1.gov.bc.ca</v>
      </c>
    </row>
    <row r="2032" spans="1:34">
      <c r="A2032" t="s">
        <v>4679</v>
      </c>
      <c r="B2032" t="s">
        <v>56</v>
      </c>
      <c r="C2032" s="10" t="s">
        <v>1033</v>
      </c>
      <c r="D2032" t="s">
        <v>61</v>
      </c>
      <c r="E2032" t="s">
        <v>4176</v>
      </c>
      <c r="F2032" t="s">
        <v>4680</v>
      </c>
      <c r="G2032">
        <v>25000</v>
      </c>
      <c r="H2032">
        <v>1984</v>
      </c>
      <c r="I2032" t="s">
        <v>4607</v>
      </c>
      <c r="J2032" t="s">
        <v>58</v>
      </c>
      <c r="K2032" t="s">
        <v>58</v>
      </c>
      <c r="L2032" t="s">
        <v>58</v>
      </c>
      <c r="M2032" t="s">
        <v>58</v>
      </c>
      <c r="O2032" t="s">
        <v>61</v>
      </c>
      <c r="Q2032" t="s">
        <v>58</v>
      </c>
      <c r="R2032" s="11" t="str">
        <f>HYPERLINK("\\imagefiles.bcgov\imagery\scanned_maps\moe_terrain_maps\Scanned_T_maps_all\L08\L08-85","\\imagefiles.bcgov\imagery\scanned_maps\moe_terrain_maps\Scanned_T_maps_all\L08\L08-85")</f>
        <v>\\imagefiles.bcgov\imagery\scanned_maps\moe_terrain_maps\Scanned_T_maps_all\L08\L08-85</v>
      </c>
      <c r="S2032" t="s">
        <v>62</v>
      </c>
      <c r="T2032" s="11" t="str">
        <f>HYPERLINK("http://www.env.gov.bc.ca/esd/distdata/ecosystems/TEI_Scanned_Maps/L08/L08-85","http://www.env.gov.bc.ca/esd/distdata/ecosystems/TEI_Scanned_Maps/L08/L08-85")</f>
        <v>http://www.env.gov.bc.ca/esd/distdata/ecosystems/TEI_Scanned_Maps/L08/L08-85</v>
      </c>
      <c r="U2032" t="s">
        <v>58</v>
      </c>
      <c r="V2032" t="s">
        <v>58</v>
      </c>
      <c r="W2032" t="s">
        <v>58</v>
      </c>
      <c r="X2032" t="s">
        <v>58</v>
      </c>
      <c r="Y2032" t="s">
        <v>58</v>
      </c>
      <c r="Z2032" t="s">
        <v>58</v>
      </c>
      <c r="AA2032" t="s">
        <v>58</v>
      </c>
      <c r="AC2032" t="s">
        <v>58</v>
      </c>
      <c r="AE2032" t="s">
        <v>58</v>
      </c>
      <c r="AG2032" t="s">
        <v>63</v>
      </c>
      <c r="AH2032" s="11" t="str">
        <f t="shared" si="144"/>
        <v>mailto: soilterrain@victoria1.gov.bc.ca</v>
      </c>
    </row>
    <row r="2033" spans="1:34">
      <c r="A2033" t="s">
        <v>4681</v>
      </c>
      <c r="B2033" t="s">
        <v>56</v>
      </c>
      <c r="C2033" s="10" t="s">
        <v>4682</v>
      </c>
      <c r="D2033" t="s">
        <v>58</v>
      </c>
      <c r="E2033" t="s">
        <v>4176</v>
      </c>
      <c r="F2033" t="s">
        <v>4683</v>
      </c>
      <c r="G2033">
        <v>25000</v>
      </c>
      <c r="H2033">
        <v>1985</v>
      </c>
      <c r="I2033" t="s">
        <v>4607</v>
      </c>
      <c r="J2033" t="s">
        <v>58</v>
      </c>
      <c r="K2033" t="s">
        <v>58</v>
      </c>
      <c r="L2033" t="s">
        <v>58</v>
      </c>
      <c r="M2033" t="s">
        <v>58</v>
      </c>
      <c r="O2033" t="s">
        <v>61</v>
      </c>
      <c r="Q2033" t="s">
        <v>58</v>
      </c>
      <c r="R2033" s="11" t="str">
        <f>HYPERLINK("\\imagefiles.bcgov\imagery\scanned_maps\moe_terrain_maps\Scanned_T_maps_all\L08\L08-86","\\imagefiles.bcgov\imagery\scanned_maps\moe_terrain_maps\Scanned_T_maps_all\L08\L08-86")</f>
        <v>\\imagefiles.bcgov\imagery\scanned_maps\moe_terrain_maps\Scanned_T_maps_all\L08\L08-86</v>
      </c>
      <c r="S2033" t="s">
        <v>62</v>
      </c>
      <c r="T2033" s="11" t="str">
        <f>HYPERLINK("http://www.env.gov.bc.ca/esd/distdata/ecosystems/TEI_Scanned_Maps/L08/L08-86","http://www.env.gov.bc.ca/esd/distdata/ecosystems/TEI_Scanned_Maps/L08/L08-86")</f>
        <v>http://www.env.gov.bc.ca/esd/distdata/ecosystems/TEI_Scanned_Maps/L08/L08-86</v>
      </c>
      <c r="U2033" t="s">
        <v>58</v>
      </c>
      <c r="V2033" t="s">
        <v>58</v>
      </c>
      <c r="W2033" t="s">
        <v>58</v>
      </c>
      <c r="X2033" t="s">
        <v>58</v>
      </c>
      <c r="Y2033" t="s">
        <v>58</v>
      </c>
      <c r="Z2033" t="s">
        <v>58</v>
      </c>
      <c r="AA2033" t="s">
        <v>58</v>
      </c>
      <c r="AC2033" t="s">
        <v>58</v>
      </c>
      <c r="AE2033" t="s">
        <v>58</v>
      </c>
      <c r="AG2033" t="s">
        <v>63</v>
      </c>
      <c r="AH2033" s="11" t="str">
        <f t="shared" si="144"/>
        <v>mailto: soilterrain@victoria1.gov.bc.ca</v>
      </c>
    </row>
    <row r="2034" spans="1:34">
      <c r="A2034" t="s">
        <v>4684</v>
      </c>
      <c r="B2034" t="s">
        <v>56</v>
      </c>
      <c r="C2034" s="10" t="s">
        <v>4682</v>
      </c>
      <c r="D2034" t="s">
        <v>58</v>
      </c>
      <c r="E2034" t="s">
        <v>4176</v>
      </c>
      <c r="F2034" t="s">
        <v>4685</v>
      </c>
      <c r="G2034">
        <v>25000</v>
      </c>
      <c r="H2034" t="s">
        <v>187</v>
      </c>
      <c r="I2034" t="s">
        <v>4607</v>
      </c>
      <c r="J2034" t="s">
        <v>58</v>
      </c>
      <c r="K2034" t="s">
        <v>58</v>
      </c>
      <c r="L2034" t="s">
        <v>58</v>
      </c>
      <c r="M2034" t="s">
        <v>58</v>
      </c>
      <c r="O2034" t="s">
        <v>61</v>
      </c>
      <c r="Q2034" t="s">
        <v>58</v>
      </c>
      <c r="R2034" s="11" t="str">
        <f>HYPERLINK("\\imagefiles.bcgov\imagery\scanned_maps\moe_terrain_maps\Scanned_T_maps_all\L08\L08-87","\\imagefiles.bcgov\imagery\scanned_maps\moe_terrain_maps\Scanned_T_maps_all\L08\L08-87")</f>
        <v>\\imagefiles.bcgov\imagery\scanned_maps\moe_terrain_maps\Scanned_T_maps_all\L08\L08-87</v>
      </c>
      <c r="S2034" t="s">
        <v>62</v>
      </c>
      <c r="T2034" s="11" t="str">
        <f>HYPERLINK("http://www.env.gov.bc.ca/esd/distdata/ecosystems/TEI_Scanned_Maps/L08/L08-87","http://www.env.gov.bc.ca/esd/distdata/ecosystems/TEI_Scanned_Maps/L08/L08-87")</f>
        <v>http://www.env.gov.bc.ca/esd/distdata/ecosystems/TEI_Scanned_Maps/L08/L08-87</v>
      </c>
      <c r="U2034" t="s">
        <v>269</v>
      </c>
      <c r="V2034" s="11" t="str">
        <f>HYPERLINK("http://www.library.for.gov.bc.ca/#focus","http://www.library.for.gov.bc.ca/#focus")</f>
        <v>http://www.library.for.gov.bc.ca/#focus</v>
      </c>
      <c r="W2034" t="s">
        <v>58</v>
      </c>
      <c r="X2034" t="s">
        <v>58</v>
      </c>
      <c r="Y2034" t="s">
        <v>58</v>
      </c>
      <c r="Z2034" t="s">
        <v>58</v>
      </c>
      <c r="AA2034" t="s">
        <v>58</v>
      </c>
      <c r="AC2034" t="s">
        <v>58</v>
      </c>
      <c r="AE2034" t="s">
        <v>58</v>
      </c>
      <c r="AG2034" t="s">
        <v>63</v>
      </c>
      <c r="AH2034" s="11" t="str">
        <f t="shared" si="144"/>
        <v>mailto: soilterrain@victoria1.gov.bc.ca</v>
      </c>
    </row>
    <row r="2035" spans="1:34">
      <c r="A2035" t="s">
        <v>4686</v>
      </c>
      <c r="B2035" t="s">
        <v>56</v>
      </c>
      <c r="C2035" s="10" t="s">
        <v>4682</v>
      </c>
      <c r="D2035" t="s">
        <v>58</v>
      </c>
      <c r="E2035" t="s">
        <v>4176</v>
      </c>
      <c r="F2035" t="s">
        <v>4687</v>
      </c>
      <c r="G2035">
        <v>25000</v>
      </c>
      <c r="H2035" t="s">
        <v>187</v>
      </c>
      <c r="I2035" t="s">
        <v>4607</v>
      </c>
      <c r="J2035" t="s">
        <v>58</v>
      </c>
      <c r="K2035" t="s">
        <v>58</v>
      </c>
      <c r="L2035" t="s">
        <v>58</v>
      </c>
      <c r="M2035" t="s">
        <v>58</v>
      </c>
      <c r="O2035" t="s">
        <v>61</v>
      </c>
      <c r="Q2035" t="s">
        <v>58</v>
      </c>
      <c r="R2035" s="11" t="str">
        <f>HYPERLINK("\\imagefiles.bcgov\imagery\scanned_maps\moe_terrain_maps\Scanned_T_maps_all\L08\L08-88","\\imagefiles.bcgov\imagery\scanned_maps\moe_terrain_maps\Scanned_T_maps_all\L08\L08-88")</f>
        <v>\\imagefiles.bcgov\imagery\scanned_maps\moe_terrain_maps\Scanned_T_maps_all\L08\L08-88</v>
      </c>
      <c r="S2035" t="s">
        <v>62</v>
      </c>
      <c r="T2035" s="11" t="str">
        <f>HYPERLINK("http://www.env.gov.bc.ca/esd/distdata/ecosystems/TEI_Scanned_Maps/L08/L08-88","http://www.env.gov.bc.ca/esd/distdata/ecosystems/TEI_Scanned_Maps/L08/L08-88")</f>
        <v>http://www.env.gov.bc.ca/esd/distdata/ecosystems/TEI_Scanned_Maps/L08/L08-88</v>
      </c>
      <c r="U2035" t="s">
        <v>58</v>
      </c>
      <c r="V2035" t="s">
        <v>58</v>
      </c>
      <c r="W2035" t="s">
        <v>58</v>
      </c>
      <c r="X2035" t="s">
        <v>58</v>
      </c>
      <c r="Y2035" t="s">
        <v>58</v>
      </c>
      <c r="Z2035" t="s">
        <v>58</v>
      </c>
      <c r="AA2035" t="s">
        <v>58</v>
      </c>
      <c r="AC2035" t="s">
        <v>58</v>
      </c>
      <c r="AE2035" t="s">
        <v>58</v>
      </c>
      <c r="AG2035" t="s">
        <v>63</v>
      </c>
      <c r="AH2035" s="11" t="str">
        <f t="shared" si="144"/>
        <v>mailto: soilterrain@victoria1.gov.bc.ca</v>
      </c>
    </row>
    <row r="2036" spans="1:34">
      <c r="A2036" t="s">
        <v>4688</v>
      </c>
      <c r="B2036" t="s">
        <v>56</v>
      </c>
      <c r="C2036" s="10" t="s">
        <v>4682</v>
      </c>
      <c r="D2036" t="s">
        <v>58</v>
      </c>
      <c r="E2036" t="s">
        <v>4176</v>
      </c>
      <c r="F2036" t="s">
        <v>4689</v>
      </c>
      <c r="G2036">
        <v>25000</v>
      </c>
      <c r="H2036" t="s">
        <v>187</v>
      </c>
      <c r="I2036" t="s">
        <v>4607</v>
      </c>
      <c r="J2036" t="s">
        <v>58</v>
      </c>
      <c r="K2036" t="s">
        <v>58</v>
      </c>
      <c r="L2036" t="s">
        <v>58</v>
      </c>
      <c r="M2036" t="s">
        <v>58</v>
      </c>
      <c r="O2036" t="s">
        <v>61</v>
      </c>
      <c r="Q2036" t="s">
        <v>58</v>
      </c>
      <c r="R2036" s="11" t="str">
        <f>HYPERLINK("\\imagefiles.bcgov\imagery\scanned_maps\moe_terrain_maps\Scanned_T_maps_all\L08\L08-89","\\imagefiles.bcgov\imagery\scanned_maps\moe_terrain_maps\Scanned_T_maps_all\L08\L08-89")</f>
        <v>\\imagefiles.bcgov\imagery\scanned_maps\moe_terrain_maps\Scanned_T_maps_all\L08\L08-89</v>
      </c>
      <c r="S2036" t="s">
        <v>62</v>
      </c>
      <c r="T2036" s="11" t="str">
        <f>HYPERLINK("http://www.env.gov.bc.ca/esd/distdata/ecosystems/TEI_Scanned_Maps/L08/L08-89","http://www.env.gov.bc.ca/esd/distdata/ecosystems/TEI_Scanned_Maps/L08/L08-89")</f>
        <v>http://www.env.gov.bc.ca/esd/distdata/ecosystems/TEI_Scanned_Maps/L08/L08-89</v>
      </c>
      <c r="U2036" t="s">
        <v>58</v>
      </c>
      <c r="V2036" t="s">
        <v>58</v>
      </c>
      <c r="W2036" t="s">
        <v>58</v>
      </c>
      <c r="X2036" t="s">
        <v>58</v>
      </c>
      <c r="Y2036" t="s">
        <v>58</v>
      </c>
      <c r="Z2036" t="s">
        <v>58</v>
      </c>
      <c r="AA2036" t="s">
        <v>58</v>
      </c>
      <c r="AC2036" t="s">
        <v>58</v>
      </c>
      <c r="AE2036" t="s">
        <v>58</v>
      </c>
      <c r="AG2036" t="s">
        <v>63</v>
      </c>
      <c r="AH2036" s="11" t="str">
        <f t="shared" si="144"/>
        <v>mailto: soilterrain@victoria1.gov.bc.ca</v>
      </c>
    </row>
    <row r="2037" spans="1:34">
      <c r="A2037" t="s">
        <v>4690</v>
      </c>
      <c r="B2037" t="s">
        <v>56</v>
      </c>
      <c r="C2037" s="10" t="s">
        <v>4613</v>
      </c>
      <c r="D2037" t="s">
        <v>58</v>
      </c>
      <c r="E2037" t="s">
        <v>4176</v>
      </c>
      <c r="F2037" t="s">
        <v>4691</v>
      </c>
      <c r="G2037">
        <v>25000</v>
      </c>
      <c r="H2037">
        <v>1984</v>
      </c>
      <c r="I2037" t="s">
        <v>4607</v>
      </c>
      <c r="J2037" t="s">
        <v>58</v>
      </c>
      <c r="K2037" t="s">
        <v>58</v>
      </c>
      <c r="L2037" t="s">
        <v>58</v>
      </c>
      <c r="M2037" t="s">
        <v>58</v>
      </c>
      <c r="O2037" t="s">
        <v>61</v>
      </c>
      <c r="Q2037" t="s">
        <v>58</v>
      </c>
      <c r="R2037" s="11" t="str">
        <f>HYPERLINK("\\imagefiles.bcgov\imagery\scanned_maps\moe_terrain_maps\Scanned_T_maps_all\L08\L08-90","\\imagefiles.bcgov\imagery\scanned_maps\moe_terrain_maps\Scanned_T_maps_all\L08\L08-90")</f>
        <v>\\imagefiles.bcgov\imagery\scanned_maps\moe_terrain_maps\Scanned_T_maps_all\L08\L08-90</v>
      </c>
      <c r="S2037" t="s">
        <v>62</v>
      </c>
      <c r="T2037" s="11" t="str">
        <f>HYPERLINK("http://www.env.gov.bc.ca/esd/distdata/ecosystems/TEI_Scanned_Maps/L08/L08-90","http://www.env.gov.bc.ca/esd/distdata/ecosystems/TEI_Scanned_Maps/L08/L08-90")</f>
        <v>http://www.env.gov.bc.ca/esd/distdata/ecosystems/TEI_Scanned_Maps/L08/L08-90</v>
      </c>
      <c r="U2037" t="s">
        <v>58</v>
      </c>
      <c r="V2037" t="s">
        <v>58</v>
      </c>
      <c r="W2037" t="s">
        <v>58</v>
      </c>
      <c r="X2037" t="s">
        <v>58</v>
      </c>
      <c r="Y2037" t="s">
        <v>58</v>
      </c>
      <c r="Z2037" t="s">
        <v>58</v>
      </c>
      <c r="AA2037" t="s">
        <v>58</v>
      </c>
      <c r="AC2037" t="s">
        <v>58</v>
      </c>
      <c r="AE2037" t="s">
        <v>58</v>
      </c>
      <c r="AG2037" t="s">
        <v>63</v>
      </c>
      <c r="AH2037" s="11" t="str">
        <f t="shared" si="144"/>
        <v>mailto: soilterrain@victoria1.gov.bc.ca</v>
      </c>
    </row>
    <row r="2038" spans="1:34">
      <c r="A2038" t="s">
        <v>4692</v>
      </c>
      <c r="B2038" t="s">
        <v>56</v>
      </c>
      <c r="C2038" s="10" t="s">
        <v>4682</v>
      </c>
      <c r="D2038" t="s">
        <v>58</v>
      </c>
      <c r="E2038" t="s">
        <v>4176</v>
      </c>
      <c r="F2038" t="s">
        <v>4693</v>
      </c>
      <c r="G2038">
        <v>25000</v>
      </c>
      <c r="H2038">
        <v>1985</v>
      </c>
      <c r="I2038" t="s">
        <v>4607</v>
      </c>
      <c r="J2038" t="s">
        <v>58</v>
      </c>
      <c r="K2038" t="s">
        <v>58</v>
      </c>
      <c r="L2038" t="s">
        <v>58</v>
      </c>
      <c r="M2038" t="s">
        <v>58</v>
      </c>
      <c r="O2038" t="s">
        <v>61</v>
      </c>
      <c r="Q2038" t="s">
        <v>58</v>
      </c>
      <c r="R2038" s="11" t="str">
        <f>HYPERLINK("\\imagefiles.bcgov\imagery\scanned_maps\moe_terrain_maps\Scanned_T_maps_all\L08\L08-91","\\imagefiles.bcgov\imagery\scanned_maps\moe_terrain_maps\Scanned_T_maps_all\L08\L08-91")</f>
        <v>\\imagefiles.bcgov\imagery\scanned_maps\moe_terrain_maps\Scanned_T_maps_all\L08\L08-91</v>
      </c>
      <c r="S2038" t="s">
        <v>62</v>
      </c>
      <c r="T2038" s="11" t="str">
        <f>HYPERLINK("http://www.env.gov.bc.ca/esd/distdata/ecosystems/TEI_Scanned_Maps/L08/L08-91","http://www.env.gov.bc.ca/esd/distdata/ecosystems/TEI_Scanned_Maps/L08/L08-91")</f>
        <v>http://www.env.gov.bc.ca/esd/distdata/ecosystems/TEI_Scanned_Maps/L08/L08-91</v>
      </c>
      <c r="U2038" t="s">
        <v>58</v>
      </c>
      <c r="V2038" t="s">
        <v>58</v>
      </c>
      <c r="W2038" t="s">
        <v>58</v>
      </c>
      <c r="X2038" t="s">
        <v>58</v>
      </c>
      <c r="Y2038" t="s">
        <v>58</v>
      </c>
      <c r="Z2038" t="s">
        <v>58</v>
      </c>
      <c r="AA2038" t="s">
        <v>58</v>
      </c>
      <c r="AC2038" t="s">
        <v>58</v>
      </c>
      <c r="AE2038" t="s">
        <v>58</v>
      </c>
      <c r="AG2038" t="s">
        <v>63</v>
      </c>
      <c r="AH2038" s="11" t="str">
        <f t="shared" si="144"/>
        <v>mailto: soilterrain@victoria1.gov.bc.ca</v>
      </c>
    </row>
    <row r="2039" spans="1:34">
      <c r="A2039" t="s">
        <v>4694</v>
      </c>
      <c r="B2039" t="s">
        <v>56</v>
      </c>
      <c r="C2039" s="10" t="s">
        <v>1019</v>
      </c>
      <c r="D2039" t="s">
        <v>61</v>
      </c>
      <c r="E2039" t="s">
        <v>4176</v>
      </c>
      <c r="F2039" t="s">
        <v>4695</v>
      </c>
      <c r="G2039">
        <v>25000</v>
      </c>
      <c r="H2039" t="s">
        <v>187</v>
      </c>
      <c r="I2039" t="s">
        <v>4607</v>
      </c>
      <c r="J2039" t="s">
        <v>58</v>
      </c>
      <c r="K2039" t="s">
        <v>58</v>
      </c>
      <c r="L2039" t="s">
        <v>58</v>
      </c>
      <c r="M2039" t="s">
        <v>58</v>
      </c>
      <c r="O2039" t="s">
        <v>61</v>
      </c>
      <c r="Q2039" t="s">
        <v>58</v>
      </c>
      <c r="R2039" s="11" t="str">
        <f>HYPERLINK("\\imagefiles.bcgov\imagery\scanned_maps\moe_terrain_maps\Scanned_T_maps_all\L08\L08-92","\\imagefiles.bcgov\imagery\scanned_maps\moe_terrain_maps\Scanned_T_maps_all\L08\L08-92")</f>
        <v>\\imagefiles.bcgov\imagery\scanned_maps\moe_terrain_maps\Scanned_T_maps_all\L08\L08-92</v>
      </c>
      <c r="S2039" t="s">
        <v>62</v>
      </c>
      <c r="T2039" s="11" t="str">
        <f>HYPERLINK("http://www.env.gov.bc.ca/esd/distdata/ecosystems/TEI_Scanned_Maps/L08/L08-92","http://www.env.gov.bc.ca/esd/distdata/ecosystems/TEI_Scanned_Maps/L08/L08-92")</f>
        <v>http://www.env.gov.bc.ca/esd/distdata/ecosystems/TEI_Scanned_Maps/L08/L08-92</v>
      </c>
      <c r="U2039" t="s">
        <v>58</v>
      </c>
      <c r="V2039" t="s">
        <v>58</v>
      </c>
      <c r="W2039" t="s">
        <v>58</v>
      </c>
      <c r="X2039" t="s">
        <v>58</v>
      </c>
      <c r="Y2039" t="s">
        <v>58</v>
      </c>
      <c r="Z2039" t="s">
        <v>58</v>
      </c>
      <c r="AA2039" t="s">
        <v>58</v>
      </c>
      <c r="AC2039" t="s">
        <v>58</v>
      </c>
      <c r="AE2039" t="s">
        <v>58</v>
      </c>
      <c r="AG2039" t="s">
        <v>63</v>
      </c>
      <c r="AH2039" s="11" t="str">
        <f t="shared" si="144"/>
        <v>mailto: soilterrain@victoria1.gov.bc.ca</v>
      </c>
    </row>
    <row r="2040" spans="1:34">
      <c r="A2040" t="s">
        <v>4696</v>
      </c>
      <c r="B2040" t="s">
        <v>56</v>
      </c>
      <c r="C2040" s="10" t="s">
        <v>1019</v>
      </c>
      <c r="D2040" t="s">
        <v>61</v>
      </c>
      <c r="E2040" t="s">
        <v>4176</v>
      </c>
      <c r="F2040" t="s">
        <v>4697</v>
      </c>
      <c r="G2040">
        <v>25000</v>
      </c>
      <c r="H2040" t="s">
        <v>187</v>
      </c>
      <c r="I2040" t="s">
        <v>4607</v>
      </c>
      <c r="J2040" t="s">
        <v>58</v>
      </c>
      <c r="K2040" t="s">
        <v>58</v>
      </c>
      <c r="L2040" t="s">
        <v>58</v>
      </c>
      <c r="M2040" t="s">
        <v>58</v>
      </c>
      <c r="O2040" t="s">
        <v>61</v>
      </c>
      <c r="Q2040" t="s">
        <v>58</v>
      </c>
      <c r="R2040" s="11" t="str">
        <f>HYPERLINK("\\imagefiles.bcgov\imagery\scanned_maps\moe_terrain_maps\Scanned_T_maps_all\L08\L08-94","\\imagefiles.bcgov\imagery\scanned_maps\moe_terrain_maps\Scanned_T_maps_all\L08\L08-94")</f>
        <v>\\imagefiles.bcgov\imagery\scanned_maps\moe_terrain_maps\Scanned_T_maps_all\L08\L08-94</v>
      </c>
      <c r="S2040" t="s">
        <v>62</v>
      </c>
      <c r="T2040" s="11" t="str">
        <f>HYPERLINK("http://www.env.gov.bc.ca/esd/distdata/ecosystems/TEI_Scanned_Maps/L08/L08-94","http://www.env.gov.bc.ca/esd/distdata/ecosystems/TEI_Scanned_Maps/L08/L08-94")</f>
        <v>http://www.env.gov.bc.ca/esd/distdata/ecosystems/TEI_Scanned_Maps/L08/L08-94</v>
      </c>
      <c r="U2040" t="s">
        <v>58</v>
      </c>
      <c r="V2040" t="s">
        <v>58</v>
      </c>
      <c r="W2040" t="s">
        <v>58</v>
      </c>
      <c r="X2040" t="s">
        <v>58</v>
      </c>
      <c r="Y2040" t="s">
        <v>58</v>
      </c>
      <c r="Z2040" t="s">
        <v>58</v>
      </c>
      <c r="AA2040" t="s">
        <v>58</v>
      </c>
      <c r="AC2040" t="s">
        <v>58</v>
      </c>
      <c r="AE2040" t="s">
        <v>58</v>
      </c>
      <c r="AG2040" t="s">
        <v>63</v>
      </c>
      <c r="AH2040" s="11" t="str">
        <f t="shared" si="144"/>
        <v>mailto: soilterrain@victoria1.gov.bc.ca</v>
      </c>
    </row>
    <row r="2041" spans="1:34">
      <c r="A2041" t="s">
        <v>4698</v>
      </c>
      <c r="B2041" t="s">
        <v>56</v>
      </c>
      <c r="C2041" s="10" t="s">
        <v>1019</v>
      </c>
      <c r="D2041" t="s">
        <v>61</v>
      </c>
      <c r="E2041" t="s">
        <v>4176</v>
      </c>
      <c r="F2041" t="s">
        <v>4699</v>
      </c>
      <c r="G2041">
        <v>25000</v>
      </c>
      <c r="H2041">
        <v>1984</v>
      </c>
      <c r="I2041" t="s">
        <v>4607</v>
      </c>
      <c r="J2041" t="s">
        <v>58</v>
      </c>
      <c r="K2041" t="s">
        <v>58</v>
      </c>
      <c r="L2041" t="s">
        <v>58</v>
      </c>
      <c r="M2041" t="s">
        <v>58</v>
      </c>
      <c r="O2041" t="s">
        <v>61</v>
      </c>
      <c r="Q2041" t="s">
        <v>58</v>
      </c>
      <c r="R2041" s="11" t="str">
        <f>HYPERLINK("\\imagefiles.bcgov\imagery\scanned_maps\moe_terrain_maps\Scanned_T_maps_all\L08\L08-95","\\imagefiles.bcgov\imagery\scanned_maps\moe_terrain_maps\Scanned_T_maps_all\L08\L08-95")</f>
        <v>\\imagefiles.bcgov\imagery\scanned_maps\moe_terrain_maps\Scanned_T_maps_all\L08\L08-95</v>
      </c>
      <c r="S2041" t="s">
        <v>62</v>
      </c>
      <c r="T2041" s="11" t="str">
        <f>HYPERLINK("http://www.env.gov.bc.ca/esd/distdata/ecosystems/TEI_Scanned_Maps/L08/L08-95","http://www.env.gov.bc.ca/esd/distdata/ecosystems/TEI_Scanned_Maps/L08/L08-95")</f>
        <v>http://www.env.gov.bc.ca/esd/distdata/ecosystems/TEI_Scanned_Maps/L08/L08-95</v>
      </c>
      <c r="U2041" t="s">
        <v>58</v>
      </c>
      <c r="V2041" t="s">
        <v>58</v>
      </c>
      <c r="W2041" t="s">
        <v>58</v>
      </c>
      <c r="X2041" t="s">
        <v>58</v>
      </c>
      <c r="Y2041" t="s">
        <v>58</v>
      </c>
      <c r="Z2041" t="s">
        <v>58</v>
      </c>
      <c r="AA2041" t="s">
        <v>58</v>
      </c>
      <c r="AC2041" t="s">
        <v>58</v>
      </c>
      <c r="AE2041" t="s">
        <v>58</v>
      </c>
      <c r="AG2041" t="s">
        <v>63</v>
      </c>
      <c r="AH2041" s="11" t="str">
        <f t="shared" si="144"/>
        <v>mailto: soilterrain@victoria1.gov.bc.ca</v>
      </c>
    </row>
    <row r="2042" spans="1:34">
      <c r="A2042" t="s">
        <v>4700</v>
      </c>
      <c r="B2042" t="s">
        <v>56</v>
      </c>
      <c r="C2042" s="10" t="s">
        <v>1019</v>
      </c>
      <c r="D2042" t="s">
        <v>61</v>
      </c>
      <c r="E2042" t="s">
        <v>4176</v>
      </c>
      <c r="F2042" t="s">
        <v>4701</v>
      </c>
      <c r="G2042">
        <v>25000</v>
      </c>
      <c r="H2042">
        <v>1985</v>
      </c>
      <c r="I2042" t="s">
        <v>4607</v>
      </c>
      <c r="J2042" t="s">
        <v>58</v>
      </c>
      <c r="K2042" t="s">
        <v>58</v>
      </c>
      <c r="L2042" t="s">
        <v>58</v>
      </c>
      <c r="M2042" t="s">
        <v>58</v>
      </c>
      <c r="O2042" t="s">
        <v>61</v>
      </c>
      <c r="Q2042" t="s">
        <v>58</v>
      </c>
      <c r="R2042" s="11" t="str">
        <f>HYPERLINK("\\imagefiles.bcgov\imagery\scanned_maps\moe_terrain_maps\Scanned_T_maps_all\L08\L08-96","\\imagefiles.bcgov\imagery\scanned_maps\moe_terrain_maps\Scanned_T_maps_all\L08\L08-96")</f>
        <v>\\imagefiles.bcgov\imagery\scanned_maps\moe_terrain_maps\Scanned_T_maps_all\L08\L08-96</v>
      </c>
      <c r="S2042" t="s">
        <v>62</v>
      </c>
      <c r="T2042" s="11" t="str">
        <f>HYPERLINK("http://www.env.gov.bc.ca/esd/distdata/ecosystems/TEI_Scanned_Maps/L08/L08-96","http://www.env.gov.bc.ca/esd/distdata/ecosystems/TEI_Scanned_Maps/L08/L08-96")</f>
        <v>http://www.env.gov.bc.ca/esd/distdata/ecosystems/TEI_Scanned_Maps/L08/L08-96</v>
      </c>
      <c r="U2042" t="s">
        <v>58</v>
      </c>
      <c r="V2042" t="s">
        <v>58</v>
      </c>
      <c r="W2042" t="s">
        <v>58</v>
      </c>
      <c r="X2042" t="s">
        <v>58</v>
      </c>
      <c r="Y2042" t="s">
        <v>58</v>
      </c>
      <c r="Z2042" t="s">
        <v>58</v>
      </c>
      <c r="AA2042" t="s">
        <v>58</v>
      </c>
      <c r="AC2042" t="s">
        <v>58</v>
      </c>
      <c r="AE2042" t="s">
        <v>58</v>
      </c>
      <c r="AG2042" t="s">
        <v>63</v>
      </c>
      <c r="AH2042" s="11" t="str">
        <f t="shared" si="144"/>
        <v>mailto: soilterrain@victoria1.gov.bc.ca</v>
      </c>
    </row>
    <row r="2043" spans="1:34">
      <c r="A2043" t="s">
        <v>4702</v>
      </c>
      <c r="B2043" t="s">
        <v>56</v>
      </c>
      <c r="C2043" s="10" t="s">
        <v>1019</v>
      </c>
      <c r="D2043" t="s">
        <v>61</v>
      </c>
      <c r="E2043" t="s">
        <v>4176</v>
      </c>
      <c r="F2043" t="s">
        <v>4703</v>
      </c>
      <c r="G2043">
        <v>25000</v>
      </c>
      <c r="H2043" t="s">
        <v>187</v>
      </c>
      <c r="I2043" t="s">
        <v>4607</v>
      </c>
      <c r="J2043" t="s">
        <v>58</v>
      </c>
      <c r="K2043" t="s">
        <v>58</v>
      </c>
      <c r="L2043" t="s">
        <v>58</v>
      </c>
      <c r="M2043" t="s">
        <v>58</v>
      </c>
      <c r="O2043" t="s">
        <v>61</v>
      </c>
      <c r="Q2043" t="s">
        <v>58</v>
      </c>
      <c r="R2043" s="11" t="str">
        <f>HYPERLINK("\\imagefiles.bcgov\imagery\scanned_maps\moe_terrain_maps\Scanned_T_maps_all\L08\L08-97","\\imagefiles.bcgov\imagery\scanned_maps\moe_terrain_maps\Scanned_T_maps_all\L08\L08-97")</f>
        <v>\\imagefiles.bcgov\imagery\scanned_maps\moe_terrain_maps\Scanned_T_maps_all\L08\L08-97</v>
      </c>
      <c r="S2043" t="s">
        <v>62</v>
      </c>
      <c r="T2043" s="11" t="str">
        <f>HYPERLINK("http://www.env.gov.bc.ca/esd/distdata/ecosystems/TEI_Scanned_Maps/L08/L08-97","http://www.env.gov.bc.ca/esd/distdata/ecosystems/TEI_Scanned_Maps/L08/L08-97")</f>
        <v>http://www.env.gov.bc.ca/esd/distdata/ecosystems/TEI_Scanned_Maps/L08/L08-97</v>
      </c>
      <c r="U2043" t="s">
        <v>58</v>
      </c>
      <c r="V2043" t="s">
        <v>58</v>
      </c>
      <c r="W2043" t="s">
        <v>58</v>
      </c>
      <c r="X2043" t="s">
        <v>58</v>
      </c>
      <c r="Y2043" t="s">
        <v>58</v>
      </c>
      <c r="Z2043" t="s">
        <v>58</v>
      </c>
      <c r="AA2043" t="s">
        <v>58</v>
      </c>
      <c r="AC2043" t="s">
        <v>58</v>
      </c>
      <c r="AE2043" t="s">
        <v>58</v>
      </c>
      <c r="AG2043" t="s">
        <v>63</v>
      </c>
      <c r="AH2043" s="11" t="str">
        <f t="shared" si="144"/>
        <v>mailto: soilterrain@victoria1.gov.bc.ca</v>
      </c>
    </row>
    <row r="2044" spans="1:34">
      <c r="A2044" t="s">
        <v>4704</v>
      </c>
      <c r="B2044" t="s">
        <v>56</v>
      </c>
      <c r="C2044" s="10" t="s">
        <v>1033</v>
      </c>
      <c r="D2044" t="s">
        <v>61</v>
      </c>
      <c r="E2044" t="s">
        <v>4176</v>
      </c>
      <c r="F2044" t="s">
        <v>4705</v>
      </c>
      <c r="G2044">
        <v>25000</v>
      </c>
      <c r="H2044" t="s">
        <v>187</v>
      </c>
      <c r="I2044" t="s">
        <v>4607</v>
      </c>
      <c r="J2044" t="s">
        <v>58</v>
      </c>
      <c r="K2044" t="s">
        <v>58</v>
      </c>
      <c r="L2044" t="s">
        <v>58</v>
      </c>
      <c r="M2044" t="s">
        <v>58</v>
      </c>
      <c r="O2044" t="s">
        <v>61</v>
      </c>
      <c r="Q2044" t="s">
        <v>58</v>
      </c>
      <c r="R2044" s="11" t="str">
        <f>HYPERLINK("\\imagefiles.bcgov\imagery\scanned_maps\moe_terrain_maps\Scanned_T_maps_all\L08\L08-98","\\imagefiles.bcgov\imagery\scanned_maps\moe_terrain_maps\Scanned_T_maps_all\L08\L08-98")</f>
        <v>\\imagefiles.bcgov\imagery\scanned_maps\moe_terrain_maps\Scanned_T_maps_all\L08\L08-98</v>
      </c>
      <c r="S2044" t="s">
        <v>62</v>
      </c>
      <c r="T2044" s="11" t="str">
        <f>HYPERLINK("http://www.env.gov.bc.ca/esd/distdata/ecosystems/TEI_Scanned_Maps/L08/L08-98","http://www.env.gov.bc.ca/esd/distdata/ecosystems/TEI_Scanned_Maps/L08/L08-98")</f>
        <v>http://www.env.gov.bc.ca/esd/distdata/ecosystems/TEI_Scanned_Maps/L08/L08-98</v>
      </c>
      <c r="U2044" t="s">
        <v>58</v>
      </c>
      <c r="V2044" t="s">
        <v>58</v>
      </c>
      <c r="W2044" t="s">
        <v>58</v>
      </c>
      <c r="X2044" t="s">
        <v>58</v>
      </c>
      <c r="Y2044" t="s">
        <v>58</v>
      </c>
      <c r="Z2044" t="s">
        <v>58</v>
      </c>
      <c r="AA2044" t="s">
        <v>58</v>
      </c>
      <c r="AC2044" t="s">
        <v>58</v>
      </c>
      <c r="AE2044" t="s">
        <v>58</v>
      </c>
      <c r="AG2044" t="s">
        <v>63</v>
      </c>
      <c r="AH2044" s="11" t="str">
        <f t="shared" si="144"/>
        <v>mailto: soilterrain@victoria1.gov.bc.ca</v>
      </c>
    </row>
    <row r="2045" spans="1:34">
      <c r="A2045" t="s">
        <v>4706</v>
      </c>
      <c r="B2045" t="s">
        <v>56</v>
      </c>
      <c r="C2045" s="10" t="s">
        <v>4707</v>
      </c>
      <c r="D2045" t="s">
        <v>58</v>
      </c>
      <c r="E2045" t="s">
        <v>4708</v>
      </c>
      <c r="F2045" t="s">
        <v>4709</v>
      </c>
      <c r="G2045">
        <v>20000</v>
      </c>
      <c r="H2045" t="s">
        <v>187</v>
      </c>
      <c r="I2045" t="s">
        <v>58</v>
      </c>
      <c r="J2045" t="s">
        <v>61</v>
      </c>
      <c r="K2045" t="s">
        <v>58</v>
      </c>
      <c r="L2045" t="s">
        <v>61</v>
      </c>
      <c r="M2045" t="s">
        <v>58</v>
      </c>
      <c r="Q2045" t="s">
        <v>58</v>
      </c>
      <c r="R2045" s="11" t="str">
        <f>HYPERLINK("\\imagefiles.bcgov\imagery\scanned_maps\moe_terrain_maps\Scanned_T_maps_all\L09\L09-1434","\\imagefiles.bcgov\imagery\scanned_maps\moe_terrain_maps\Scanned_T_maps_all\L09\L09-1434")</f>
        <v>\\imagefiles.bcgov\imagery\scanned_maps\moe_terrain_maps\Scanned_T_maps_all\L09\L09-1434</v>
      </c>
      <c r="S2045" t="s">
        <v>62</v>
      </c>
      <c r="T2045" s="11" t="str">
        <f>HYPERLINK("http://www.env.gov.bc.ca/esd/distdata/ecosystems/TEI_Scanned_Maps/L09/L09-1434","http://www.env.gov.bc.ca/esd/distdata/ecosystems/TEI_Scanned_Maps/L09/L09-1434")</f>
        <v>http://www.env.gov.bc.ca/esd/distdata/ecosystems/TEI_Scanned_Maps/L09/L09-1434</v>
      </c>
      <c r="U2045" t="s">
        <v>58</v>
      </c>
      <c r="V2045" t="s">
        <v>58</v>
      </c>
      <c r="W2045" t="s">
        <v>58</v>
      </c>
      <c r="X2045" t="s">
        <v>58</v>
      </c>
      <c r="Y2045" t="s">
        <v>58</v>
      </c>
      <c r="Z2045" t="s">
        <v>58</v>
      </c>
      <c r="AA2045" t="s">
        <v>58</v>
      </c>
      <c r="AC2045" t="s">
        <v>58</v>
      </c>
      <c r="AE2045" t="s">
        <v>58</v>
      </c>
      <c r="AG2045" t="s">
        <v>63</v>
      </c>
      <c r="AH2045" s="11" t="str">
        <f t="shared" si="144"/>
        <v>mailto: soilterrain@victoria1.gov.bc.ca</v>
      </c>
    </row>
    <row r="2046" spans="1:34">
      <c r="A2046" t="s">
        <v>4710</v>
      </c>
      <c r="B2046" t="s">
        <v>56</v>
      </c>
      <c r="C2046" s="10" t="s">
        <v>4707</v>
      </c>
      <c r="D2046" t="s">
        <v>58</v>
      </c>
      <c r="E2046" t="s">
        <v>4708</v>
      </c>
      <c r="F2046" t="s">
        <v>4711</v>
      </c>
      <c r="G2046">
        <v>20000</v>
      </c>
      <c r="H2046" t="s">
        <v>187</v>
      </c>
      <c r="I2046" t="s">
        <v>58</v>
      </c>
      <c r="J2046" t="s">
        <v>61</v>
      </c>
      <c r="K2046" t="s">
        <v>61</v>
      </c>
      <c r="L2046" t="s">
        <v>58</v>
      </c>
      <c r="M2046" t="s">
        <v>58</v>
      </c>
      <c r="Q2046" t="s">
        <v>58</v>
      </c>
      <c r="R2046" s="11" t="str">
        <f>HYPERLINK("\\imagefiles.bcgov\imagery\scanned_maps\moe_terrain_maps\Scanned_T_maps_all\L09\L09-1435","\\imagefiles.bcgov\imagery\scanned_maps\moe_terrain_maps\Scanned_T_maps_all\L09\L09-1435")</f>
        <v>\\imagefiles.bcgov\imagery\scanned_maps\moe_terrain_maps\Scanned_T_maps_all\L09\L09-1435</v>
      </c>
      <c r="S2046" t="s">
        <v>62</v>
      </c>
      <c r="T2046" s="11" t="str">
        <f>HYPERLINK("http://www.env.gov.bc.ca/esd/distdata/ecosystems/TEI_Scanned_Maps/L09/L09-1435","http://www.env.gov.bc.ca/esd/distdata/ecosystems/TEI_Scanned_Maps/L09/L09-1435")</f>
        <v>http://www.env.gov.bc.ca/esd/distdata/ecosystems/TEI_Scanned_Maps/L09/L09-1435</v>
      </c>
      <c r="U2046" t="s">
        <v>58</v>
      </c>
      <c r="V2046" t="s">
        <v>58</v>
      </c>
      <c r="W2046" t="s">
        <v>58</v>
      </c>
      <c r="X2046" t="s">
        <v>58</v>
      </c>
      <c r="Y2046" t="s">
        <v>58</v>
      </c>
      <c r="Z2046" t="s">
        <v>58</v>
      </c>
      <c r="AA2046" t="s">
        <v>58</v>
      </c>
      <c r="AC2046" t="s">
        <v>58</v>
      </c>
      <c r="AE2046" t="s">
        <v>58</v>
      </c>
      <c r="AG2046" t="s">
        <v>63</v>
      </c>
      <c r="AH2046" s="11" t="str">
        <f t="shared" si="144"/>
        <v>mailto: soilterrain@victoria1.gov.bc.ca</v>
      </c>
    </row>
    <row r="2047" spans="1:34">
      <c r="A2047" t="s">
        <v>4712</v>
      </c>
      <c r="B2047" t="s">
        <v>56</v>
      </c>
      <c r="C2047" s="10" t="s">
        <v>4707</v>
      </c>
      <c r="D2047" t="s">
        <v>58</v>
      </c>
      <c r="E2047" t="s">
        <v>4708</v>
      </c>
      <c r="F2047" t="s">
        <v>4713</v>
      </c>
      <c r="G2047">
        <v>20000</v>
      </c>
      <c r="H2047" t="s">
        <v>187</v>
      </c>
      <c r="I2047" t="s">
        <v>58</v>
      </c>
      <c r="J2047" t="s">
        <v>61</v>
      </c>
      <c r="K2047" t="s">
        <v>58</v>
      </c>
      <c r="L2047" t="s">
        <v>58</v>
      </c>
      <c r="M2047" t="s">
        <v>58</v>
      </c>
      <c r="P2047" t="s">
        <v>61</v>
      </c>
      <c r="Q2047" t="s">
        <v>58</v>
      </c>
      <c r="R2047" s="11" t="str">
        <f>HYPERLINK("\\imagefiles.bcgov\imagery\scanned_maps\moe_terrain_maps\Scanned_T_maps_all\L09\L09-1436","\\imagefiles.bcgov\imagery\scanned_maps\moe_terrain_maps\Scanned_T_maps_all\L09\L09-1436")</f>
        <v>\\imagefiles.bcgov\imagery\scanned_maps\moe_terrain_maps\Scanned_T_maps_all\L09\L09-1436</v>
      </c>
      <c r="S2047" t="s">
        <v>62</v>
      </c>
      <c r="T2047" s="11" t="str">
        <f>HYPERLINK("http://www.env.gov.bc.ca/esd/distdata/ecosystems/TEI_Scanned_Maps/L09/L09-1436","http://www.env.gov.bc.ca/esd/distdata/ecosystems/TEI_Scanned_Maps/L09/L09-1436")</f>
        <v>http://www.env.gov.bc.ca/esd/distdata/ecosystems/TEI_Scanned_Maps/L09/L09-1436</v>
      </c>
      <c r="U2047" t="s">
        <v>58</v>
      </c>
      <c r="V2047" t="s">
        <v>58</v>
      </c>
      <c r="W2047" t="s">
        <v>58</v>
      </c>
      <c r="X2047" t="s">
        <v>58</v>
      </c>
      <c r="Y2047" t="s">
        <v>58</v>
      </c>
      <c r="Z2047" t="s">
        <v>58</v>
      </c>
      <c r="AA2047" t="s">
        <v>58</v>
      </c>
      <c r="AC2047" t="s">
        <v>58</v>
      </c>
      <c r="AE2047" t="s">
        <v>58</v>
      </c>
      <c r="AG2047" t="s">
        <v>63</v>
      </c>
      <c r="AH2047" s="11" t="str">
        <f t="shared" si="144"/>
        <v>mailto: soilterrain@victoria1.gov.bc.ca</v>
      </c>
    </row>
    <row r="2048" spans="1:34">
      <c r="A2048" t="s">
        <v>4714</v>
      </c>
      <c r="B2048" t="s">
        <v>56</v>
      </c>
      <c r="C2048" s="10" t="s">
        <v>1048</v>
      </c>
      <c r="D2048" t="s">
        <v>61</v>
      </c>
      <c r="E2048" t="s">
        <v>4715</v>
      </c>
      <c r="F2048" t="s">
        <v>4716</v>
      </c>
      <c r="G2048">
        <v>20000</v>
      </c>
      <c r="H2048" t="s">
        <v>187</v>
      </c>
      <c r="I2048" t="s">
        <v>4717</v>
      </c>
      <c r="J2048" t="s">
        <v>61</v>
      </c>
      <c r="K2048" t="s">
        <v>58</v>
      </c>
      <c r="L2048" t="s">
        <v>61</v>
      </c>
      <c r="M2048" t="s">
        <v>58</v>
      </c>
      <c r="Q2048" t="s">
        <v>58</v>
      </c>
      <c r="R2048" s="11" t="str">
        <f>HYPERLINK("\\imagefiles.bcgov\imagery\scanned_maps\moe_terrain_maps\Scanned_T_maps_all\L09\L09-382","\\imagefiles.bcgov\imagery\scanned_maps\moe_terrain_maps\Scanned_T_maps_all\L09\L09-382")</f>
        <v>\\imagefiles.bcgov\imagery\scanned_maps\moe_terrain_maps\Scanned_T_maps_all\L09\L09-382</v>
      </c>
      <c r="S2048" t="s">
        <v>62</v>
      </c>
      <c r="T2048" s="11" t="str">
        <f>HYPERLINK("http://www.env.gov.bc.ca/esd/distdata/ecosystems/TEI_Scanned_Maps/L09/L09-382","http://www.env.gov.bc.ca/esd/distdata/ecosystems/TEI_Scanned_Maps/L09/L09-382")</f>
        <v>http://www.env.gov.bc.ca/esd/distdata/ecosystems/TEI_Scanned_Maps/L09/L09-382</v>
      </c>
      <c r="U2048" t="s">
        <v>58</v>
      </c>
      <c r="V2048" t="s">
        <v>58</v>
      </c>
      <c r="W2048" t="s">
        <v>58</v>
      </c>
      <c r="X2048" t="s">
        <v>58</v>
      </c>
      <c r="Y2048" t="s">
        <v>58</v>
      </c>
      <c r="Z2048" t="s">
        <v>58</v>
      </c>
      <c r="AA2048" t="s">
        <v>58</v>
      </c>
      <c r="AC2048" t="s">
        <v>58</v>
      </c>
      <c r="AE2048" t="s">
        <v>58</v>
      </c>
      <c r="AG2048" t="s">
        <v>63</v>
      </c>
      <c r="AH2048" s="11" t="str">
        <f t="shared" si="144"/>
        <v>mailto: soilterrain@victoria1.gov.bc.ca</v>
      </c>
    </row>
    <row r="2049" spans="1:34">
      <c r="A2049" t="s">
        <v>4718</v>
      </c>
      <c r="B2049" t="s">
        <v>56</v>
      </c>
      <c r="C2049" s="10" t="s">
        <v>1050</v>
      </c>
      <c r="D2049" t="s">
        <v>61</v>
      </c>
      <c r="E2049" t="s">
        <v>4715</v>
      </c>
      <c r="F2049" t="s">
        <v>4719</v>
      </c>
      <c r="G2049">
        <v>20000</v>
      </c>
      <c r="H2049" t="s">
        <v>187</v>
      </c>
      <c r="I2049" t="s">
        <v>4717</v>
      </c>
      <c r="J2049" t="s">
        <v>61</v>
      </c>
      <c r="K2049" t="s">
        <v>58</v>
      </c>
      <c r="L2049" t="s">
        <v>61</v>
      </c>
      <c r="M2049" t="s">
        <v>58</v>
      </c>
      <c r="Q2049" t="s">
        <v>58</v>
      </c>
      <c r="R2049" s="11" t="str">
        <f>HYPERLINK("\\imagefiles.bcgov\imagery\scanned_maps\moe_terrain_maps\Scanned_T_maps_all\L09\L09-383","\\imagefiles.bcgov\imagery\scanned_maps\moe_terrain_maps\Scanned_T_maps_all\L09\L09-383")</f>
        <v>\\imagefiles.bcgov\imagery\scanned_maps\moe_terrain_maps\Scanned_T_maps_all\L09\L09-383</v>
      </c>
      <c r="S2049" t="s">
        <v>62</v>
      </c>
      <c r="T2049" s="11" t="str">
        <f>HYPERLINK("http://www.env.gov.bc.ca/esd/distdata/ecosystems/TEI_Scanned_Maps/L09/L09-383","http://www.env.gov.bc.ca/esd/distdata/ecosystems/TEI_Scanned_Maps/L09/L09-383")</f>
        <v>http://www.env.gov.bc.ca/esd/distdata/ecosystems/TEI_Scanned_Maps/L09/L09-383</v>
      </c>
      <c r="U2049" t="s">
        <v>58</v>
      </c>
      <c r="V2049" t="s">
        <v>58</v>
      </c>
      <c r="W2049" t="s">
        <v>58</v>
      </c>
      <c r="X2049" t="s">
        <v>58</v>
      </c>
      <c r="Y2049" t="s">
        <v>58</v>
      </c>
      <c r="Z2049" t="s">
        <v>58</v>
      </c>
      <c r="AA2049" t="s">
        <v>58</v>
      </c>
      <c r="AC2049" t="s">
        <v>58</v>
      </c>
      <c r="AE2049" t="s">
        <v>58</v>
      </c>
      <c r="AG2049" t="s">
        <v>63</v>
      </c>
      <c r="AH2049" s="11" t="str">
        <f t="shared" si="144"/>
        <v>mailto: soilterrain@victoria1.gov.bc.ca</v>
      </c>
    </row>
    <row r="2050" spans="1:34">
      <c r="A2050" t="s">
        <v>4720</v>
      </c>
      <c r="B2050" t="s">
        <v>56</v>
      </c>
      <c r="C2050" s="10" t="s">
        <v>1048</v>
      </c>
      <c r="D2050" t="s">
        <v>61</v>
      </c>
      <c r="E2050" t="s">
        <v>4715</v>
      </c>
      <c r="F2050" t="s">
        <v>4721</v>
      </c>
      <c r="G2050">
        <v>20000</v>
      </c>
      <c r="H2050" t="s">
        <v>187</v>
      </c>
      <c r="I2050" t="s">
        <v>4717</v>
      </c>
      <c r="J2050" t="s">
        <v>61</v>
      </c>
      <c r="K2050" t="s">
        <v>58</v>
      </c>
      <c r="L2050" t="s">
        <v>58</v>
      </c>
      <c r="M2050" t="s">
        <v>61</v>
      </c>
      <c r="Q2050" t="s">
        <v>58</v>
      </c>
      <c r="R2050" s="11" t="str">
        <f>HYPERLINK("\\imagefiles.bcgov\imagery\scanned_maps\moe_terrain_maps\Scanned_T_maps_all\L09\L09-384","\\imagefiles.bcgov\imagery\scanned_maps\moe_terrain_maps\Scanned_T_maps_all\L09\L09-384")</f>
        <v>\\imagefiles.bcgov\imagery\scanned_maps\moe_terrain_maps\Scanned_T_maps_all\L09\L09-384</v>
      </c>
      <c r="S2050" t="s">
        <v>62</v>
      </c>
      <c r="T2050" s="11" t="str">
        <f>HYPERLINK("http://www.env.gov.bc.ca/esd/distdata/ecosystems/TEI_Scanned_Maps/L09/L09-384","http://www.env.gov.bc.ca/esd/distdata/ecosystems/TEI_Scanned_Maps/L09/L09-384")</f>
        <v>http://www.env.gov.bc.ca/esd/distdata/ecosystems/TEI_Scanned_Maps/L09/L09-384</v>
      </c>
      <c r="U2050" t="s">
        <v>58</v>
      </c>
      <c r="V2050" t="s">
        <v>58</v>
      </c>
      <c r="W2050" t="s">
        <v>58</v>
      </c>
      <c r="X2050" t="s">
        <v>58</v>
      </c>
      <c r="Y2050" t="s">
        <v>58</v>
      </c>
      <c r="Z2050" t="s">
        <v>58</v>
      </c>
      <c r="AA2050" t="s">
        <v>58</v>
      </c>
      <c r="AC2050" t="s">
        <v>58</v>
      </c>
      <c r="AE2050" t="s">
        <v>58</v>
      </c>
      <c r="AG2050" t="s">
        <v>63</v>
      </c>
      <c r="AH2050" s="11" t="str">
        <f t="shared" ref="AH2050:AH2113" si="145">HYPERLINK("mailto: soilterrain@victoria1.gov.bc.ca","mailto: soilterrain@victoria1.gov.bc.ca")</f>
        <v>mailto: soilterrain@victoria1.gov.bc.ca</v>
      </c>
    </row>
    <row r="2051" spans="1:34">
      <c r="A2051" t="s">
        <v>4722</v>
      </c>
      <c r="B2051" t="s">
        <v>56</v>
      </c>
      <c r="C2051" s="10" t="s">
        <v>1050</v>
      </c>
      <c r="D2051" t="s">
        <v>61</v>
      </c>
      <c r="E2051" t="s">
        <v>4715</v>
      </c>
      <c r="F2051" t="s">
        <v>4723</v>
      </c>
      <c r="G2051">
        <v>20000</v>
      </c>
      <c r="H2051">
        <v>1984</v>
      </c>
      <c r="I2051" t="s">
        <v>4717</v>
      </c>
      <c r="J2051" t="s">
        <v>61</v>
      </c>
      <c r="K2051" t="s">
        <v>58</v>
      </c>
      <c r="L2051" t="s">
        <v>58</v>
      </c>
      <c r="M2051" t="s">
        <v>61</v>
      </c>
      <c r="Q2051" t="s">
        <v>58</v>
      </c>
      <c r="R2051" s="11" t="str">
        <f>HYPERLINK("\\imagefiles.bcgov\imagery\scanned_maps\moe_terrain_maps\Scanned_T_maps_all\L09\L09-385","\\imagefiles.bcgov\imagery\scanned_maps\moe_terrain_maps\Scanned_T_maps_all\L09\L09-385")</f>
        <v>\\imagefiles.bcgov\imagery\scanned_maps\moe_terrain_maps\Scanned_T_maps_all\L09\L09-385</v>
      </c>
      <c r="S2051" t="s">
        <v>62</v>
      </c>
      <c r="T2051" s="11" t="str">
        <f>HYPERLINK("http://www.env.gov.bc.ca/esd/distdata/ecosystems/TEI_Scanned_Maps/L09/L09-385","http://www.env.gov.bc.ca/esd/distdata/ecosystems/TEI_Scanned_Maps/L09/L09-385")</f>
        <v>http://www.env.gov.bc.ca/esd/distdata/ecosystems/TEI_Scanned_Maps/L09/L09-385</v>
      </c>
      <c r="U2051" t="s">
        <v>58</v>
      </c>
      <c r="V2051" t="s">
        <v>58</v>
      </c>
      <c r="W2051" t="s">
        <v>58</v>
      </c>
      <c r="X2051" t="s">
        <v>58</v>
      </c>
      <c r="Y2051" t="s">
        <v>58</v>
      </c>
      <c r="Z2051" t="s">
        <v>58</v>
      </c>
      <c r="AA2051" t="s">
        <v>58</v>
      </c>
      <c r="AC2051" t="s">
        <v>58</v>
      </c>
      <c r="AE2051" t="s">
        <v>58</v>
      </c>
      <c r="AG2051" t="s">
        <v>63</v>
      </c>
      <c r="AH2051" s="11" t="str">
        <f t="shared" si="145"/>
        <v>mailto: soilterrain@victoria1.gov.bc.ca</v>
      </c>
    </row>
    <row r="2052" spans="1:34">
      <c r="A2052" t="s">
        <v>4724</v>
      </c>
      <c r="B2052" t="s">
        <v>56</v>
      </c>
      <c r="C2052" s="10" t="s">
        <v>1440</v>
      </c>
      <c r="D2052" t="s">
        <v>58</v>
      </c>
      <c r="E2052" t="s">
        <v>59</v>
      </c>
      <c r="F2052" t="s">
        <v>4725</v>
      </c>
      <c r="G2052">
        <v>50000</v>
      </c>
      <c r="H2052" t="s">
        <v>187</v>
      </c>
      <c r="I2052" t="s">
        <v>58</v>
      </c>
      <c r="J2052" t="s">
        <v>58</v>
      </c>
      <c r="K2052" t="s">
        <v>61</v>
      </c>
      <c r="L2052" t="s">
        <v>58</v>
      </c>
      <c r="M2052" t="s">
        <v>58</v>
      </c>
      <c r="Q2052" t="s">
        <v>58</v>
      </c>
      <c r="R2052" s="11" t="str">
        <f>HYPERLINK("\\imagefiles.bcgov\imagery\scanned_maps\moe_terrain_maps\Scanned_T_maps_all\L11\L11-2106","\\imagefiles.bcgov\imagery\scanned_maps\moe_terrain_maps\Scanned_T_maps_all\L11\L11-2106")</f>
        <v>\\imagefiles.bcgov\imagery\scanned_maps\moe_terrain_maps\Scanned_T_maps_all\L11\L11-2106</v>
      </c>
      <c r="S2052" t="s">
        <v>62</v>
      </c>
      <c r="T2052" s="11" t="str">
        <f>HYPERLINK("http://www.env.gov.bc.ca/esd/distdata/ecosystems/TEI_Scanned_Maps/L11/L11-2106","http://www.env.gov.bc.ca/esd/distdata/ecosystems/TEI_Scanned_Maps/L11/L11-2106")</f>
        <v>http://www.env.gov.bc.ca/esd/distdata/ecosystems/TEI_Scanned_Maps/L11/L11-2106</v>
      </c>
      <c r="U2052" t="s">
        <v>58</v>
      </c>
      <c r="V2052" t="s">
        <v>58</v>
      </c>
      <c r="W2052" t="s">
        <v>58</v>
      </c>
      <c r="X2052" t="s">
        <v>58</v>
      </c>
      <c r="Y2052" t="s">
        <v>58</v>
      </c>
      <c r="Z2052" t="s">
        <v>58</v>
      </c>
      <c r="AA2052" t="s">
        <v>58</v>
      </c>
      <c r="AC2052" t="s">
        <v>58</v>
      </c>
      <c r="AE2052" t="s">
        <v>58</v>
      </c>
      <c r="AG2052" t="s">
        <v>63</v>
      </c>
      <c r="AH2052" s="11" t="str">
        <f t="shared" si="145"/>
        <v>mailto: soilterrain@victoria1.gov.bc.ca</v>
      </c>
    </row>
    <row r="2053" spans="1:34">
      <c r="A2053" t="s">
        <v>4726</v>
      </c>
      <c r="B2053" t="s">
        <v>56</v>
      </c>
      <c r="C2053" s="10" t="s">
        <v>4727</v>
      </c>
      <c r="D2053" t="s">
        <v>58</v>
      </c>
      <c r="E2053" t="s">
        <v>59</v>
      </c>
      <c r="F2053" t="s">
        <v>4725</v>
      </c>
      <c r="G2053">
        <v>50000</v>
      </c>
      <c r="H2053">
        <v>1985</v>
      </c>
      <c r="I2053" t="s">
        <v>58</v>
      </c>
      <c r="J2053" t="s">
        <v>58</v>
      </c>
      <c r="K2053" t="s">
        <v>61</v>
      </c>
      <c r="L2053" t="s">
        <v>58</v>
      </c>
      <c r="M2053" t="s">
        <v>58</v>
      </c>
      <c r="Q2053" t="s">
        <v>58</v>
      </c>
      <c r="R2053" s="11" t="str">
        <f>HYPERLINK("\\imagefiles.bcgov\imagery\scanned_maps\moe_terrain_maps\Scanned_T_maps_all\L11\L11-2109","\\imagefiles.bcgov\imagery\scanned_maps\moe_terrain_maps\Scanned_T_maps_all\L11\L11-2109")</f>
        <v>\\imagefiles.bcgov\imagery\scanned_maps\moe_terrain_maps\Scanned_T_maps_all\L11\L11-2109</v>
      </c>
      <c r="S2053" t="s">
        <v>62</v>
      </c>
      <c r="T2053" s="11" t="str">
        <f>HYPERLINK("http://www.env.gov.bc.ca/esd/distdata/ecosystems/TEI_Scanned_Maps/L11/L11-2109","http://www.env.gov.bc.ca/esd/distdata/ecosystems/TEI_Scanned_Maps/L11/L11-2109")</f>
        <v>http://www.env.gov.bc.ca/esd/distdata/ecosystems/TEI_Scanned_Maps/L11/L11-2109</v>
      </c>
      <c r="U2053" t="s">
        <v>58</v>
      </c>
      <c r="V2053" t="s">
        <v>58</v>
      </c>
      <c r="W2053" t="s">
        <v>58</v>
      </c>
      <c r="X2053" t="s">
        <v>58</v>
      </c>
      <c r="Y2053" t="s">
        <v>58</v>
      </c>
      <c r="Z2053" t="s">
        <v>58</v>
      </c>
      <c r="AA2053" t="s">
        <v>58</v>
      </c>
      <c r="AC2053" t="s">
        <v>58</v>
      </c>
      <c r="AE2053" t="s">
        <v>58</v>
      </c>
      <c r="AG2053" t="s">
        <v>63</v>
      </c>
      <c r="AH2053" s="11" t="str">
        <f t="shared" si="145"/>
        <v>mailto: soilterrain@victoria1.gov.bc.ca</v>
      </c>
    </row>
    <row r="2054" spans="1:34">
      <c r="A2054" t="s">
        <v>4728</v>
      </c>
      <c r="B2054" t="s">
        <v>56</v>
      </c>
      <c r="C2054" s="10" t="s">
        <v>4729</v>
      </c>
      <c r="D2054" t="s">
        <v>58</v>
      </c>
      <c r="E2054" t="s">
        <v>59</v>
      </c>
      <c r="F2054" t="s">
        <v>4725</v>
      </c>
      <c r="G2054">
        <v>50000</v>
      </c>
      <c r="H2054" t="s">
        <v>187</v>
      </c>
      <c r="I2054" t="s">
        <v>58</v>
      </c>
      <c r="J2054" t="s">
        <v>58</v>
      </c>
      <c r="K2054" t="s">
        <v>61</v>
      </c>
      <c r="L2054" t="s">
        <v>58</v>
      </c>
      <c r="M2054" t="s">
        <v>58</v>
      </c>
      <c r="Q2054" t="s">
        <v>58</v>
      </c>
      <c r="R2054" s="11" t="str">
        <f>HYPERLINK("\\imagefiles.bcgov\imagery\scanned_maps\moe_terrain_maps\Scanned_T_maps_all\L11\L11-2110","\\imagefiles.bcgov\imagery\scanned_maps\moe_terrain_maps\Scanned_T_maps_all\L11\L11-2110")</f>
        <v>\\imagefiles.bcgov\imagery\scanned_maps\moe_terrain_maps\Scanned_T_maps_all\L11\L11-2110</v>
      </c>
      <c r="S2054" t="s">
        <v>62</v>
      </c>
      <c r="T2054" s="11" t="str">
        <f>HYPERLINK("http://www.env.gov.bc.ca/esd/distdata/ecosystems/TEI_Scanned_Maps/L11/L11-2110","http://www.env.gov.bc.ca/esd/distdata/ecosystems/TEI_Scanned_Maps/L11/L11-2110")</f>
        <v>http://www.env.gov.bc.ca/esd/distdata/ecosystems/TEI_Scanned_Maps/L11/L11-2110</v>
      </c>
      <c r="U2054" t="s">
        <v>58</v>
      </c>
      <c r="V2054" t="s">
        <v>58</v>
      </c>
      <c r="W2054" t="s">
        <v>58</v>
      </c>
      <c r="X2054" t="s">
        <v>58</v>
      </c>
      <c r="Y2054" t="s">
        <v>58</v>
      </c>
      <c r="Z2054" t="s">
        <v>58</v>
      </c>
      <c r="AA2054" t="s">
        <v>58</v>
      </c>
      <c r="AC2054" t="s">
        <v>58</v>
      </c>
      <c r="AE2054" t="s">
        <v>58</v>
      </c>
      <c r="AG2054" t="s">
        <v>63</v>
      </c>
      <c r="AH2054" s="11" t="str">
        <f t="shared" si="145"/>
        <v>mailto: soilterrain@victoria1.gov.bc.ca</v>
      </c>
    </row>
    <row r="2055" spans="1:34">
      <c r="A2055" t="s">
        <v>4730</v>
      </c>
      <c r="B2055" t="s">
        <v>56</v>
      </c>
      <c r="C2055" s="10" t="s">
        <v>4731</v>
      </c>
      <c r="D2055" t="s">
        <v>58</v>
      </c>
      <c r="E2055" t="s">
        <v>59</v>
      </c>
      <c r="F2055" t="s">
        <v>4725</v>
      </c>
      <c r="G2055">
        <v>50000</v>
      </c>
      <c r="H2055">
        <v>1984</v>
      </c>
      <c r="I2055" t="s">
        <v>58</v>
      </c>
      <c r="J2055" t="s">
        <v>58</v>
      </c>
      <c r="K2055" t="s">
        <v>61</v>
      </c>
      <c r="L2055" t="s">
        <v>58</v>
      </c>
      <c r="M2055" t="s">
        <v>58</v>
      </c>
      <c r="Q2055" t="s">
        <v>58</v>
      </c>
      <c r="R2055" s="11" t="str">
        <f>HYPERLINK("\\imagefiles.bcgov\imagery\scanned_maps\moe_terrain_maps\Scanned_T_maps_all\L11\L11-2116","\\imagefiles.bcgov\imagery\scanned_maps\moe_terrain_maps\Scanned_T_maps_all\L11\L11-2116")</f>
        <v>\\imagefiles.bcgov\imagery\scanned_maps\moe_terrain_maps\Scanned_T_maps_all\L11\L11-2116</v>
      </c>
      <c r="S2055" t="s">
        <v>62</v>
      </c>
      <c r="T2055" s="11" t="str">
        <f>HYPERLINK("http://www.env.gov.bc.ca/esd/distdata/ecosystems/TEI_Scanned_Maps/L11/L11-2116","http://www.env.gov.bc.ca/esd/distdata/ecosystems/TEI_Scanned_Maps/L11/L11-2116")</f>
        <v>http://www.env.gov.bc.ca/esd/distdata/ecosystems/TEI_Scanned_Maps/L11/L11-2116</v>
      </c>
      <c r="U2055" t="s">
        <v>58</v>
      </c>
      <c r="V2055" t="s">
        <v>58</v>
      </c>
      <c r="W2055" t="s">
        <v>58</v>
      </c>
      <c r="X2055" t="s">
        <v>58</v>
      </c>
      <c r="Y2055" t="s">
        <v>58</v>
      </c>
      <c r="Z2055" t="s">
        <v>58</v>
      </c>
      <c r="AA2055" t="s">
        <v>58</v>
      </c>
      <c r="AC2055" t="s">
        <v>58</v>
      </c>
      <c r="AE2055" t="s">
        <v>58</v>
      </c>
      <c r="AG2055" t="s">
        <v>63</v>
      </c>
      <c r="AH2055" s="11" t="str">
        <f t="shared" si="145"/>
        <v>mailto: soilterrain@victoria1.gov.bc.ca</v>
      </c>
    </row>
    <row r="2056" spans="1:34">
      <c r="A2056" t="s">
        <v>4732</v>
      </c>
      <c r="B2056" t="s">
        <v>56</v>
      </c>
      <c r="C2056" s="10" t="s">
        <v>4733</v>
      </c>
      <c r="D2056" t="s">
        <v>58</v>
      </c>
      <c r="E2056" t="s">
        <v>59</v>
      </c>
      <c r="F2056" t="s">
        <v>4725</v>
      </c>
      <c r="G2056">
        <v>50000</v>
      </c>
      <c r="H2056">
        <v>1985</v>
      </c>
      <c r="I2056" t="s">
        <v>58</v>
      </c>
      <c r="J2056" t="s">
        <v>58</v>
      </c>
      <c r="K2056" t="s">
        <v>61</v>
      </c>
      <c r="L2056" t="s">
        <v>58</v>
      </c>
      <c r="M2056" t="s">
        <v>58</v>
      </c>
      <c r="Q2056" t="s">
        <v>58</v>
      </c>
      <c r="R2056" s="11" t="str">
        <f>HYPERLINK("\\imagefiles.bcgov\imagery\scanned_maps\moe_terrain_maps\Scanned_T_maps_all\L11\L11-2117","\\imagefiles.bcgov\imagery\scanned_maps\moe_terrain_maps\Scanned_T_maps_all\L11\L11-2117")</f>
        <v>\\imagefiles.bcgov\imagery\scanned_maps\moe_terrain_maps\Scanned_T_maps_all\L11\L11-2117</v>
      </c>
      <c r="S2056" t="s">
        <v>62</v>
      </c>
      <c r="T2056" s="11" t="str">
        <f>HYPERLINK("http://www.env.gov.bc.ca/esd/distdata/ecosystems/TEI_Scanned_Maps/L11/L11-2117","http://www.env.gov.bc.ca/esd/distdata/ecosystems/TEI_Scanned_Maps/L11/L11-2117")</f>
        <v>http://www.env.gov.bc.ca/esd/distdata/ecosystems/TEI_Scanned_Maps/L11/L11-2117</v>
      </c>
      <c r="U2056" t="s">
        <v>58</v>
      </c>
      <c r="V2056" t="s">
        <v>58</v>
      </c>
      <c r="W2056" t="s">
        <v>58</v>
      </c>
      <c r="X2056" t="s">
        <v>58</v>
      </c>
      <c r="Y2056" t="s">
        <v>58</v>
      </c>
      <c r="Z2056" t="s">
        <v>58</v>
      </c>
      <c r="AA2056" t="s">
        <v>58</v>
      </c>
      <c r="AC2056" t="s">
        <v>58</v>
      </c>
      <c r="AE2056" t="s">
        <v>58</v>
      </c>
      <c r="AG2056" t="s">
        <v>63</v>
      </c>
      <c r="AH2056" s="11" t="str">
        <f t="shared" si="145"/>
        <v>mailto: soilterrain@victoria1.gov.bc.ca</v>
      </c>
    </row>
    <row r="2057" spans="1:34">
      <c r="A2057" t="s">
        <v>4734</v>
      </c>
      <c r="B2057" t="s">
        <v>56</v>
      </c>
      <c r="C2057" s="10" t="s">
        <v>4735</v>
      </c>
      <c r="D2057" t="s">
        <v>58</v>
      </c>
      <c r="E2057" t="s">
        <v>4736</v>
      </c>
      <c r="F2057" t="s">
        <v>4737</v>
      </c>
      <c r="G2057">
        <v>20000</v>
      </c>
      <c r="H2057" t="s">
        <v>187</v>
      </c>
      <c r="I2057" t="s">
        <v>58</v>
      </c>
      <c r="J2057" t="s">
        <v>61</v>
      </c>
      <c r="K2057" t="s">
        <v>58</v>
      </c>
      <c r="L2057" t="s">
        <v>61</v>
      </c>
      <c r="M2057" t="s">
        <v>58</v>
      </c>
      <c r="Q2057" t="s">
        <v>58</v>
      </c>
      <c r="R2057" s="11" t="str">
        <f>HYPERLINK("\\imagefiles.bcgov\imagery\scanned_maps\moe_terrain_maps\Scanned_T_maps_all\L12\L12-631","\\imagefiles.bcgov\imagery\scanned_maps\moe_terrain_maps\Scanned_T_maps_all\L12\L12-631")</f>
        <v>\\imagefiles.bcgov\imagery\scanned_maps\moe_terrain_maps\Scanned_T_maps_all\L12\L12-631</v>
      </c>
      <c r="S2057" t="s">
        <v>62</v>
      </c>
      <c r="T2057" s="11" t="str">
        <f>HYPERLINK("http://www.env.gov.bc.ca/esd/distdata/ecosystems/TEI_Scanned_Maps/L12/L12-631","http://www.env.gov.bc.ca/esd/distdata/ecosystems/TEI_Scanned_Maps/L12/L12-631")</f>
        <v>http://www.env.gov.bc.ca/esd/distdata/ecosystems/TEI_Scanned_Maps/L12/L12-631</v>
      </c>
      <c r="U2057" t="s">
        <v>58</v>
      </c>
      <c r="V2057" t="s">
        <v>58</v>
      </c>
      <c r="W2057" t="s">
        <v>58</v>
      </c>
      <c r="X2057" t="s">
        <v>58</v>
      </c>
      <c r="Y2057" t="s">
        <v>58</v>
      </c>
      <c r="Z2057" t="s">
        <v>58</v>
      </c>
      <c r="AA2057" t="s">
        <v>58</v>
      </c>
      <c r="AC2057" t="s">
        <v>58</v>
      </c>
      <c r="AE2057" t="s">
        <v>58</v>
      </c>
      <c r="AG2057" t="s">
        <v>63</v>
      </c>
      <c r="AH2057" s="11" t="str">
        <f t="shared" si="145"/>
        <v>mailto: soilterrain@victoria1.gov.bc.ca</v>
      </c>
    </row>
    <row r="2058" spans="1:34">
      <c r="A2058" t="s">
        <v>4738</v>
      </c>
      <c r="B2058" t="s">
        <v>56</v>
      </c>
      <c r="C2058" s="10" t="s">
        <v>4735</v>
      </c>
      <c r="D2058" t="s">
        <v>58</v>
      </c>
      <c r="E2058" t="s">
        <v>4736</v>
      </c>
      <c r="F2058" t="s">
        <v>4739</v>
      </c>
      <c r="G2058">
        <v>20000</v>
      </c>
      <c r="H2058">
        <v>1984</v>
      </c>
      <c r="I2058" t="s">
        <v>58</v>
      </c>
      <c r="J2058" t="s">
        <v>61</v>
      </c>
      <c r="K2058" t="s">
        <v>58</v>
      </c>
      <c r="L2058" t="s">
        <v>58</v>
      </c>
      <c r="M2058" t="s">
        <v>58</v>
      </c>
      <c r="P2058" t="s">
        <v>61</v>
      </c>
      <c r="Q2058" t="s">
        <v>58</v>
      </c>
      <c r="R2058" s="11" t="str">
        <f>HYPERLINK("\\imagefiles.bcgov\imagery\scanned_maps\moe_terrain_maps\Scanned_T_maps_all\L12\L12-632","\\imagefiles.bcgov\imagery\scanned_maps\moe_terrain_maps\Scanned_T_maps_all\L12\L12-632")</f>
        <v>\\imagefiles.bcgov\imagery\scanned_maps\moe_terrain_maps\Scanned_T_maps_all\L12\L12-632</v>
      </c>
      <c r="S2058" t="s">
        <v>62</v>
      </c>
      <c r="T2058" s="11" t="str">
        <f>HYPERLINK("http://www.env.gov.bc.ca/esd/distdata/ecosystems/TEI_Scanned_Maps/L12/L12-632","http://www.env.gov.bc.ca/esd/distdata/ecosystems/TEI_Scanned_Maps/L12/L12-632")</f>
        <v>http://www.env.gov.bc.ca/esd/distdata/ecosystems/TEI_Scanned_Maps/L12/L12-632</v>
      </c>
      <c r="U2058" t="s">
        <v>58</v>
      </c>
      <c r="V2058" t="s">
        <v>58</v>
      </c>
      <c r="W2058" t="s">
        <v>58</v>
      </c>
      <c r="X2058" t="s">
        <v>58</v>
      </c>
      <c r="Y2058" t="s">
        <v>58</v>
      </c>
      <c r="Z2058" t="s">
        <v>58</v>
      </c>
      <c r="AA2058" t="s">
        <v>58</v>
      </c>
      <c r="AC2058" t="s">
        <v>58</v>
      </c>
      <c r="AE2058" t="s">
        <v>58</v>
      </c>
      <c r="AG2058" t="s">
        <v>63</v>
      </c>
      <c r="AH2058" s="11" t="str">
        <f t="shared" si="145"/>
        <v>mailto: soilterrain@victoria1.gov.bc.ca</v>
      </c>
    </row>
    <row r="2059" spans="1:34">
      <c r="A2059" t="s">
        <v>4740</v>
      </c>
      <c r="B2059" t="s">
        <v>56</v>
      </c>
      <c r="C2059" s="10" t="s">
        <v>4735</v>
      </c>
      <c r="D2059" t="s">
        <v>58</v>
      </c>
      <c r="E2059" t="s">
        <v>4736</v>
      </c>
      <c r="F2059" t="s">
        <v>4741</v>
      </c>
      <c r="G2059">
        <v>20000</v>
      </c>
      <c r="H2059">
        <v>1985</v>
      </c>
      <c r="I2059" t="s">
        <v>58</v>
      </c>
      <c r="J2059" t="s">
        <v>61</v>
      </c>
      <c r="K2059" t="s">
        <v>58</v>
      </c>
      <c r="L2059" t="s">
        <v>58</v>
      </c>
      <c r="M2059" t="s">
        <v>58</v>
      </c>
      <c r="P2059" t="s">
        <v>61</v>
      </c>
      <c r="Q2059" t="s">
        <v>58</v>
      </c>
      <c r="R2059" s="11" t="str">
        <f>HYPERLINK("\\imagefiles.bcgov\imagery\scanned_maps\moe_terrain_maps\Scanned_T_maps_all\L12\L12-633","\\imagefiles.bcgov\imagery\scanned_maps\moe_terrain_maps\Scanned_T_maps_all\L12\L12-633")</f>
        <v>\\imagefiles.bcgov\imagery\scanned_maps\moe_terrain_maps\Scanned_T_maps_all\L12\L12-633</v>
      </c>
      <c r="S2059" t="s">
        <v>62</v>
      </c>
      <c r="T2059" s="11" t="str">
        <f>HYPERLINK("http://www.env.gov.bc.ca/esd/distdata/ecosystems/TEI_Scanned_Maps/L12/L12-633","http://www.env.gov.bc.ca/esd/distdata/ecosystems/TEI_Scanned_Maps/L12/L12-633")</f>
        <v>http://www.env.gov.bc.ca/esd/distdata/ecosystems/TEI_Scanned_Maps/L12/L12-633</v>
      </c>
      <c r="U2059" t="s">
        <v>58</v>
      </c>
      <c r="V2059" t="s">
        <v>58</v>
      </c>
      <c r="W2059" t="s">
        <v>58</v>
      </c>
      <c r="X2059" t="s">
        <v>58</v>
      </c>
      <c r="Y2059" t="s">
        <v>58</v>
      </c>
      <c r="Z2059" t="s">
        <v>58</v>
      </c>
      <c r="AA2059" t="s">
        <v>58</v>
      </c>
      <c r="AC2059" t="s">
        <v>58</v>
      </c>
      <c r="AE2059" t="s">
        <v>58</v>
      </c>
      <c r="AG2059" t="s">
        <v>63</v>
      </c>
      <c r="AH2059" s="11" t="str">
        <f t="shared" si="145"/>
        <v>mailto: soilterrain@victoria1.gov.bc.ca</v>
      </c>
    </row>
    <row r="2060" spans="1:34">
      <c r="A2060" t="s">
        <v>4742</v>
      </c>
      <c r="B2060" t="s">
        <v>56</v>
      </c>
      <c r="C2060" s="10" t="s">
        <v>4735</v>
      </c>
      <c r="D2060" t="s">
        <v>58</v>
      </c>
      <c r="E2060" t="s">
        <v>4736</v>
      </c>
      <c r="F2060" t="s">
        <v>4743</v>
      </c>
      <c r="G2060">
        <v>20000</v>
      </c>
      <c r="H2060" t="s">
        <v>187</v>
      </c>
      <c r="I2060" t="s">
        <v>58</v>
      </c>
      <c r="J2060" t="s">
        <v>61</v>
      </c>
      <c r="K2060" t="s">
        <v>58</v>
      </c>
      <c r="L2060" t="s">
        <v>58</v>
      </c>
      <c r="M2060" t="s">
        <v>58</v>
      </c>
      <c r="O2060" t="s">
        <v>61</v>
      </c>
      <c r="Q2060" t="s">
        <v>58</v>
      </c>
      <c r="R2060" s="11" t="str">
        <f>HYPERLINK("\\imagefiles.bcgov\imagery\scanned_maps\moe_terrain_maps\Scanned_T_maps_all\L12\L12-634","\\imagefiles.bcgov\imagery\scanned_maps\moe_terrain_maps\Scanned_T_maps_all\L12\L12-634")</f>
        <v>\\imagefiles.bcgov\imagery\scanned_maps\moe_terrain_maps\Scanned_T_maps_all\L12\L12-634</v>
      </c>
      <c r="S2060" t="s">
        <v>62</v>
      </c>
      <c r="T2060" s="11" t="str">
        <f>HYPERLINK("http://www.env.gov.bc.ca/esd/distdata/ecosystems/TEI_Scanned_Maps/L12/L12-634","http://www.env.gov.bc.ca/esd/distdata/ecosystems/TEI_Scanned_Maps/L12/L12-634")</f>
        <v>http://www.env.gov.bc.ca/esd/distdata/ecosystems/TEI_Scanned_Maps/L12/L12-634</v>
      </c>
      <c r="U2060" t="s">
        <v>58</v>
      </c>
      <c r="V2060" t="s">
        <v>58</v>
      </c>
      <c r="W2060" t="s">
        <v>58</v>
      </c>
      <c r="X2060" t="s">
        <v>58</v>
      </c>
      <c r="Y2060" t="s">
        <v>58</v>
      </c>
      <c r="Z2060" t="s">
        <v>58</v>
      </c>
      <c r="AA2060" t="s">
        <v>58</v>
      </c>
      <c r="AC2060" t="s">
        <v>58</v>
      </c>
      <c r="AE2060" t="s">
        <v>58</v>
      </c>
      <c r="AG2060" t="s">
        <v>63</v>
      </c>
      <c r="AH2060" s="11" t="str">
        <f t="shared" si="145"/>
        <v>mailto: soilterrain@victoria1.gov.bc.ca</v>
      </c>
    </row>
    <row r="2061" spans="1:34">
      <c r="A2061" t="s">
        <v>4744</v>
      </c>
      <c r="B2061" t="s">
        <v>56</v>
      </c>
      <c r="C2061" s="10" t="s">
        <v>4735</v>
      </c>
      <c r="D2061" t="s">
        <v>58</v>
      </c>
      <c r="E2061" t="s">
        <v>4736</v>
      </c>
      <c r="F2061" t="s">
        <v>4745</v>
      </c>
      <c r="G2061">
        <v>20000</v>
      </c>
      <c r="H2061">
        <v>1985</v>
      </c>
      <c r="I2061" t="s">
        <v>58</v>
      </c>
      <c r="J2061" t="s">
        <v>61</v>
      </c>
      <c r="K2061" t="s">
        <v>58</v>
      </c>
      <c r="L2061" t="s">
        <v>58</v>
      </c>
      <c r="M2061" t="s">
        <v>58</v>
      </c>
      <c r="Q2061" t="s">
        <v>58</v>
      </c>
      <c r="R2061" s="11" t="str">
        <f>HYPERLINK("\\imagefiles.bcgov\imagery\scanned_maps\moe_terrain_maps\Scanned_T_maps_all\L12\L12-635","\\imagefiles.bcgov\imagery\scanned_maps\moe_terrain_maps\Scanned_T_maps_all\L12\L12-635")</f>
        <v>\\imagefiles.bcgov\imagery\scanned_maps\moe_terrain_maps\Scanned_T_maps_all\L12\L12-635</v>
      </c>
      <c r="S2061" t="s">
        <v>62</v>
      </c>
      <c r="T2061" s="11" t="str">
        <f>HYPERLINK("http://www.env.gov.bc.ca/esd/distdata/ecosystems/TEI_Scanned_Maps/L12/L12-635","http://www.env.gov.bc.ca/esd/distdata/ecosystems/TEI_Scanned_Maps/L12/L12-635")</f>
        <v>http://www.env.gov.bc.ca/esd/distdata/ecosystems/TEI_Scanned_Maps/L12/L12-635</v>
      </c>
      <c r="U2061" t="s">
        <v>58</v>
      </c>
      <c r="V2061" t="s">
        <v>58</v>
      </c>
      <c r="W2061" t="s">
        <v>58</v>
      </c>
      <c r="X2061" t="s">
        <v>58</v>
      </c>
      <c r="Y2061" t="s">
        <v>58</v>
      </c>
      <c r="Z2061" t="s">
        <v>58</v>
      </c>
      <c r="AA2061" t="s">
        <v>58</v>
      </c>
      <c r="AC2061" t="s">
        <v>58</v>
      </c>
      <c r="AE2061" t="s">
        <v>58</v>
      </c>
      <c r="AG2061" t="s">
        <v>63</v>
      </c>
      <c r="AH2061" s="11" t="str">
        <f t="shared" si="145"/>
        <v>mailto: soilterrain@victoria1.gov.bc.ca</v>
      </c>
    </row>
    <row r="2062" spans="1:34">
      <c r="A2062" t="s">
        <v>4746</v>
      </c>
      <c r="B2062" t="s">
        <v>56</v>
      </c>
      <c r="C2062" s="10" t="s">
        <v>4735</v>
      </c>
      <c r="D2062" t="s">
        <v>58</v>
      </c>
      <c r="E2062" t="s">
        <v>4736</v>
      </c>
      <c r="F2062" t="s">
        <v>4747</v>
      </c>
      <c r="G2062">
        <v>20000</v>
      </c>
      <c r="H2062" t="s">
        <v>187</v>
      </c>
      <c r="I2062" t="s">
        <v>58</v>
      </c>
      <c r="J2062" t="s">
        <v>61</v>
      </c>
      <c r="K2062" t="s">
        <v>58</v>
      </c>
      <c r="L2062" t="s">
        <v>58</v>
      </c>
      <c r="M2062" t="s">
        <v>58</v>
      </c>
      <c r="Q2062" t="s">
        <v>58</v>
      </c>
      <c r="R2062" s="11" t="str">
        <f>HYPERLINK("\\imagefiles.bcgov\imagery\scanned_maps\moe_terrain_maps\Scanned_T_maps_all\L12\L12-636","\\imagefiles.bcgov\imagery\scanned_maps\moe_terrain_maps\Scanned_T_maps_all\L12\L12-636")</f>
        <v>\\imagefiles.bcgov\imagery\scanned_maps\moe_terrain_maps\Scanned_T_maps_all\L12\L12-636</v>
      </c>
      <c r="S2062" t="s">
        <v>62</v>
      </c>
      <c r="T2062" s="11" t="str">
        <f>HYPERLINK("http://www.env.gov.bc.ca/esd/distdata/ecosystems/TEI_Scanned_Maps/L12/L12-636","http://www.env.gov.bc.ca/esd/distdata/ecosystems/TEI_Scanned_Maps/L12/L12-636")</f>
        <v>http://www.env.gov.bc.ca/esd/distdata/ecosystems/TEI_Scanned_Maps/L12/L12-636</v>
      </c>
      <c r="U2062" t="s">
        <v>58</v>
      </c>
      <c r="V2062" t="s">
        <v>58</v>
      </c>
      <c r="W2062" t="s">
        <v>58</v>
      </c>
      <c r="X2062" t="s">
        <v>58</v>
      </c>
      <c r="Y2062" t="s">
        <v>58</v>
      </c>
      <c r="Z2062" t="s">
        <v>58</v>
      </c>
      <c r="AA2062" t="s">
        <v>58</v>
      </c>
      <c r="AC2062" t="s">
        <v>58</v>
      </c>
      <c r="AE2062" t="s">
        <v>58</v>
      </c>
      <c r="AG2062" t="s">
        <v>63</v>
      </c>
      <c r="AH2062" s="11" t="str">
        <f t="shared" si="145"/>
        <v>mailto: soilterrain@victoria1.gov.bc.ca</v>
      </c>
    </row>
    <row r="2063" spans="1:34">
      <c r="A2063" t="s">
        <v>4748</v>
      </c>
      <c r="B2063" t="s">
        <v>56</v>
      </c>
      <c r="C2063" s="10" t="s">
        <v>4749</v>
      </c>
      <c r="D2063" t="s">
        <v>58</v>
      </c>
      <c r="E2063" t="s">
        <v>4750</v>
      </c>
      <c r="F2063" t="s">
        <v>4751</v>
      </c>
      <c r="G2063">
        <v>20000</v>
      </c>
      <c r="H2063">
        <v>1985</v>
      </c>
      <c r="I2063" t="s">
        <v>4752</v>
      </c>
      <c r="J2063" t="s">
        <v>61</v>
      </c>
      <c r="K2063" t="s">
        <v>58</v>
      </c>
      <c r="L2063" t="s">
        <v>58</v>
      </c>
      <c r="M2063" t="s">
        <v>58</v>
      </c>
      <c r="N2063" t="s">
        <v>61</v>
      </c>
      <c r="Q2063" t="s">
        <v>58</v>
      </c>
      <c r="R2063" s="11" t="str">
        <f>HYPERLINK("\\imagefiles.bcgov\imagery\scanned_maps\moe_terrain_maps\Scanned_T_maps_all\L13\L13-1848","\\imagefiles.bcgov\imagery\scanned_maps\moe_terrain_maps\Scanned_T_maps_all\L13\L13-1848")</f>
        <v>\\imagefiles.bcgov\imagery\scanned_maps\moe_terrain_maps\Scanned_T_maps_all\L13\L13-1848</v>
      </c>
      <c r="S2063" t="s">
        <v>62</v>
      </c>
      <c r="T2063" s="11" t="str">
        <f>HYPERLINK("http://www.env.gov.bc.ca/esd/distdata/ecosystems/TEI_Scanned_Maps/L13/L13-1848","http://www.env.gov.bc.ca/esd/distdata/ecosystems/TEI_Scanned_Maps/L13/L13-1848")</f>
        <v>http://www.env.gov.bc.ca/esd/distdata/ecosystems/TEI_Scanned_Maps/L13/L13-1848</v>
      </c>
      <c r="U2063" t="s">
        <v>58</v>
      </c>
      <c r="V2063" t="s">
        <v>58</v>
      </c>
      <c r="W2063" t="s">
        <v>58</v>
      </c>
      <c r="X2063" t="s">
        <v>58</v>
      </c>
      <c r="Y2063" t="s">
        <v>58</v>
      </c>
      <c r="Z2063" t="s">
        <v>58</v>
      </c>
      <c r="AA2063" t="s">
        <v>58</v>
      </c>
      <c r="AC2063" t="s">
        <v>58</v>
      </c>
      <c r="AE2063" t="s">
        <v>58</v>
      </c>
      <c r="AG2063" t="s">
        <v>63</v>
      </c>
      <c r="AH2063" s="11" t="str">
        <f t="shared" si="145"/>
        <v>mailto: soilterrain@victoria1.gov.bc.ca</v>
      </c>
    </row>
    <row r="2064" spans="1:34">
      <c r="A2064" t="s">
        <v>4753</v>
      </c>
      <c r="B2064" t="s">
        <v>56</v>
      </c>
      <c r="C2064" s="10" t="s">
        <v>4749</v>
      </c>
      <c r="D2064" t="s">
        <v>58</v>
      </c>
      <c r="E2064" t="s">
        <v>4750</v>
      </c>
      <c r="F2064" t="s">
        <v>4754</v>
      </c>
      <c r="G2064">
        <v>20000</v>
      </c>
      <c r="H2064">
        <v>1985</v>
      </c>
      <c r="I2064" t="s">
        <v>4752</v>
      </c>
      <c r="J2064" t="s">
        <v>61</v>
      </c>
      <c r="K2064" t="s">
        <v>58</v>
      </c>
      <c r="L2064" t="s">
        <v>61</v>
      </c>
      <c r="M2064" t="s">
        <v>58</v>
      </c>
      <c r="Q2064" t="s">
        <v>58</v>
      </c>
      <c r="R2064" s="11" t="str">
        <f>HYPERLINK("\\imagefiles.bcgov\imagery\scanned_maps\moe_terrain_maps\Scanned_T_maps_all\L13\L13-1850","\\imagefiles.bcgov\imagery\scanned_maps\moe_terrain_maps\Scanned_T_maps_all\L13\L13-1850")</f>
        <v>\\imagefiles.bcgov\imagery\scanned_maps\moe_terrain_maps\Scanned_T_maps_all\L13\L13-1850</v>
      </c>
      <c r="S2064" t="s">
        <v>62</v>
      </c>
      <c r="T2064" s="11" t="str">
        <f>HYPERLINK("http://www.env.gov.bc.ca/esd/distdata/ecosystems/TEI_Scanned_Maps/L13/L13-1850","http://www.env.gov.bc.ca/esd/distdata/ecosystems/TEI_Scanned_Maps/L13/L13-1850")</f>
        <v>http://www.env.gov.bc.ca/esd/distdata/ecosystems/TEI_Scanned_Maps/L13/L13-1850</v>
      </c>
      <c r="U2064" t="s">
        <v>58</v>
      </c>
      <c r="V2064" t="s">
        <v>58</v>
      </c>
      <c r="W2064" t="s">
        <v>58</v>
      </c>
      <c r="X2064" t="s">
        <v>58</v>
      </c>
      <c r="Y2064" t="s">
        <v>58</v>
      </c>
      <c r="Z2064" t="s">
        <v>58</v>
      </c>
      <c r="AA2064" t="s">
        <v>58</v>
      </c>
      <c r="AC2064" t="s">
        <v>58</v>
      </c>
      <c r="AE2064" t="s">
        <v>58</v>
      </c>
      <c r="AG2064" t="s">
        <v>63</v>
      </c>
      <c r="AH2064" s="11" t="str">
        <f t="shared" si="145"/>
        <v>mailto: soilterrain@victoria1.gov.bc.ca</v>
      </c>
    </row>
    <row r="2065" spans="1:34">
      <c r="A2065" t="s">
        <v>4755</v>
      </c>
      <c r="B2065" t="s">
        <v>56</v>
      </c>
      <c r="C2065" s="10" t="s">
        <v>4749</v>
      </c>
      <c r="D2065" t="s">
        <v>58</v>
      </c>
      <c r="E2065" t="s">
        <v>4750</v>
      </c>
      <c r="F2065" t="s">
        <v>4756</v>
      </c>
      <c r="G2065">
        <v>20000</v>
      </c>
      <c r="H2065" t="s">
        <v>187</v>
      </c>
      <c r="I2065" t="s">
        <v>4752</v>
      </c>
      <c r="J2065" t="s">
        <v>61</v>
      </c>
      <c r="K2065" t="s">
        <v>58</v>
      </c>
      <c r="L2065" t="s">
        <v>58</v>
      </c>
      <c r="M2065" t="s">
        <v>61</v>
      </c>
      <c r="Q2065" t="s">
        <v>58</v>
      </c>
      <c r="R2065" s="11" t="str">
        <f>HYPERLINK("\\imagefiles.bcgov\imagery\scanned_maps\moe_terrain_maps\Scanned_T_maps_all\L13\L13-1851","\\imagefiles.bcgov\imagery\scanned_maps\moe_terrain_maps\Scanned_T_maps_all\L13\L13-1851")</f>
        <v>\\imagefiles.bcgov\imagery\scanned_maps\moe_terrain_maps\Scanned_T_maps_all\L13\L13-1851</v>
      </c>
      <c r="S2065" t="s">
        <v>62</v>
      </c>
      <c r="T2065" s="11" t="str">
        <f>HYPERLINK("http://www.env.gov.bc.ca/esd/distdata/ecosystems/TEI_Scanned_Maps/L13/L13-1851","http://www.env.gov.bc.ca/esd/distdata/ecosystems/TEI_Scanned_Maps/L13/L13-1851")</f>
        <v>http://www.env.gov.bc.ca/esd/distdata/ecosystems/TEI_Scanned_Maps/L13/L13-1851</v>
      </c>
      <c r="U2065" t="s">
        <v>58</v>
      </c>
      <c r="V2065" t="s">
        <v>58</v>
      </c>
      <c r="W2065" t="s">
        <v>58</v>
      </c>
      <c r="X2065" t="s">
        <v>58</v>
      </c>
      <c r="Y2065" t="s">
        <v>58</v>
      </c>
      <c r="Z2065" t="s">
        <v>58</v>
      </c>
      <c r="AA2065" t="s">
        <v>58</v>
      </c>
      <c r="AC2065" t="s">
        <v>58</v>
      </c>
      <c r="AE2065" t="s">
        <v>58</v>
      </c>
      <c r="AG2065" t="s">
        <v>63</v>
      </c>
      <c r="AH2065" s="11" t="str">
        <f t="shared" si="145"/>
        <v>mailto: soilterrain@victoria1.gov.bc.ca</v>
      </c>
    </row>
    <row r="2066" spans="1:34">
      <c r="A2066" t="s">
        <v>4757</v>
      </c>
      <c r="B2066" t="s">
        <v>56</v>
      </c>
      <c r="C2066" s="10" t="s">
        <v>4758</v>
      </c>
      <c r="D2066" t="s">
        <v>58</v>
      </c>
      <c r="E2066" t="s">
        <v>4759</v>
      </c>
      <c r="F2066" t="s">
        <v>4760</v>
      </c>
      <c r="G2066">
        <v>20000</v>
      </c>
      <c r="H2066">
        <v>1984</v>
      </c>
      <c r="I2066" t="s">
        <v>58</v>
      </c>
      <c r="J2066" t="s">
        <v>61</v>
      </c>
      <c r="K2066" t="s">
        <v>58</v>
      </c>
      <c r="L2066" t="s">
        <v>58</v>
      </c>
      <c r="M2066" t="s">
        <v>58</v>
      </c>
      <c r="Q2066" t="s">
        <v>58</v>
      </c>
      <c r="R2066" s="11" t="str">
        <f>HYPERLINK("\\imagefiles.bcgov\imagery\scanned_maps\moe_terrain_maps\Scanned_T_maps_all\L14\L14-637","\\imagefiles.bcgov\imagery\scanned_maps\moe_terrain_maps\Scanned_T_maps_all\L14\L14-637")</f>
        <v>\\imagefiles.bcgov\imagery\scanned_maps\moe_terrain_maps\Scanned_T_maps_all\L14\L14-637</v>
      </c>
      <c r="S2066" t="s">
        <v>62</v>
      </c>
      <c r="T2066" s="11" t="str">
        <f>HYPERLINK("http://www.env.gov.bc.ca/esd/distdata/ecosystems/TEI_Scanned_Maps/L14/L14-637","http://www.env.gov.bc.ca/esd/distdata/ecosystems/TEI_Scanned_Maps/L14/L14-637")</f>
        <v>http://www.env.gov.bc.ca/esd/distdata/ecosystems/TEI_Scanned_Maps/L14/L14-637</v>
      </c>
      <c r="U2066" t="s">
        <v>58</v>
      </c>
      <c r="V2066" t="s">
        <v>58</v>
      </c>
      <c r="W2066" t="s">
        <v>58</v>
      </c>
      <c r="X2066" t="s">
        <v>58</v>
      </c>
      <c r="Y2066" t="s">
        <v>58</v>
      </c>
      <c r="Z2066" t="s">
        <v>58</v>
      </c>
      <c r="AA2066" t="s">
        <v>58</v>
      </c>
      <c r="AC2066" t="s">
        <v>58</v>
      </c>
      <c r="AE2066" t="s">
        <v>58</v>
      </c>
      <c r="AG2066" t="s">
        <v>63</v>
      </c>
      <c r="AH2066" s="11" t="str">
        <f t="shared" si="145"/>
        <v>mailto: soilterrain@victoria1.gov.bc.ca</v>
      </c>
    </row>
    <row r="2067" spans="1:34">
      <c r="A2067" t="s">
        <v>4761</v>
      </c>
      <c r="B2067" t="s">
        <v>56</v>
      </c>
      <c r="C2067" s="10" t="s">
        <v>4762</v>
      </c>
      <c r="D2067" t="s">
        <v>58</v>
      </c>
      <c r="E2067" t="s">
        <v>4759</v>
      </c>
      <c r="F2067" t="s">
        <v>4763</v>
      </c>
      <c r="G2067">
        <v>20000</v>
      </c>
      <c r="H2067">
        <v>1985</v>
      </c>
      <c r="I2067" t="s">
        <v>58</v>
      </c>
      <c r="J2067" t="s">
        <v>61</v>
      </c>
      <c r="K2067" t="s">
        <v>58</v>
      </c>
      <c r="L2067" t="s">
        <v>61</v>
      </c>
      <c r="M2067" t="s">
        <v>58</v>
      </c>
      <c r="Q2067" t="s">
        <v>58</v>
      </c>
      <c r="R2067" s="11" t="str">
        <f>HYPERLINK("\\imagefiles.bcgov\imagery\scanned_maps\moe_terrain_maps\Scanned_T_maps_all\L14\L14-640","\\imagefiles.bcgov\imagery\scanned_maps\moe_terrain_maps\Scanned_T_maps_all\L14\L14-640")</f>
        <v>\\imagefiles.bcgov\imagery\scanned_maps\moe_terrain_maps\Scanned_T_maps_all\L14\L14-640</v>
      </c>
      <c r="S2067" t="s">
        <v>62</v>
      </c>
      <c r="T2067" s="11" t="str">
        <f>HYPERLINK("http://www.env.gov.bc.ca/esd/distdata/ecosystems/TEI_Scanned_Maps/L14/L14-640","http://www.env.gov.bc.ca/esd/distdata/ecosystems/TEI_Scanned_Maps/L14/L14-640")</f>
        <v>http://www.env.gov.bc.ca/esd/distdata/ecosystems/TEI_Scanned_Maps/L14/L14-640</v>
      </c>
      <c r="U2067" t="s">
        <v>58</v>
      </c>
      <c r="V2067" t="s">
        <v>58</v>
      </c>
      <c r="W2067" t="s">
        <v>58</v>
      </c>
      <c r="X2067" t="s">
        <v>58</v>
      </c>
      <c r="Y2067" t="s">
        <v>58</v>
      </c>
      <c r="Z2067" t="s">
        <v>58</v>
      </c>
      <c r="AA2067" t="s">
        <v>58</v>
      </c>
      <c r="AC2067" t="s">
        <v>58</v>
      </c>
      <c r="AE2067" t="s">
        <v>58</v>
      </c>
      <c r="AG2067" t="s">
        <v>63</v>
      </c>
      <c r="AH2067" s="11" t="str">
        <f t="shared" si="145"/>
        <v>mailto: soilterrain@victoria1.gov.bc.ca</v>
      </c>
    </row>
    <row r="2068" spans="1:34">
      <c r="A2068" t="s">
        <v>4764</v>
      </c>
      <c r="B2068" t="s">
        <v>56</v>
      </c>
      <c r="C2068" s="10" t="s">
        <v>4762</v>
      </c>
      <c r="D2068" t="s">
        <v>58</v>
      </c>
      <c r="E2068" t="s">
        <v>4759</v>
      </c>
      <c r="F2068" t="s">
        <v>4765</v>
      </c>
      <c r="G2068">
        <v>20000</v>
      </c>
      <c r="H2068" t="s">
        <v>187</v>
      </c>
      <c r="I2068" t="s">
        <v>58</v>
      </c>
      <c r="J2068" t="s">
        <v>61</v>
      </c>
      <c r="K2068" t="s">
        <v>58</v>
      </c>
      <c r="L2068" t="s">
        <v>58</v>
      </c>
      <c r="M2068" t="s">
        <v>58</v>
      </c>
      <c r="P2068" t="s">
        <v>61</v>
      </c>
      <c r="Q2068" t="s">
        <v>58</v>
      </c>
      <c r="R2068" s="11" t="str">
        <f>HYPERLINK("\\imagefiles.bcgov\imagery\scanned_maps\moe_terrain_maps\Scanned_T_maps_all\L14\L14-641","\\imagefiles.bcgov\imagery\scanned_maps\moe_terrain_maps\Scanned_T_maps_all\L14\L14-641")</f>
        <v>\\imagefiles.bcgov\imagery\scanned_maps\moe_terrain_maps\Scanned_T_maps_all\L14\L14-641</v>
      </c>
      <c r="S2068" t="s">
        <v>62</v>
      </c>
      <c r="T2068" s="11" t="str">
        <f>HYPERLINK("http://www.env.gov.bc.ca/esd/distdata/ecosystems/TEI_Scanned_Maps/L14/L14-641","http://www.env.gov.bc.ca/esd/distdata/ecosystems/TEI_Scanned_Maps/L14/L14-641")</f>
        <v>http://www.env.gov.bc.ca/esd/distdata/ecosystems/TEI_Scanned_Maps/L14/L14-641</v>
      </c>
      <c r="U2068" t="s">
        <v>58</v>
      </c>
      <c r="V2068" t="s">
        <v>58</v>
      </c>
      <c r="W2068" t="s">
        <v>58</v>
      </c>
      <c r="X2068" t="s">
        <v>58</v>
      </c>
      <c r="Y2068" t="s">
        <v>58</v>
      </c>
      <c r="Z2068" t="s">
        <v>58</v>
      </c>
      <c r="AA2068" t="s">
        <v>58</v>
      </c>
      <c r="AC2068" t="s">
        <v>58</v>
      </c>
      <c r="AE2068" t="s">
        <v>58</v>
      </c>
      <c r="AG2068" t="s">
        <v>63</v>
      </c>
      <c r="AH2068" s="11" t="str">
        <f t="shared" si="145"/>
        <v>mailto: soilterrain@victoria1.gov.bc.ca</v>
      </c>
    </row>
    <row r="2069" spans="1:34">
      <c r="A2069" t="s">
        <v>4766</v>
      </c>
      <c r="B2069" t="s">
        <v>56</v>
      </c>
      <c r="C2069" s="10" t="s">
        <v>4762</v>
      </c>
      <c r="D2069" t="s">
        <v>58</v>
      </c>
      <c r="E2069" t="s">
        <v>4759</v>
      </c>
      <c r="F2069" t="s">
        <v>4767</v>
      </c>
      <c r="G2069">
        <v>20000</v>
      </c>
      <c r="H2069">
        <v>1984</v>
      </c>
      <c r="I2069" t="s">
        <v>58</v>
      </c>
      <c r="J2069" t="s">
        <v>61</v>
      </c>
      <c r="K2069" t="s">
        <v>58</v>
      </c>
      <c r="L2069" t="s">
        <v>58</v>
      </c>
      <c r="M2069" t="s">
        <v>58</v>
      </c>
      <c r="P2069" t="s">
        <v>61</v>
      </c>
      <c r="Q2069" t="s">
        <v>58</v>
      </c>
      <c r="R2069" s="11" t="str">
        <f>HYPERLINK("\\imagefiles.bcgov\imagery\scanned_maps\moe_terrain_maps\Scanned_T_maps_all\L14\L14-642","\\imagefiles.bcgov\imagery\scanned_maps\moe_terrain_maps\Scanned_T_maps_all\L14\L14-642")</f>
        <v>\\imagefiles.bcgov\imagery\scanned_maps\moe_terrain_maps\Scanned_T_maps_all\L14\L14-642</v>
      </c>
      <c r="S2069" t="s">
        <v>62</v>
      </c>
      <c r="T2069" s="11" t="str">
        <f>HYPERLINK("http://www.env.gov.bc.ca/esd/distdata/ecosystems/TEI_Scanned_Maps/L14/L14-642","http://www.env.gov.bc.ca/esd/distdata/ecosystems/TEI_Scanned_Maps/L14/L14-642")</f>
        <v>http://www.env.gov.bc.ca/esd/distdata/ecosystems/TEI_Scanned_Maps/L14/L14-642</v>
      </c>
      <c r="U2069" t="s">
        <v>58</v>
      </c>
      <c r="V2069" t="s">
        <v>58</v>
      </c>
      <c r="W2069" t="s">
        <v>58</v>
      </c>
      <c r="X2069" t="s">
        <v>58</v>
      </c>
      <c r="Y2069" t="s">
        <v>58</v>
      </c>
      <c r="Z2069" t="s">
        <v>58</v>
      </c>
      <c r="AA2069" t="s">
        <v>58</v>
      </c>
      <c r="AC2069" t="s">
        <v>58</v>
      </c>
      <c r="AE2069" t="s">
        <v>58</v>
      </c>
      <c r="AG2069" t="s">
        <v>63</v>
      </c>
      <c r="AH2069" s="11" t="str">
        <f t="shared" si="145"/>
        <v>mailto: soilterrain@victoria1.gov.bc.ca</v>
      </c>
    </row>
    <row r="2070" spans="1:34">
      <c r="A2070" t="s">
        <v>4768</v>
      </c>
      <c r="B2070" t="s">
        <v>56</v>
      </c>
      <c r="C2070" s="10" t="s">
        <v>4762</v>
      </c>
      <c r="D2070" t="s">
        <v>58</v>
      </c>
      <c r="E2070" t="s">
        <v>4759</v>
      </c>
      <c r="F2070" t="s">
        <v>4769</v>
      </c>
      <c r="G2070">
        <v>20000</v>
      </c>
      <c r="H2070">
        <v>1985</v>
      </c>
      <c r="I2070" t="s">
        <v>58</v>
      </c>
      <c r="J2070" t="s">
        <v>61</v>
      </c>
      <c r="K2070" t="s">
        <v>58</v>
      </c>
      <c r="L2070" t="s">
        <v>58</v>
      </c>
      <c r="M2070" t="s">
        <v>58</v>
      </c>
      <c r="O2070" t="s">
        <v>61</v>
      </c>
      <c r="Q2070" t="s">
        <v>58</v>
      </c>
      <c r="R2070" s="11" t="str">
        <f>HYPERLINK("\\imagefiles.bcgov\imagery\scanned_maps\moe_terrain_maps\Scanned_T_maps_all\L14\L14-643","\\imagefiles.bcgov\imagery\scanned_maps\moe_terrain_maps\Scanned_T_maps_all\L14\L14-643")</f>
        <v>\\imagefiles.bcgov\imagery\scanned_maps\moe_terrain_maps\Scanned_T_maps_all\L14\L14-643</v>
      </c>
      <c r="S2070" t="s">
        <v>62</v>
      </c>
      <c r="T2070" s="11" t="str">
        <f>HYPERLINK("http://www.env.gov.bc.ca/esd/distdata/ecosystems/TEI_Scanned_Maps/L14/L14-643","http://www.env.gov.bc.ca/esd/distdata/ecosystems/TEI_Scanned_Maps/L14/L14-643")</f>
        <v>http://www.env.gov.bc.ca/esd/distdata/ecosystems/TEI_Scanned_Maps/L14/L14-643</v>
      </c>
      <c r="U2070" t="s">
        <v>58</v>
      </c>
      <c r="V2070" t="s">
        <v>58</v>
      </c>
      <c r="W2070" t="s">
        <v>58</v>
      </c>
      <c r="X2070" t="s">
        <v>58</v>
      </c>
      <c r="Y2070" t="s">
        <v>58</v>
      </c>
      <c r="Z2070" t="s">
        <v>58</v>
      </c>
      <c r="AA2070" t="s">
        <v>58</v>
      </c>
      <c r="AC2070" t="s">
        <v>58</v>
      </c>
      <c r="AE2070" t="s">
        <v>58</v>
      </c>
      <c r="AG2070" t="s">
        <v>63</v>
      </c>
      <c r="AH2070" s="11" t="str">
        <f t="shared" si="145"/>
        <v>mailto: soilterrain@victoria1.gov.bc.ca</v>
      </c>
    </row>
    <row r="2071" spans="1:34">
      <c r="A2071" t="s">
        <v>4770</v>
      </c>
      <c r="B2071" t="s">
        <v>56</v>
      </c>
      <c r="C2071" s="10" t="s">
        <v>493</v>
      </c>
      <c r="D2071" t="s">
        <v>58</v>
      </c>
      <c r="E2071" t="s">
        <v>59</v>
      </c>
      <c r="F2071" t="s">
        <v>4771</v>
      </c>
      <c r="G2071">
        <v>20000</v>
      </c>
      <c r="H2071" t="s">
        <v>187</v>
      </c>
      <c r="I2071" t="s">
        <v>58</v>
      </c>
      <c r="J2071" t="s">
        <v>58</v>
      </c>
      <c r="K2071" t="s">
        <v>61</v>
      </c>
      <c r="L2071" t="s">
        <v>58</v>
      </c>
      <c r="M2071" t="s">
        <v>58</v>
      </c>
      <c r="Q2071" t="s">
        <v>58</v>
      </c>
      <c r="R2071" s="11" t="str">
        <f>HYPERLINK("\\imagefiles.bcgov\imagery\scanned_maps\moe_terrain_maps\Scanned_T_maps_all\L17\L17-3600","\\imagefiles.bcgov\imagery\scanned_maps\moe_terrain_maps\Scanned_T_maps_all\L17\L17-3600")</f>
        <v>\\imagefiles.bcgov\imagery\scanned_maps\moe_terrain_maps\Scanned_T_maps_all\L17\L17-3600</v>
      </c>
      <c r="S2071" t="s">
        <v>62</v>
      </c>
      <c r="T2071" s="11" t="str">
        <f>HYPERLINK("http://www.env.gov.bc.ca/esd/distdata/ecosystems/TEI_Scanned_Maps/L17/L17-3600","http://www.env.gov.bc.ca/esd/distdata/ecosystems/TEI_Scanned_Maps/L17/L17-3600")</f>
        <v>http://www.env.gov.bc.ca/esd/distdata/ecosystems/TEI_Scanned_Maps/L17/L17-3600</v>
      </c>
      <c r="U2071" t="s">
        <v>58</v>
      </c>
      <c r="V2071" t="s">
        <v>58</v>
      </c>
      <c r="W2071" t="s">
        <v>58</v>
      </c>
      <c r="X2071" t="s">
        <v>58</v>
      </c>
      <c r="Y2071" t="s">
        <v>58</v>
      </c>
      <c r="Z2071" t="s">
        <v>58</v>
      </c>
      <c r="AA2071" t="s">
        <v>58</v>
      </c>
      <c r="AC2071" t="s">
        <v>58</v>
      </c>
      <c r="AE2071" t="s">
        <v>58</v>
      </c>
      <c r="AG2071" t="s">
        <v>63</v>
      </c>
      <c r="AH2071" s="11" t="str">
        <f t="shared" si="145"/>
        <v>mailto: soilterrain@victoria1.gov.bc.ca</v>
      </c>
    </row>
    <row r="2072" spans="1:34">
      <c r="A2072" t="s">
        <v>4772</v>
      </c>
      <c r="B2072" t="s">
        <v>56</v>
      </c>
      <c r="C2072" s="10" t="s">
        <v>2118</v>
      </c>
      <c r="D2072" t="s">
        <v>58</v>
      </c>
      <c r="E2072" t="s">
        <v>4773</v>
      </c>
      <c r="F2072" t="s">
        <v>4774</v>
      </c>
      <c r="G2072">
        <v>125000</v>
      </c>
      <c r="H2072" t="s">
        <v>187</v>
      </c>
      <c r="I2072" t="s">
        <v>4775</v>
      </c>
      <c r="J2072" t="s">
        <v>61</v>
      </c>
      <c r="K2072" t="s">
        <v>58</v>
      </c>
      <c r="L2072" t="s">
        <v>58</v>
      </c>
      <c r="M2072" t="s">
        <v>58</v>
      </c>
      <c r="N2072" t="s">
        <v>61</v>
      </c>
      <c r="Q2072" t="s">
        <v>58</v>
      </c>
      <c r="R2072" s="11" t="str">
        <f>HYPERLINK("\\imagefiles.bcgov\imagery\scanned_maps\moe_terrain_maps\Scanned_T_maps_all\L17\L17-387","\\imagefiles.bcgov\imagery\scanned_maps\moe_terrain_maps\Scanned_T_maps_all\L17\L17-387")</f>
        <v>\\imagefiles.bcgov\imagery\scanned_maps\moe_terrain_maps\Scanned_T_maps_all\L17\L17-387</v>
      </c>
      <c r="S2072" t="s">
        <v>62</v>
      </c>
      <c r="T2072" s="11" t="str">
        <f>HYPERLINK("http://www.env.gov.bc.ca/esd/distdata/ecosystems/TEI_Scanned_Maps/L17/L17-387","http://www.env.gov.bc.ca/esd/distdata/ecosystems/TEI_Scanned_Maps/L17/L17-387")</f>
        <v>http://www.env.gov.bc.ca/esd/distdata/ecosystems/TEI_Scanned_Maps/L17/L17-387</v>
      </c>
      <c r="U2072" t="s">
        <v>269</v>
      </c>
      <c r="V2072" s="11" t="str">
        <f t="shared" ref="V2072:V2077" si="146">HYPERLINK("http://www.for.gov.bc.ca/hfd/library/documents/bib55032.pdf","http://www.for.gov.bc.ca/hfd/library/documents/bib55032.pdf")</f>
        <v>http://www.for.gov.bc.ca/hfd/library/documents/bib55032.pdf</v>
      </c>
      <c r="W2072" t="s">
        <v>58</v>
      </c>
      <c r="X2072" t="s">
        <v>58</v>
      </c>
      <c r="Y2072" t="s">
        <v>58</v>
      </c>
      <c r="Z2072" t="s">
        <v>58</v>
      </c>
      <c r="AA2072" t="s">
        <v>58</v>
      </c>
      <c r="AC2072" t="s">
        <v>58</v>
      </c>
      <c r="AE2072" t="s">
        <v>58</v>
      </c>
      <c r="AG2072" t="s">
        <v>63</v>
      </c>
      <c r="AH2072" s="11" t="str">
        <f t="shared" si="145"/>
        <v>mailto: soilterrain@victoria1.gov.bc.ca</v>
      </c>
    </row>
    <row r="2073" spans="1:34">
      <c r="A2073" t="s">
        <v>4776</v>
      </c>
      <c r="B2073" t="s">
        <v>56</v>
      </c>
      <c r="C2073" s="10" t="s">
        <v>2118</v>
      </c>
      <c r="D2073" t="s">
        <v>58</v>
      </c>
      <c r="E2073" t="s">
        <v>4773</v>
      </c>
      <c r="F2073" t="s">
        <v>4777</v>
      </c>
      <c r="G2073">
        <v>20000</v>
      </c>
      <c r="H2073">
        <v>1985</v>
      </c>
      <c r="I2073" t="s">
        <v>4775</v>
      </c>
      <c r="J2073" t="s">
        <v>61</v>
      </c>
      <c r="K2073" t="s">
        <v>61</v>
      </c>
      <c r="L2073" t="s">
        <v>58</v>
      </c>
      <c r="M2073" t="s">
        <v>58</v>
      </c>
      <c r="Q2073" t="s">
        <v>58</v>
      </c>
      <c r="R2073" s="11" t="str">
        <f>HYPERLINK("\\imagefiles.bcgov\imagery\scanned_maps\moe_terrain_maps\Scanned_T_maps_all\L17\L17-389","\\imagefiles.bcgov\imagery\scanned_maps\moe_terrain_maps\Scanned_T_maps_all\L17\L17-389")</f>
        <v>\\imagefiles.bcgov\imagery\scanned_maps\moe_terrain_maps\Scanned_T_maps_all\L17\L17-389</v>
      </c>
      <c r="S2073" t="s">
        <v>62</v>
      </c>
      <c r="T2073" s="11" t="str">
        <f>HYPERLINK("http://www.env.gov.bc.ca/esd/distdata/ecosystems/TEI_Scanned_Maps/L17/L17-389","http://www.env.gov.bc.ca/esd/distdata/ecosystems/TEI_Scanned_Maps/L17/L17-389")</f>
        <v>http://www.env.gov.bc.ca/esd/distdata/ecosystems/TEI_Scanned_Maps/L17/L17-389</v>
      </c>
      <c r="U2073" t="s">
        <v>269</v>
      </c>
      <c r="V2073" s="11" t="str">
        <f t="shared" si="146"/>
        <v>http://www.for.gov.bc.ca/hfd/library/documents/bib55032.pdf</v>
      </c>
      <c r="W2073" t="s">
        <v>58</v>
      </c>
      <c r="X2073" t="s">
        <v>58</v>
      </c>
      <c r="Y2073" t="s">
        <v>58</v>
      </c>
      <c r="Z2073" t="s">
        <v>58</v>
      </c>
      <c r="AA2073" t="s">
        <v>58</v>
      </c>
      <c r="AC2073" t="s">
        <v>58</v>
      </c>
      <c r="AE2073" t="s">
        <v>58</v>
      </c>
      <c r="AG2073" t="s">
        <v>63</v>
      </c>
      <c r="AH2073" s="11" t="str">
        <f t="shared" si="145"/>
        <v>mailto: soilterrain@victoria1.gov.bc.ca</v>
      </c>
    </row>
    <row r="2074" spans="1:34">
      <c r="A2074" t="s">
        <v>4778</v>
      </c>
      <c r="B2074" t="s">
        <v>56</v>
      </c>
      <c r="C2074" s="10" t="s">
        <v>2118</v>
      </c>
      <c r="D2074" t="s">
        <v>58</v>
      </c>
      <c r="E2074" t="s">
        <v>4773</v>
      </c>
      <c r="F2074" t="s">
        <v>4779</v>
      </c>
      <c r="G2074">
        <v>125000</v>
      </c>
      <c r="H2074" t="s">
        <v>187</v>
      </c>
      <c r="I2074" t="s">
        <v>4775</v>
      </c>
      <c r="J2074" t="s">
        <v>61</v>
      </c>
      <c r="K2074" t="s">
        <v>58</v>
      </c>
      <c r="L2074" t="s">
        <v>58</v>
      </c>
      <c r="M2074" t="s">
        <v>58</v>
      </c>
      <c r="O2074" t="s">
        <v>61</v>
      </c>
      <c r="Q2074" t="s">
        <v>58</v>
      </c>
      <c r="R2074" s="11" t="str">
        <f>HYPERLINK("\\imagefiles.bcgov\imagery\scanned_maps\moe_terrain_maps\Scanned_T_maps_all\L17\L17-390","\\imagefiles.bcgov\imagery\scanned_maps\moe_terrain_maps\Scanned_T_maps_all\L17\L17-390")</f>
        <v>\\imagefiles.bcgov\imagery\scanned_maps\moe_terrain_maps\Scanned_T_maps_all\L17\L17-390</v>
      </c>
      <c r="S2074" t="s">
        <v>62</v>
      </c>
      <c r="T2074" s="11" t="str">
        <f>HYPERLINK("http://www.env.gov.bc.ca/esd/distdata/ecosystems/TEI_Scanned_Maps/L17/L17-390","http://www.env.gov.bc.ca/esd/distdata/ecosystems/TEI_Scanned_Maps/L17/L17-390")</f>
        <v>http://www.env.gov.bc.ca/esd/distdata/ecosystems/TEI_Scanned_Maps/L17/L17-390</v>
      </c>
      <c r="U2074" t="s">
        <v>269</v>
      </c>
      <c r="V2074" s="11" t="str">
        <f t="shared" si="146"/>
        <v>http://www.for.gov.bc.ca/hfd/library/documents/bib55032.pdf</v>
      </c>
      <c r="W2074" t="s">
        <v>58</v>
      </c>
      <c r="X2074" t="s">
        <v>58</v>
      </c>
      <c r="Y2074" t="s">
        <v>58</v>
      </c>
      <c r="Z2074" t="s">
        <v>58</v>
      </c>
      <c r="AA2074" t="s">
        <v>58</v>
      </c>
      <c r="AC2074" t="s">
        <v>58</v>
      </c>
      <c r="AE2074" t="s">
        <v>58</v>
      </c>
      <c r="AG2074" t="s">
        <v>63</v>
      </c>
      <c r="AH2074" s="11" t="str">
        <f t="shared" si="145"/>
        <v>mailto: soilterrain@victoria1.gov.bc.ca</v>
      </c>
    </row>
    <row r="2075" spans="1:34">
      <c r="A2075" t="s">
        <v>4780</v>
      </c>
      <c r="B2075" t="s">
        <v>56</v>
      </c>
      <c r="C2075" s="10" t="s">
        <v>2118</v>
      </c>
      <c r="D2075" t="s">
        <v>58</v>
      </c>
      <c r="E2075" t="s">
        <v>4773</v>
      </c>
      <c r="F2075" t="s">
        <v>4781</v>
      </c>
      <c r="G2075">
        <v>125000</v>
      </c>
      <c r="H2075" t="s">
        <v>187</v>
      </c>
      <c r="I2075" t="s">
        <v>4775</v>
      </c>
      <c r="J2075" t="s">
        <v>61</v>
      </c>
      <c r="K2075" t="s">
        <v>58</v>
      </c>
      <c r="L2075" t="s">
        <v>61</v>
      </c>
      <c r="M2075" t="s">
        <v>58</v>
      </c>
      <c r="Q2075" t="s">
        <v>58</v>
      </c>
      <c r="R2075" s="11" t="str">
        <f>HYPERLINK("\\imagefiles.bcgov\imagery\scanned_maps\moe_terrain_maps\Scanned_T_maps_all\L17\L17-392","\\imagefiles.bcgov\imagery\scanned_maps\moe_terrain_maps\Scanned_T_maps_all\L17\L17-392")</f>
        <v>\\imagefiles.bcgov\imagery\scanned_maps\moe_terrain_maps\Scanned_T_maps_all\L17\L17-392</v>
      </c>
      <c r="S2075" t="s">
        <v>62</v>
      </c>
      <c r="T2075" s="11" t="str">
        <f>HYPERLINK("http://www.env.gov.bc.ca/esd/distdata/ecosystems/TEI_Scanned_Maps/L17/L17-392","http://www.env.gov.bc.ca/esd/distdata/ecosystems/TEI_Scanned_Maps/L17/L17-392")</f>
        <v>http://www.env.gov.bc.ca/esd/distdata/ecosystems/TEI_Scanned_Maps/L17/L17-392</v>
      </c>
      <c r="U2075" t="s">
        <v>269</v>
      </c>
      <c r="V2075" s="11" t="str">
        <f t="shared" si="146"/>
        <v>http://www.for.gov.bc.ca/hfd/library/documents/bib55032.pdf</v>
      </c>
      <c r="W2075" t="s">
        <v>58</v>
      </c>
      <c r="X2075" t="s">
        <v>58</v>
      </c>
      <c r="Y2075" t="s">
        <v>58</v>
      </c>
      <c r="Z2075" t="s">
        <v>58</v>
      </c>
      <c r="AA2075" t="s">
        <v>58</v>
      </c>
      <c r="AC2075" t="s">
        <v>58</v>
      </c>
      <c r="AE2075" t="s">
        <v>58</v>
      </c>
      <c r="AG2075" t="s">
        <v>63</v>
      </c>
      <c r="AH2075" s="11" t="str">
        <f t="shared" si="145"/>
        <v>mailto: soilterrain@victoria1.gov.bc.ca</v>
      </c>
    </row>
    <row r="2076" spans="1:34">
      <c r="A2076" t="s">
        <v>4782</v>
      </c>
      <c r="B2076" t="s">
        <v>56</v>
      </c>
      <c r="C2076" s="10" t="s">
        <v>2118</v>
      </c>
      <c r="D2076" t="s">
        <v>58</v>
      </c>
      <c r="E2076" t="s">
        <v>4773</v>
      </c>
      <c r="F2076" t="s">
        <v>4783</v>
      </c>
      <c r="G2076">
        <v>125000</v>
      </c>
      <c r="H2076">
        <v>1984</v>
      </c>
      <c r="I2076" t="s">
        <v>4775</v>
      </c>
      <c r="J2076" t="s">
        <v>61</v>
      </c>
      <c r="K2076" t="s">
        <v>58</v>
      </c>
      <c r="L2076" t="s">
        <v>58</v>
      </c>
      <c r="M2076" t="s">
        <v>58</v>
      </c>
      <c r="P2076" t="s">
        <v>61</v>
      </c>
      <c r="Q2076" t="s">
        <v>58</v>
      </c>
      <c r="R2076" s="11" t="str">
        <f>HYPERLINK("\\imagefiles.bcgov\imagery\scanned_maps\moe_terrain_maps\Scanned_T_maps_all\L17\L17-393","\\imagefiles.bcgov\imagery\scanned_maps\moe_terrain_maps\Scanned_T_maps_all\L17\L17-393")</f>
        <v>\\imagefiles.bcgov\imagery\scanned_maps\moe_terrain_maps\Scanned_T_maps_all\L17\L17-393</v>
      </c>
      <c r="S2076" t="s">
        <v>62</v>
      </c>
      <c r="T2076" s="11" t="str">
        <f>HYPERLINK("http://www.env.gov.bc.ca/esd/distdata/ecosystems/TEI_Scanned_Maps/L17/L17-393","http://www.env.gov.bc.ca/esd/distdata/ecosystems/TEI_Scanned_Maps/L17/L17-393")</f>
        <v>http://www.env.gov.bc.ca/esd/distdata/ecosystems/TEI_Scanned_Maps/L17/L17-393</v>
      </c>
      <c r="U2076" t="s">
        <v>269</v>
      </c>
      <c r="V2076" s="11" t="str">
        <f t="shared" si="146"/>
        <v>http://www.for.gov.bc.ca/hfd/library/documents/bib55032.pdf</v>
      </c>
      <c r="W2076" t="s">
        <v>58</v>
      </c>
      <c r="X2076" t="s">
        <v>58</v>
      </c>
      <c r="Y2076" t="s">
        <v>58</v>
      </c>
      <c r="Z2076" t="s">
        <v>58</v>
      </c>
      <c r="AA2076" t="s">
        <v>58</v>
      </c>
      <c r="AC2076" t="s">
        <v>58</v>
      </c>
      <c r="AE2076" t="s">
        <v>58</v>
      </c>
      <c r="AG2076" t="s">
        <v>63</v>
      </c>
      <c r="AH2076" s="11" t="str">
        <f t="shared" si="145"/>
        <v>mailto: soilterrain@victoria1.gov.bc.ca</v>
      </c>
    </row>
    <row r="2077" spans="1:34">
      <c r="A2077" t="s">
        <v>4784</v>
      </c>
      <c r="B2077" t="s">
        <v>56</v>
      </c>
      <c r="C2077" s="10" t="s">
        <v>2118</v>
      </c>
      <c r="D2077" t="s">
        <v>61</v>
      </c>
      <c r="E2077" t="s">
        <v>4773</v>
      </c>
      <c r="F2077" t="s">
        <v>4785</v>
      </c>
      <c r="G2077">
        <v>125000</v>
      </c>
      <c r="H2077">
        <v>1981</v>
      </c>
      <c r="I2077" t="s">
        <v>4775</v>
      </c>
      <c r="J2077" t="s">
        <v>61</v>
      </c>
      <c r="K2077" t="s">
        <v>58</v>
      </c>
      <c r="L2077" t="s">
        <v>58</v>
      </c>
      <c r="M2077" t="s">
        <v>58</v>
      </c>
      <c r="P2077" t="s">
        <v>61</v>
      </c>
      <c r="Q2077" t="s">
        <v>58</v>
      </c>
      <c r="R2077" s="11" t="str">
        <f>HYPERLINK("\\imagefiles.bcgov\imagery\scanned_maps\moe_terrain_maps\Scanned_T_maps_all\L17\L17-394","\\imagefiles.bcgov\imagery\scanned_maps\moe_terrain_maps\Scanned_T_maps_all\L17\L17-394")</f>
        <v>\\imagefiles.bcgov\imagery\scanned_maps\moe_terrain_maps\Scanned_T_maps_all\L17\L17-394</v>
      </c>
      <c r="S2077" t="s">
        <v>62</v>
      </c>
      <c r="T2077" s="11" t="str">
        <f>HYPERLINK("http://www.env.gov.bc.ca/esd/distdata/ecosystems/TEI_Scanned_Maps/L17/L17-394","http://www.env.gov.bc.ca/esd/distdata/ecosystems/TEI_Scanned_Maps/L17/L17-394")</f>
        <v>http://www.env.gov.bc.ca/esd/distdata/ecosystems/TEI_Scanned_Maps/L17/L17-394</v>
      </c>
      <c r="U2077" t="s">
        <v>269</v>
      </c>
      <c r="V2077" s="11" t="str">
        <f t="shared" si="146"/>
        <v>http://www.for.gov.bc.ca/hfd/library/documents/bib55032.pdf</v>
      </c>
      <c r="W2077" t="s">
        <v>58</v>
      </c>
      <c r="X2077" t="s">
        <v>58</v>
      </c>
      <c r="Y2077" t="s">
        <v>58</v>
      </c>
      <c r="Z2077" t="s">
        <v>58</v>
      </c>
      <c r="AA2077" t="s">
        <v>58</v>
      </c>
      <c r="AC2077" t="s">
        <v>58</v>
      </c>
      <c r="AE2077" t="s">
        <v>58</v>
      </c>
      <c r="AG2077" t="s">
        <v>63</v>
      </c>
      <c r="AH2077" s="11" t="str">
        <f t="shared" si="145"/>
        <v>mailto: soilterrain@victoria1.gov.bc.ca</v>
      </c>
    </row>
    <row r="2078" spans="1:34">
      <c r="A2078" t="s">
        <v>4786</v>
      </c>
      <c r="B2078" t="s">
        <v>56</v>
      </c>
      <c r="C2078" s="10" t="s">
        <v>4496</v>
      </c>
      <c r="D2078" t="s">
        <v>58</v>
      </c>
      <c r="E2078" t="s">
        <v>4787</v>
      </c>
      <c r="F2078" t="s">
        <v>4788</v>
      </c>
      <c r="G2078">
        <v>250000</v>
      </c>
      <c r="H2078" t="s">
        <v>187</v>
      </c>
      <c r="I2078" t="s">
        <v>58</v>
      </c>
      <c r="J2078" t="s">
        <v>61</v>
      </c>
      <c r="K2078" t="s">
        <v>61</v>
      </c>
      <c r="L2078" t="s">
        <v>58</v>
      </c>
      <c r="M2078" t="s">
        <v>61</v>
      </c>
      <c r="P2078" t="s">
        <v>61</v>
      </c>
      <c r="Q2078" t="s">
        <v>58</v>
      </c>
      <c r="R2078" s="11" t="str">
        <f>HYPERLINK("\\imagefiles.bcgov\imagery\scanned_maps\moe_terrain_maps\Scanned_T_maps_all\L18\L18-3601","\\imagefiles.bcgov\imagery\scanned_maps\moe_terrain_maps\Scanned_T_maps_all\L18\L18-3601")</f>
        <v>\\imagefiles.bcgov\imagery\scanned_maps\moe_terrain_maps\Scanned_T_maps_all\L18\L18-3601</v>
      </c>
      <c r="S2078" t="s">
        <v>62</v>
      </c>
      <c r="T2078" s="11" t="str">
        <f>HYPERLINK("http://www.env.gov.bc.ca/esd/distdata/ecosystems/TEI_Scanned_Maps/L18/L18-3601","http://www.env.gov.bc.ca/esd/distdata/ecosystems/TEI_Scanned_Maps/L18/L18-3601")</f>
        <v>http://www.env.gov.bc.ca/esd/distdata/ecosystems/TEI_Scanned_Maps/L18/L18-3601</v>
      </c>
      <c r="U2078" t="s">
        <v>269</v>
      </c>
      <c r="V2078" s="11" t="str">
        <f t="shared" ref="V2078:V2092" si="147">HYPERLINK("http://www.library.for.gov.bc.ca/#focus","http://www.library.for.gov.bc.ca/#focus")</f>
        <v>http://www.library.for.gov.bc.ca/#focus</v>
      </c>
      <c r="W2078" t="s">
        <v>58</v>
      </c>
      <c r="X2078" t="s">
        <v>58</v>
      </c>
      <c r="Y2078" t="s">
        <v>58</v>
      </c>
      <c r="Z2078" t="s">
        <v>58</v>
      </c>
      <c r="AA2078" t="s">
        <v>58</v>
      </c>
      <c r="AC2078" t="s">
        <v>58</v>
      </c>
      <c r="AE2078" t="s">
        <v>58</v>
      </c>
      <c r="AG2078" t="s">
        <v>63</v>
      </c>
      <c r="AH2078" s="11" t="str">
        <f t="shared" si="145"/>
        <v>mailto: soilterrain@victoria1.gov.bc.ca</v>
      </c>
    </row>
    <row r="2079" spans="1:34">
      <c r="A2079" t="s">
        <v>4789</v>
      </c>
      <c r="B2079" t="s">
        <v>56</v>
      </c>
      <c r="C2079" s="10" t="s">
        <v>104</v>
      </c>
      <c r="D2079" t="s">
        <v>61</v>
      </c>
      <c r="E2079" t="s">
        <v>4787</v>
      </c>
      <c r="F2079" t="s">
        <v>4790</v>
      </c>
      <c r="G2079">
        <v>50000</v>
      </c>
      <c r="H2079" t="s">
        <v>187</v>
      </c>
      <c r="I2079" t="s">
        <v>58</v>
      </c>
      <c r="J2079" t="s">
        <v>61</v>
      </c>
      <c r="K2079" t="s">
        <v>58</v>
      </c>
      <c r="L2079" t="s">
        <v>58</v>
      </c>
      <c r="M2079" t="s">
        <v>58</v>
      </c>
      <c r="P2079" t="s">
        <v>61</v>
      </c>
      <c r="Q2079" t="s">
        <v>4791</v>
      </c>
      <c r="R2079" s="11" t="str">
        <f>HYPERLINK("\\imagefiles.bcgov\imagery\scanned_maps\moe_terrain_maps\Scanned_T_maps_all\L18\L18-3605","\\imagefiles.bcgov\imagery\scanned_maps\moe_terrain_maps\Scanned_T_maps_all\L18\L18-3605")</f>
        <v>\\imagefiles.bcgov\imagery\scanned_maps\moe_terrain_maps\Scanned_T_maps_all\L18\L18-3605</v>
      </c>
      <c r="S2079" t="s">
        <v>62</v>
      </c>
      <c r="T2079" s="11" t="str">
        <f>HYPERLINK("http://www.env.gov.bc.ca/esd/distdata/ecosystems/TEI_Scanned_Maps/L18/L18-3605","http://www.env.gov.bc.ca/esd/distdata/ecosystems/TEI_Scanned_Maps/L18/L18-3605")</f>
        <v>http://www.env.gov.bc.ca/esd/distdata/ecosystems/TEI_Scanned_Maps/L18/L18-3605</v>
      </c>
      <c r="U2079" t="s">
        <v>269</v>
      </c>
      <c r="V2079" s="11" t="str">
        <f t="shared" si="147"/>
        <v>http://www.library.for.gov.bc.ca/#focus</v>
      </c>
      <c r="W2079" t="s">
        <v>58</v>
      </c>
      <c r="X2079" t="s">
        <v>58</v>
      </c>
      <c r="Y2079" t="s">
        <v>58</v>
      </c>
      <c r="Z2079" t="s">
        <v>58</v>
      </c>
      <c r="AA2079" t="s">
        <v>58</v>
      </c>
      <c r="AC2079" t="s">
        <v>58</v>
      </c>
      <c r="AE2079" t="s">
        <v>58</v>
      </c>
      <c r="AG2079" t="s">
        <v>63</v>
      </c>
      <c r="AH2079" s="11" t="str">
        <f t="shared" si="145"/>
        <v>mailto: soilterrain@victoria1.gov.bc.ca</v>
      </c>
    </row>
    <row r="2080" spans="1:34">
      <c r="A2080" t="s">
        <v>4792</v>
      </c>
      <c r="B2080" t="s">
        <v>56</v>
      </c>
      <c r="C2080" s="10" t="s">
        <v>1082</v>
      </c>
      <c r="D2080" t="s">
        <v>61</v>
      </c>
      <c r="E2080" t="s">
        <v>4787</v>
      </c>
      <c r="F2080" t="s">
        <v>4790</v>
      </c>
      <c r="G2080">
        <v>50000</v>
      </c>
      <c r="H2080" t="s">
        <v>187</v>
      </c>
      <c r="I2080" t="s">
        <v>58</v>
      </c>
      <c r="J2080" t="s">
        <v>61</v>
      </c>
      <c r="K2080" t="s">
        <v>58</v>
      </c>
      <c r="L2080" t="s">
        <v>58</v>
      </c>
      <c r="M2080" t="s">
        <v>58</v>
      </c>
      <c r="P2080" t="s">
        <v>61</v>
      </c>
      <c r="Q2080" t="s">
        <v>4791</v>
      </c>
      <c r="R2080" s="11" t="str">
        <f>HYPERLINK("\\imagefiles.bcgov\imagery\scanned_maps\moe_terrain_maps\Scanned_T_maps_all\L18\L18-5080","\\imagefiles.bcgov\imagery\scanned_maps\moe_terrain_maps\Scanned_T_maps_all\L18\L18-5080")</f>
        <v>\\imagefiles.bcgov\imagery\scanned_maps\moe_terrain_maps\Scanned_T_maps_all\L18\L18-5080</v>
      </c>
      <c r="S2080" t="s">
        <v>62</v>
      </c>
      <c r="T2080" s="11" t="str">
        <f>HYPERLINK("http://www.env.gov.bc.ca/esd/distdata/ecosystems/TEI_Scanned_Maps/L18/L18-5080","http://www.env.gov.bc.ca/esd/distdata/ecosystems/TEI_Scanned_Maps/L18/L18-5080")</f>
        <v>http://www.env.gov.bc.ca/esd/distdata/ecosystems/TEI_Scanned_Maps/L18/L18-5080</v>
      </c>
      <c r="U2080" t="s">
        <v>269</v>
      </c>
      <c r="V2080" s="11" t="str">
        <f t="shared" si="147"/>
        <v>http://www.library.for.gov.bc.ca/#focus</v>
      </c>
      <c r="W2080" t="s">
        <v>58</v>
      </c>
      <c r="X2080" t="s">
        <v>58</v>
      </c>
      <c r="Y2080" t="s">
        <v>58</v>
      </c>
      <c r="Z2080" t="s">
        <v>58</v>
      </c>
      <c r="AA2080" t="s">
        <v>58</v>
      </c>
      <c r="AC2080" t="s">
        <v>58</v>
      </c>
      <c r="AE2080" t="s">
        <v>58</v>
      </c>
      <c r="AG2080" t="s">
        <v>63</v>
      </c>
      <c r="AH2080" s="11" t="str">
        <f t="shared" si="145"/>
        <v>mailto: soilterrain@victoria1.gov.bc.ca</v>
      </c>
    </row>
    <row r="2081" spans="1:34">
      <c r="A2081" t="s">
        <v>4793</v>
      </c>
      <c r="B2081" t="s">
        <v>56</v>
      </c>
      <c r="C2081" s="10" t="s">
        <v>1088</v>
      </c>
      <c r="D2081" t="s">
        <v>61</v>
      </c>
      <c r="E2081" t="s">
        <v>4787</v>
      </c>
      <c r="F2081" t="s">
        <v>4790</v>
      </c>
      <c r="G2081">
        <v>50000</v>
      </c>
      <c r="H2081" t="s">
        <v>187</v>
      </c>
      <c r="I2081" t="s">
        <v>58</v>
      </c>
      <c r="J2081" t="s">
        <v>61</v>
      </c>
      <c r="K2081" t="s">
        <v>58</v>
      </c>
      <c r="L2081" t="s">
        <v>58</v>
      </c>
      <c r="M2081" t="s">
        <v>58</v>
      </c>
      <c r="P2081" t="s">
        <v>61</v>
      </c>
      <c r="Q2081" t="s">
        <v>4791</v>
      </c>
      <c r="R2081" s="11" t="str">
        <f>HYPERLINK("\\imagefiles.bcgov\imagery\scanned_maps\moe_terrain_maps\Scanned_T_maps_all\L18\L18-5081","\\imagefiles.bcgov\imagery\scanned_maps\moe_terrain_maps\Scanned_T_maps_all\L18\L18-5081")</f>
        <v>\\imagefiles.bcgov\imagery\scanned_maps\moe_terrain_maps\Scanned_T_maps_all\L18\L18-5081</v>
      </c>
      <c r="S2081" t="s">
        <v>62</v>
      </c>
      <c r="T2081" s="11" t="str">
        <f>HYPERLINK("http://www.env.gov.bc.ca/esd/distdata/ecosystems/TEI_Scanned_Maps/L18/L18-5081","http://www.env.gov.bc.ca/esd/distdata/ecosystems/TEI_Scanned_Maps/L18/L18-5081")</f>
        <v>http://www.env.gov.bc.ca/esd/distdata/ecosystems/TEI_Scanned_Maps/L18/L18-5081</v>
      </c>
      <c r="U2081" t="s">
        <v>269</v>
      </c>
      <c r="V2081" s="11" t="str">
        <f t="shared" si="147"/>
        <v>http://www.library.for.gov.bc.ca/#focus</v>
      </c>
      <c r="W2081" t="s">
        <v>58</v>
      </c>
      <c r="X2081" t="s">
        <v>58</v>
      </c>
      <c r="Y2081" t="s">
        <v>58</v>
      </c>
      <c r="Z2081" t="s">
        <v>58</v>
      </c>
      <c r="AA2081" t="s">
        <v>58</v>
      </c>
      <c r="AC2081" t="s">
        <v>58</v>
      </c>
      <c r="AE2081" t="s">
        <v>58</v>
      </c>
      <c r="AG2081" t="s">
        <v>63</v>
      </c>
      <c r="AH2081" s="11" t="str">
        <f t="shared" si="145"/>
        <v>mailto: soilterrain@victoria1.gov.bc.ca</v>
      </c>
    </row>
    <row r="2082" spans="1:34">
      <c r="A2082" t="s">
        <v>4794</v>
      </c>
      <c r="B2082" t="s">
        <v>56</v>
      </c>
      <c r="C2082" s="10" t="s">
        <v>1095</v>
      </c>
      <c r="D2082" t="s">
        <v>58</v>
      </c>
      <c r="E2082" t="s">
        <v>4787</v>
      </c>
      <c r="F2082" t="s">
        <v>4795</v>
      </c>
      <c r="G2082">
        <v>50000</v>
      </c>
      <c r="H2082" t="s">
        <v>187</v>
      </c>
      <c r="I2082" t="s">
        <v>58</v>
      </c>
      <c r="J2082" t="s">
        <v>61</v>
      </c>
      <c r="K2082" t="s">
        <v>58</v>
      </c>
      <c r="L2082" t="s">
        <v>58</v>
      </c>
      <c r="M2082" t="s">
        <v>61</v>
      </c>
      <c r="P2082" t="s">
        <v>61</v>
      </c>
      <c r="Q2082" t="s">
        <v>58</v>
      </c>
      <c r="R2082" s="11" t="str">
        <f>HYPERLINK("\\imagefiles.bcgov\imagery\scanned_maps\moe_terrain_maps\Scanned_T_maps_all\L18\L18-5082","\\imagefiles.bcgov\imagery\scanned_maps\moe_terrain_maps\Scanned_T_maps_all\L18\L18-5082")</f>
        <v>\\imagefiles.bcgov\imagery\scanned_maps\moe_terrain_maps\Scanned_T_maps_all\L18\L18-5082</v>
      </c>
      <c r="S2082" t="s">
        <v>62</v>
      </c>
      <c r="T2082" s="11" t="str">
        <f>HYPERLINK("http://www.env.gov.bc.ca/esd/distdata/ecosystems/TEI_Scanned_Maps/L18/L18-5082","http://www.env.gov.bc.ca/esd/distdata/ecosystems/TEI_Scanned_Maps/L18/L18-5082")</f>
        <v>http://www.env.gov.bc.ca/esd/distdata/ecosystems/TEI_Scanned_Maps/L18/L18-5082</v>
      </c>
      <c r="U2082" t="s">
        <v>269</v>
      </c>
      <c r="V2082" s="11" t="str">
        <f t="shared" si="147"/>
        <v>http://www.library.for.gov.bc.ca/#focus</v>
      </c>
      <c r="W2082" t="s">
        <v>58</v>
      </c>
      <c r="X2082" t="s">
        <v>58</v>
      </c>
      <c r="Y2082" t="s">
        <v>58</v>
      </c>
      <c r="Z2082" t="s">
        <v>58</v>
      </c>
      <c r="AA2082" t="s">
        <v>58</v>
      </c>
      <c r="AC2082" t="s">
        <v>58</v>
      </c>
      <c r="AE2082" t="s">
        <v>58</v>
      </c>
      <c r="AG2082" t="s">
        <v>63</v>
      </c>
      <c r="AH2082" s="11" t="str">
        <f t="shared" si="145"/>
        <v>mailto: soilterrain@victoria1.gov.bc.ca</v>
      </c>
    </row>
    <row r="2083" spans="1:34">
      <c r="A2083" t="s">
        <v>4796</v>
      </c>
      <c r="B2083" t="s">
        <v>56</v>
      </c>
      <c r="C2083" s="10" t="s">
        <v>1100</v>
      </c>
      <c r="D2083" t="s">
        <v>61</v>
      </c>
      <c r="E2083" t="s">
        <v>4787</v>
      </c>
      <c r="F2083" t="s">
        <v>4790</v>
      </c>
      <c r="G2083">
        <v>50000</v>
      </c>
      <c r="H2083" t="s">
        <v>187</v>
      </c>
      <c r="I2083" t="s">
        <v>58</v>
      </c>
      <c r="J2083" t="s">
        <v>61</v>
      </c>
      <c r="K2083" t="s">
        <v>58</v>
      </c>
      <c r="L2083" t="s">
        <v>58</v>
      </c>
      <c r="M2083" t="s">
        <v>58</v>
      </c>
      <c r="P2083" t="s">
        <v>61</v>
      </c>
      <c r="Q2083" t="s">
        <v>4791</v>
      </c>
      <c r="R2083" s="11" t="str">
        <f>HYPERLINK("\\imagefiles.bcgov\imagery\scanned_maps\moe_terrain_maps\Scanned_T_maps_all\L18\L18-5083","\\imagefiles.bcgov\imagery\scanned_maps\moe_terrain_maps\Scanned_T_maps_all\L18\L18-5083")</f>
        <v>\\imagefiles.bcgov\imagery\scanned_maps\moe_terrain_maps\Scanned_T_maps_all\L18\L18-5083</v>
      </c>
      <c r="S2083" t="s">
        <v>62</v>
      </c>
      <c r="T2083" s="11" t="str">
        <f>HYPERLINK("http://www.env.gov.bc.ca/esd/distdata/ecosystems/TEI_Scanned_Maps/L18/L18-5083","http://www.env.gov.bc.ca/esd/distdata/ecosystems/TEI_Scanned_Maps/L18/L18-5083")</f>
        <v>http://www.env.gov.bc.ca/esd/distdata/ecosystems/TEI_Scanned_Maps/L18/L18-5083</v>
      </c>
      <c r="U2083" t="s">
        <v>269</v>
      </c>
      <c r="V2083" s="11" t="str">
        <f t="shared" si="147"/>
        <v>http://www.library.for.gov.bc.ca/#focus</v>
      </c>
      <c r="W2083" t="s">
        <v>58</v>
      </c>
      <c r="X2083" t="s">
        <v>58</v>
      </c>
      <c r="Y2083" t="s">
        <v>58</v>
      </c>
      <c r="Z2083" t="s">
        <v>58</v>
      </c>
      <c r="AA2083" t="s">
        <v>58</v>
      </c>
      <c r="AC2083" t="s">
        <v>58</v>
      </c>
      <c r="AE2083" t="s">
        <v>58</v>
      </c>
      <c r="AG2083" t="s">
        <v>63</v>
      </c>
      <c r="AH2083" s="11" t="str">
        <f t="shared" si="145"/>
        <v>mailto: soilterrain@victoria1.gov.bc.ca</v>
      </c>
    </row>
    <row r="2084" spans="1:34">
      <c r="A2084" t="s">
        <v>4797</v>
      </c>
      <c r="B2084" t="s">
        <v>56</v>
      </c>
      <c r="C2084" s="10" t="s">
        <v>1106</v>
      </c>
      <c r="D2084" t="s">
        <v>61</v>
      </c>
      <c r="E2084" t="s">
        <v>4787</v>
      </c>
      <c r="F2084" t="s">
        <v>4798</v>
      </c>
      <c r="G2084">
        <v>50000</v>
      </c>
      <c r="H2084" t="s">
        <v>187</v>
      </c>
      <c r="I2084" t="s">
        <v>58</v>
      </c>
      <c r="J2084" t="s">
        <v>61</v>
      </c>
      <c r="K2084" t="s">
        <v>58</v>
      </c>
      <c r="L2084" t="s">
        <v>58</v>
      </c>
      <c r="M2084" t="s">
        <v>61</v>
      </c>
      <c r="P2084" t="s">
        <v>61</v>
      </c>
      <c r="Q2084" t="s">
        <v>58</v>
      </c>
      <c r="R2084" s="11" t="str">
        <f>HYPERLINK("\\imagefiles.bcgov\imagery\scanned_maps\moe_terrain_maps\Scanned_T_maps_all\L18\L18-5084","\\imagefiles.bcgov\imagery\scanned_maps\moe_terrain_maps\Scanned_T_maps_all\L18\L18-5084")</f>
        <v>\\imagefiles.bcgov\imagery\scanned_maps\moe_terrain_maps\Scanned_T_maps_all\L18\L18-5084</v>
      </c>
      <c r="S2084" t="s">
        <v>62</v>
      </c>
      <c r="T2084" s="11" t="str">
        <f>HYPERLINK("http://www.env.gov.bc.ca/esd/distdata/ecosystems/TEI_Scanned_Maps/L18/L18-5084","http://www.env.gov.bc.ca/esd/distdata/ecosystems/TEI_Scanned_Maps/L18/L18-5084")</f>
        <v>http://www.env.gov.bc.ca/esd/distdata/ecosystems/TEI_Scanned_Maps/L18/L18-5084</v>
      </c>
      <c r="U2084" t="s">
        <v>269</v>
      </c>
      <c r="V2084" s="11" t="str">
        <f t="shared" si="147"/>
        <v>http://www.library.for.gov.bc.ca/#focus</v>
      </c>
      <c r="W2084" t="s">
        <v>58</v>
      </c>
      <c r="X2084" t="s">
        <v>58</v>
      </c>
      <c r="Y2084" t="s">
        <v>58</v>
      </c>
      <c r="Z2084" t="s">
        <v>58</v>
      </c>
      <c r="AA2084" t="s">
        <v>58</v>
      </c>
      <c r="AC2084" t="s">
        <v>58</v>
      </c>
      <c r="AE2084" t="s">
        <v>58</v>
      </c>
      <c r="AG2084" t="s">
        <v>63</v>
      </c>
      <c r="AH2084" s="11" t="str">
        <f t="shared" si="145"/>
        <v>mailto: soilterrain@victoria1.gov.bc.ca</v>
      </c>
    </row>
    <row r="2085" spans="1:34">
      <c r="A2085" t="s">
        <v>4799</v>
      </c>
      <c r="B2085" t="s">
        <v>56</v>
      </c>
      <c r="C2085" s="10" t="s">
        <v>4496</v>
      </c>
      <c r="D2085" t="s">
        <v>61</v>
      </c>
      <c r="E2085" t="s">
        <v>4787</v>
      </c>
      <c r="F2085" t="s">
        <v>4800</v>
      </c>
      <c r="G2085">
        <v>250000</v>
      </c>
      <c r="H2085">
        <v>1977</v>
      </c>
      <c r="I2085" t="s">
        <v>58</v>
      </c>
      <c r="J2085" t="s">
        <v>61</v>
      </c>
      <c r="K2085" t="s">
        <v>58</v>
      </c>
      <c r="L2085" t="s">
        <v>58</v>
      </c>
      <c r="M2085" t="s">
        <v>58</v>
      </c>
      <c r="P2085" t="s">
        <v>61</v>
      </c>
      <c r="Q2085" t="s">
        <v>58</v>
      </c>
      <c r="R2085" s="11" t="str">
        <f>HYPERLINK("\\imagefiles.bcgov\imagery\scanned_maps\moe_terrain_maps\Scanned_T_maps_all\L19\L19-3622","\\imagefiles.bcgov\imagery\scanned_maps\moe_terrain_maps\Scanned_T_maps_all\L19\L19-3622")</f>
        <v>\\imagefiles.bcgov\imagery\scanned_maps\moe_terrain_maps\Scanned_T_maps_all\L19\L19-3622</v>
      </c>
      <c r="S2085" t="s">
        <v>62</v>
      </c>
      <c r="T2085" s="11" t="str">
        <f>HYPERLINK("http://www.env.gov.bc.ca/esd/distdata/ecosystems/TEI_Scanned_Maps/L19/L19-3622","http://www.env.gov.bc.ca/esd/distdata/ecosystems/TEI_Scanned_Maps/L19/L19-3622")</f>
        <v>http://www.env.gov.bc.ca/esd/distdata/ecosystems/TEI_Scanned_Maps/L19/L19-3622</v>
      </c>
      <c r="U2085" t="s">
        <v>269</v>
      </c>
      <c r="V2085" s="11" t="str">
        <f t="shared" si="147"/>
        <v>http://www.library.for.gov.bc.ca/#focus</v>
      </c>
      <c r="W2085" t="s">
        <v>58</v>
      </c>
      <c r="X2085" t="s">
        <v>58</v>
      </c>
      <c r="Y2085" t="s">
        <v>58</v>
      </c>
      <c r="Z2085" t="s">
        <v>58</v>
      </c>
      <c r="AA2085" t="s">
        <v>58</v>
      </c>
      <c r="AC2085" t="s">
        <v>58</v>
      </c>
      <c r="AE2085" t="s">
        <v>58</v>
      </c>
      <c r="AG2085" t="s">
        <v>63</v>
      </c>
      <c r="AH2085" s="11" t="str">
        <f t="shared" si="145"/>
        <v>mailto: soilterrain@victoria1.gov.bc.ca</v>
      </c>
    </row>
    <row r="2086" spans="1:34">
      <c r="A2086" t="s">
        <v>4801</v>
      </c>
      <c r="B2086" t="s">
        <v>56</v>
      </c>
      <c r="C2086" s="10" t="s">
        <v>4496</v>
      </c>
      <c r="D2086" t="s">
        <v>61</v>
      </c>
      <c r="E2086" t="s">
        <v>4787</v>
      </c>
      <c r="F2086" t="s">
        <v>4802</v>
      </c>
      <c r="G2086">
        <v>250000</v>
      </c>
      <c r="H2086">
        <v>1977</v>
      </c>
      <c r="I2086" t="s">
        <v>58</v>
      </c>
      <c r="J2086" t="s">
        <v>61</v>
      </c>
      <c r="K2086" t="s">
        <v>58</v>
      </c>
      <c r="L2086" t="s">
        <v>58</v>
      </c>
      <c r="M2086" t="s">
        <v>58</v>
      </c>
      <c r="P2086" t="s">
        <v>61</v>
      </c>
      <c r="Q2086" t="s">
        <v>58</v>
      </c>
      <c r="R2086" s="11" t="str">
        <f>HYPERLINK("\\imagefiles.bcgov\imagery\scanned_maps\moe_terrain_maps\Scanned_T_maps_all\L19\L19-3623","\\imagefiles.bcgov\imagery\scanned_maps\moe_terrain_maps\Scanned_T_maps_all\L19\L19-3623")</f>
        <v>\\imagefiles.bcgov\imagery\scanned_maps\moe_terrain_maps\Scanned_T_maps_all\L19\L19-3623</v>
      </c>
      <c r="S2086" t="s">
        <v>62</v>
      </c>
      <c r="T2086" s="11" t="str">
        <f>HYPERLINK("http://www.env.gov.bc.ca/esd/distdata/ecosystems/TEI_Scanned_Maps/L19/L19-3623","http://www.env.gov.bc.ca/esd/distdata/ecosystems/TEI_Scanned_Maps/L19/L19-3623")</f>
        <v>http://www.env.gov.bc.ca/esd/distdata/ecosystems/TEI_Scanned_Maps/L19/L19-3623</v>
      </c>
      <c r="U2086" t="s">
        <v>269</v>
      </c>
      <c r="V2086" s="11" t="str">
        <f t="shared" si="147"/>
        <v>http://www.library.for.gov.bc.ca/#focus</v>
      </c>
      <c r="W2086" t="s">
        <v>58</v>
      </c>
      <c r="X2086" t="s">
        <v>58</v>
      </c>
      <c r="Y2086" t="s">
        <v>58</v>
      </c>
      <c r="Z2086" t="s">
        <v>58</v>
      </c>
      <c r="AA2086" t="s">
        <v>58</v>
      </c>
      <c r="AC2086" t="s">
        <v>58</v>
      </c>
      <c r="AE2086" t="s">
        <v>58</v>
      </c>
      <c r="AG2086" t="s">
        <v>63</v>
      </c>
      <c r="AH2086" s="11" t="str">
        <f t="shared" si="145"/>
        <v>mailto: soilterrain@victoria1.gov.bc.ca</v>
      </c>
    </row>
    <row r="2087" spans="1:34">
      <c r="A2087" t="s">
        <v>4803</v>
      </c>
      <c r="B2087" t="s">
        <v>56</v>
      </c>
      <c r="C2087" s="10" t="s">
        <v>4496</v>
      </c>
      <c r="D2087" t="s">
        <v>61</v>
      </c>
      <c r="E2087" t="s">
        <v>4787</v>
      </c>
      <c r="F2087" t="s">
        <v>4804</v>
      </c>
      <c r="G2087">
        <v>250000</v>
      </c>
      <c r="H2087">
        <v>1977</v>
      </c>
      <c r="I2087" t="s">
        <v>58</v>
      </c>
      <c r="J2087" t="s">
        <v>61</v>
      </c>
      <c r="K2087" t="s">
        <v>58</v>
      </c>
      <c r="L2087" t="s">
        <v>58</v>
      </c>
      <c r="M2087" t="s">
        <v>58</v>
      </c>
      <c r="P2087" t="s">
        <v>61</v>
      </c>
      <c r="Q2087" t="s">
        <v>58</v>
      </c>
      <c r="R2087" s="11" t="str">
        <f>HYPERLINK("\\imagefiles.bcgov\imagery\scanned_maps\moe_terrain_maps\Scanned_T_maps_all\L19\L19-3624","\\imagefiles.bcgov\imagery\scanned_maps\moe_terrain_maps\Scanned_T_maps_all\L19\L19-3624")</f>
        <v>\\imagefiles.bcgov\imagery\scanned_maps\moe_terrain_maps\Scanned_T_maps_all\L19\L19-3624</v>
      </c>
      <c r="S2087" t="s">
        <v>62</v>
      </c>
      <c r="T2087" s="11" t="str">
        <f>HYPERLINK("http://www.env.gov.bc.ca/esd/distdata/ecosystems/TEI_Scanned_Maps/L19/L19-3624","http://www.env.gov.bc.ca/esd/distdata/ecosystems/TEI_Scanned_Maps/L19/L19-3624")</f>
        <v>http://www.env.gov.bc.ca/esd/distdata/ecosystems/TEI_Scanned_Maps/L19/L19-3624</v>
      </c>
      <c r="U2087" t="s">
        <v>269</v>
      </c>
      <c r="V2087" s="11" t="str">
        <f t="shared" si="147"/>
        <v>http://www.library.for.gov.bc.ca/#focus</v>
      </c>
      <c r="W2087" t="s">
        <v>58</v>
      </c>
      <c r="X2087" t="s">
        <v>58</v>
      </c>
      <c r="Y2087" t="s">
        <v>58</v>
      </c>
      <c r="Z2087" t="s">
        <v>58</v>
      </c>
      <c r="AA2087" t="s">
        <v>58</v>
      </c>
      <c r="AC2087" t="s">
        <v>58</v>
      </c>
      <c r="AE2087" t="s">
        <v>58</v>
      </c>
      <c r="AG2087" t="s">
        <v>63</v>
      </c>
      <c r="AH2087" s="11" t="str">
        <f t="shared" si="145"/>
        <v>mailto: soilterrain@victoria1.gov.bc.ca</v>
      </c>
    </row>
    <row r="2088" spans="1:34">
      <c r="A2088" t="s">
        <v>4805</v>
      </c>
      <c r="B2088" t="s">
        <v>56</v>
      </c>
      <c r="C2088" s="10" t="s">
        <v>4496</v>
      </c>
      <c r="D2088" t="s">
        <v>61</v>
      </c>
      <c r="E2088" t="s">
        <v>4787</v>
      </c>
      <c r="F2088" t="s">
        <v>4806</v>
      </c>
      <c r="G2088">
        <v>250000</v>
      </c>
      <c r="H2088">
        <v>1977</v>
      </c>
      <c r="I2088" t="s">
        <v>58</v>
      </c>
      <c r="J2088" t="s">
        <v>61</v>
      </c>
      <c r="K2088" t="s">
        <v>58</v>
      </c>
      <c r="L2088" t="s">
        <v>58</v>
      </c>
      <c r="M2088" t="s">
        <v>58</v>
      </c>
      <c r="P2088" t="s">
        <v>61</v>
      </c>
      <c r="Q2088" t="s">
        <v>58</v>
      </c>
      <c r="R2088" s="11" t="str">
        <f>HYPERLINK("\\imagefiles.bcgov\imagery\scanned_maps\moe_terrain_maps\Scanned_T_maps_all\L19\L19-3625","\\imagefiles.bcgov\imagery\scanned_maps\moe_terrain_maps\Scanned_T_maps_all\L19\L19-3625")</f>
        <v>\\imagefiles.bcgov\imagery\scanned_maps\moe_terrain_maps\Scanned_T_maps_all\L19\L19-3625</v>
      </c>
      <c r="S2088" t="s">
        <v>62</v>
      </c>
      <c r="T2088" s="11" t="str">
        <f>HYPERLINK("http://www.env.gov.bc.ca/esd/distdata/ecosystems/TEI_Scanned_Maps/L19/L19-3625","http://www.env.gov.bc.ca/esd/distdata/ecosystems/TEI_Scanned_Maps/L19/L19-3625")</f>
        <v>http://www.env.gov.bc.ca/esd/distdata/ecosystems/TEI_Scanned_Maps/L19/L19-3625</v>
      </c>
      <c r="U2088" t="s">
        <v>269</v>
      </c>
      <c r="V2088" s="11" t="str">
        <f t="shared" si="147"/>
        <v>http://www.library.for.gov.bc.ca/#focus</v>
      </c>
      <c r="W2088" t="s">
        <v>58</v>
      </c>
      <c r="X2088" t="s">
        <v>58</v>
      </c>
      <c r="Y2088" t="s">
        <v>58</v>
      </c>
      <c r="Z2088" t="s">
        <v>58</v>
      </c>
      <c r="AA2088" t="s">
        <v>58</v>
      </c>
      <c r="AC2088" t="s">
        <v>58</v>
      </c>
      <c r="AE2088" t="s">
        <v>58</v>
      </c>
      <c r="AG2088" t="s">
        <v>63</v>
      </c>
      <c r="AH2088" s="11" t="str">
        <f t="shared" si="145"/>
        <v>mailto: soilterrain@victoria1.gov.bc.ca</v>
      </c>
    </row>
    <row r="2089" spans="1:34">
      <c r="A2089" t="s">
        <v>4807</v>
      </c>
      <c r="B2089" t="s">
        <v>56</v>
      </c>
      <c r="C2089" s="10" t="s">
        <v>4808</v>
      </c>
      <c r="D2089" t="s">
        <v>58</v>
      </c>
      <c r="E2089" t="s">
        <v>4787</v>
      </c>
      <c r="F2089" t="s">
        <v>4809</v>
      </c>
      <c r="G2089">
        <v>20000</v>
      </c>
      <c r="H2089" t="s">
        <v>187</v>
      </c>
      <c r="I2089" t="s">
        <v>58</v>
      </c>
      <c r="J2089" t="s">
        <v>61</v>
      </c>
      <c r="K2089" t="s">
        <v>61</v>
      </c>
      <c r="L2089" t="s">
        <v>58</v>
      </c>
      <c r="M2089" t="s">
        <v>58</v>
      </c>
      <c r="Q2089" t="s">
        <v>58</v>
      </c>
      <c r="R2089" s="11" t="str">
        <f>HYPERLINK("\\imagefiles.bcgov\imagery\scanned_maps\moe_terrain_maps\Scanned_T_maps_all\L19\L19-461","\\imagefiles.bcgov\imagery\scanned_maps\moe_terrain_maps\Scanned_T_maps_all\L19\L19-461")</f>
        <v>\\imagefiles.bcgov\imagery\scanned_maps\moe_terrain_maps\Scanned_T_maps_all\L19\L19-461</v>
      </c>
      <c r="S2089" t="s">
        <v>62</v>
      </c>
      <c r="T2089" s="11" t="str">
        <f>HYPERLINK("http://www.env.gov.bc.ca/esd/distdata/ecosystems/TEI_Scanned_Maps/L19/L19-461","http://www.env.gov.bc.ca/esd/distdata/ecosystems/TEI_Scanned_Maps/L19/L19-461")</f>
        <v>http://www.env.gov.bc.ca/esd/distdata/ecosystems/TEI_Scanned_Maps/L19/L19-461</v>
      </c>
      <c r="U2089" t="s">
        <v>269</v>
      </c>
      <c r="V2089" s="11" t="str">
        <f t="shared" si="147"/>
        <v>http://www.library.for.gov.bc.ca/#focus</v>
      </c>
      <c r="W2089" t="s">
        <v>58</v>
      </c>
      <c r="X2089" t="s">
        <v>58</v>
      </c>
      <c r="Y2089" t="s">
        <v>58</v>
      </c>
      <c r="Z2089" t="s">
        <v>58</v>
      </c>
      <c r="AA2089" t="s">
        <v>58</v>
      </c>
      <c r="AC2089" t="s">
        <v>58</v>
      </c>
      <c r="AE2089" t="s">
        <v>58</v>
      </c>
      <c r="AG2089" t="s">
        <v>63</v>
      </c>
      <c r="AH2089" s="11" t="str">
        <f t="shared" si="145"/>
        <v>mailto: soilterrain@victoria1.gov.bc.ca</v>
      </c>
    </row>
    <row r="2090" spans="1:34">
      <c r="A2090" t="s">
        <v>4810</v>
      </c>
      <c r="B2090" t="s">
        <v>56</v>
      </c>
      <c r="C2090" s="10" t="s">
        <v>4811</v>
      </c>
      <c r="D2090" t="s">
        <v>58</v>
      </c>
      <c r="E2090" t="s">
        <v>4787</v>
      </c>
      <c r="F2090" t="s">
        <v>4812</v>
      </c>
      <c r="G2090">
        <v>20000</v>
      </c>
      <c r="H2090">
        <v>1985</v>
      </c>
      <c r="I2090" t="s">
        <v>58</v>
      </c>
      <c r="J2090" t="s">
        <v>61</v>
      </c>
      <c r="K2090" t="s">
        <v>61</v>
      </c>
      <c r="L2090" t="s">
        <v>58</v>
      </c>
      <c r="M2090" t="s">
        <v>58</v>
      </c>
      <c r="Q2090" t="s">
        <v>58</v>
      </c>
      <c r="R2090" s="11" t="str">
        <f>HYPERLINK("\\imagefiles.bcgov\imagery\scanned_maps\moe_terrain_maps\Scanned_T_maps_all\L19\L19-462","\\imagefiles.bcgov\imagery\scanned_maps\moe_terrain_maps\Scanned_T_maps_all\L19\L19-462")</f>
        <v>\\imagefiles.bcgov\imagery\scanned_maps\moe_terrain_maps\Scanned_T_maps_all\L19\L19-462</v>
      </c>
      <c r="S2090" t="s">
        <v>62</v>
      </c>
      <c r="T2090" s="11" t="str">
        <f>HYPERLINK("http://www.env.gov.bc.ca/esd/distdata/ecosystems/TEI_Scanned_Maps/L19/L19-462","http://www.env.gov.bc.ca/esd/distdata/ecosystems/TEI_Scanned_Maps/L19/L19-462")</f>
        <v>http://www.env.gov.bc.ca/esd/distdata/ecosystems/TEI_Scanned_Maps/L19/L19-462</v>
      </c>
      <c r="U2090" t="s">
        <v>269</v>
      </c>
      <c r="V2090" s="11" t="str">
        <f t="shared" si="147"/>
        <v>http://www.library.for.gov.bc.ca/#focus</v>
      </c>
      <c r="W2090" t="s">
        <v>58</v>
      </c>
      <c r="X2090" t="s">
        <v>58</v>
      </c>
      <c r="Y2090" t="s">
        <v>58</v>
      </c>
      <c r="Z2090" t="s">
        <v>58</v>
      </c>
      <c r="AA2090" t="s">
        <v>58</v>
      </c>
      <c r="AC2090" t="s">
        <v>58</v>
      </c>
      <c r="AE2090" t="s">
        <v>58</v>
      </c>
      <c r="AG2090" t="s">
        <v>63</v>
      </c>
      <c r="AH2090" s="11" t="str">
        <f t="shared" si="145"/>
        <v>mailto: soilterrain@victoria1.gov.bc.ca</v>
      </c>
    </row>
    <row r="2091" spans="1:34">
      <c r="A2091" t="s">
        <v>4813</v>
      </c>
      <c r="B2091" t="s">
        <v>56</v>
      </c>
      <c r="C2091" s="10" t="s">
        <v>4814</v>
      </c>
      <c r="D2091" t="s">
        <v>58</v>
      </c>
      <c r="E2091" t="s">
        <v>4787</v>
      </c>
      <c r="F2091" t="s">
        <v>4815</v>
      </c>
      <c r="G2091">
        <v>20000</v>
      </c>
      <c r="H2091" t="s">
        <v>187</v>
      </c>
      <c r="I2091" t="s">
        <v>58</v>
      </c>
      <c r="J2091" t="s">
        <v>61</v>
      </c>
      <c r="K2091" t="s">
        <v>61</v>
      </c>
      <c r="L2091" t="s">
        <v>58</v>
      </c>
      <c r="M2091" t="s">
        <v>58</v>
      </c>
      <c r="Q2091" t="s">
        <v>58</v>
      </c>
      <c r="R2091" s="11" t="str">
        <f>HYPERLINK("\\imagefiles.bcgov\imagery\scanned_maps\moe_terrain_maps\Scanned_T_maps_all\L19\L19-463","\\imagefiles.bcgov\imagery\scanned_maps\moe_terrain_maps\Scanned_T_maps_all\L19\L19-463")</f>
        <v>\\imagefiles.bcgov\imagery\scanned_maps\moe_terrain_maps\Scanned_T_maps_all\L19\L19-463</v>
      </c>
      <c r="S2091" t="s">
        <v>62</v>
      </c>
      <c r="T2091" s="11" t="str">
        <f>HYPERLINK("http://www.env.gov.bc.ca/esd/distdata/ecosystems/TEI_Scanned_Maps/L19/L19-463","http://www.env.gov.bc.ca/esd/distdata/ecosystems/TEI_Scanned_Maps/L19/L19-463")</f>
        <v>http://www.env.gov.bc.ca/esd/distdata/ecosystems/TEI_Scanned_Maps/L19/L19-463</v>
      </c>
      <c r="U2091" t="s">
        <v>269</v>
      </c>
      <c r="V2091" s="11" t="str">
        <f t="shared" si="147"/>
        <v>http://www.library.for.gov.bc.ca/#focus</v>
      </c>
      <c r="W2091" t="s">
        <v>58</v>
      </c>
      <c r="X2091" t="s">
        <v>58</v>
      </c>
      <c r="Y2091" t="s">
        <v>58</v>
      </c>
      <c r="Z2091" t="s">
        <v>58</v>
      </c>
      <c r="AA2091" t="s">
        <v>58</v>
      </c>
      <c r="AC2091" t="s">
        <v>58</v>
      </c>
      <c r="AE2091" t="s">
        <v>58</v>
      </c>
      <c r="AG2091" t="s">
        <v>63</v>
      </c>
      <c r="AH2091" s="11" t="str">
        <f t="shared" si="145"/>
        <v>mailto: soilterrain@victoria1.gov.bc.ca</v>
      </c>
    </row>
    <row r="2092" spans="1:34">
      <c r="A2092" t="s">
        <v>4816</v>
      </c>
      <c r="B2092" t="s">
        <v>56</v>
      </c>
      <c r="C2092" s="10" t="s">
        <v>4817</v>
      </c>
      <c r="D2092" t="s">
        <v>58</v>
      </c>
      <c r="E2092" t="s">
        <v>4787</v>
      </c>
      <c r="F2092" t="s">
        <v>4818</v>
      </c>
      <c r="G2092">
        <v>20000</v>
      </c>
      <c r="H2092">
        <v>1984</v>
      </c>
      <c r="I2092" t="s">
        <v>58</v>
      </c>
      <c r="J2092" t="s">
        <v>61</v>
      </c>
      <c r="K2092" t="s">
        <v>61</v>
      </c>
      <c r="L2092" t="s">
        <v>58</v>
      </c>
      <c r="M2092" t="s">
        <v>58</v>
      </c>
      <c r="Q2092" t="s">
        <v>58</v>
      </c>
      <c r="R2092" s="11" t="str">
        <f>HYPERLINK("\\imagefiles.bcgov\imagery\scanned_maps\moe_terrain_maps\Scanned_T_maps_all\L19\L19-515","\\imagefiles.bcgov\imagery\scanned_maps\moe_terrain_maps\Scanned_T_maps_all\L19\L19-515")</f>
        <v>\\imagefiles.bcgov\imagery\scanned_maps\moe_terrain_maps\Scanned_T_maps_all\L19\L19-515</v>
      </c>
      <c r="S2092" t="s">
        <v>62</v>
      </c>
      <c r="T2092" s="11" t="str">
        <f>HYPERLINK("http://www.env.gov.bc.ca/esd/distdata/ecosystems/TEI_Scanned_Maps/L19/L19-515","http://www.env.gov.bc.ca/esd/distdata/ecosystems/TEI_Scanned_Maps/L19/L19-515")</f>
        <v>http://www.env.gov.bc.ca/esd/distdata/ecosystems/TEI_Scanned_Maps/L19/L19-515</v>
      </c>
      <c r="U2092" t="s">
        <v>269</v>
      </c>
      <c r="V2092" s="11" t="str">
        <f t="shared" si="147"/>
        <v>http://www.library.for.gov.bc.ca/#focus</v>
      </c>
      <c r="W2092" t="s">
        <v>58</v>
      </c>
      <c r="X2092" t="s">
        <v>58</v>
      </c>
      <c r="Y2092" t="s">
        <v>58</v>
      </c>
      <c r="Z2092" t="s">
        <v>58</v>
      </c>
      <c r="AA2092" t="s">
        <v>58</v>
      </c>
      <c r="AC2092" t="s">
        <v>58</v>
      </c>
      <c r="AE2092" t="s">
        <v>58</v>
      </c>
      <c r="AG2092" t="s">
        <v>63</v>
      </c>
      <c r="AH2092" s="11" t="str">
        <f t="shared" si="145"/>
        <v>mailto: soilterrain@victoria1.gov.bc.ca</v>
      </c>
    </row>
    <row r="2093" spans="1:34">
      <c r="A2093" t="s">
        <v>4819</v>
      </c>
      <c r="B2093" t="s">
        <v>56</v>
      </c>
      <c r="C2093" s="10" t="s">
        <v>4820</v>
      </c>
      <c r="D2093" t="s">
        <v>61</v>
      </c>
      <c r="E2093" t="s">
        <v>4821</v>
      </c>
      <c r="F2093" t="s">
        <v>4822</v>
      </c>
      <c r="G2093">
        <v>70000</v>
      </c>
      <c r="H2093">
        <v>1978</v>
      </c>
      <c r="I2093" t="s">
        <v>4823</v>
      </c>
      <c r="J2093" t="s">
        <v>61</v>
      </c>
      <c r="K2093" t="s">
        <v>58</v>
      </c>
      <c r="L2093" t="s">
        <v>58</v>
      </c>
      <c r="M2093" t="s">
        <v>58</v>
      </c>
      <c r="P2093" t="s">
        <v>61</v>
      </c>
      <c r="Q2093" t="s">
        <v>58</v>
      </c>
      <c r="R2093" s="11" t="str">
        <f>HYPERLINK("\\imagefiles.bcgov\imagery\scanned_maps\moe_terrain_maps\Scanned_T_maps_all\L22\L22-2765","\\imagefiles.bcgov\imagery\scanned_maps\moe_terrain_maps\Scanned_T_maps_all\L22\L22-2765")</f>
        <v>\\imagefiles.bcgov\imagery\scanned_maps\moe_terrain_maps\Scanned_T_maps_all\L22\L22-2765</v>
      </c>
      <c r="S2093" t="s">
        <v>62</v>
      </c>
      <c r="T2093" s="11" t="str">
        <f>HYPERLINK("http://www.env.gov.bc.ca/esd/distdata/ecosystems/TEI_Scanned_Maps/L22/L22-2765","http://www.env.gov.bc.ca/esd/distdata/ecosystems/TEI_Scanned_Maps/L22/L22-2765")</f>
        <v>http://www.env.gov.bc.ca/esd/distdata/ecosystems/TEI_Scanned_Maps/L22/L22-2765</v>
      </c>
      <c r="U2093" t="s">
        <v>58</v>
      </c>
      <c r="V2093" t="s">
        <v>58</v>
      </c>
      <c r="W2093" t="s">
        <v>58</v>
      </c>
      <c r="X2093" t="s">
        <v>58</v>
      </c>
      <c r="Y2093" t="s">
        <v>58</v>
      </c>
      <c r="Z2093" t="s">
        <v>58</v>
      </c>
      <c r="AA2093" t="s">
        <v>58</v>
      </c>
      <c r="AC2093" t="s">
        <v>58</v>
      </c>
      <c r="AE2093" t="s">
        <v>58</v>
      </c>
      <c r="AG2093" t="s">
        <v>63</v>
      </c>
      <c r="AH2093" s="11" t="str">
        <f t="shared" si="145"/>
        <v>mailto: soilterrain@victoria1.gov.bc.ca</v>
      </c>
    </row>
    <row r="2094" spans="1:34">
      <c r="A2094" t="s">
        <v>4824</v>
      </c>
      <c r="B2094" t="s">
        <v>56</v>
      </c>
      <c r="C2094" s="10" t="s">
        <v>4820</v>
      </c>
      <c r="D2094" t="s">
        <v>61</v>
      </c>
      <c r="E2094" t="s">
        <v>4821</v>
      </c>
      <c r="F2094" t="s">
        <v>4825</v>
      </c>
      <c r="G2094">
        <v>70000</v>
      </c>
      <c r="H2094">
        <v>1978</v>
      </c>
      <c r="I2094" t="s">
        <v>4823</v>
      </c>
      <c r="J2094" t="s">
        <v>61</v>
      </c>
      <c r="K2094" t="s">
        <v>61</v>
      </c>
      <c r="L2094" t="s">
        <v>58</v>
      </c>
      <c r="M2094" t="s">
        <v>58</v>
      </c>
      <c r="Q2094" t="s">
        <v>58</v>
      </c>
      <c r="R2094" s="11" t="str">
        <f>HYPERLINK("\\imagefiles.bcgov\imagery\scanned_maps\moe_terrain_maps\Scanned_T_maps_all\L22\L22-2766","\\imagefiles.bcgov\imagery\scanned_maps\moe_terrain_maps\Scanned_T_maps_all\L22\L22-2766")</f>
        <v>\\imagefiles.bcgov\imagery\scanned_maps\moe_terrain_maps\Scanned_T_maps_all\L22\L22-2766</v>
      </c>
      <c r="S2094" t="s">
        <v>62</v>
      </c>
      <c r="T2094" s="11" t="str">
        <f>HYPERLINK("http://www.env.gov.bc.ca/esd/distdata/ecosystems/TEI_Scanned_Maps/L22/L22-2766","http://www.env.gov.bc.ca/esd/distdata/ecosystems/TEI_Scanned_Maps/L22/L22-2766")</f>
        <v>http://www.env.gov.bc.ca/esd/distdata/ecosystems/TEI_Scanned_Maps/L22/L22-2766</v>
      </c>
      <c r="U2094" t="s">
        <v>58</v>
      </c>
      <c r="V2094" t="s">
        <v>58</v>
      </c>
      <c r="W2094" t="s">
        <v>58</v>
      </c>
      <c r="X2094" t="s">
        <v>58</v>
      </c>
      <c r="Y2094" t="s">
        <v>58</v>
      </c>
      <c r="Z2094" t="s">
        <v>58</v>
      </c>
      <c r="AA2094" t="s">
        <v>58</v>
      </c>
      <c r="AC2094" t="s">
        <v>58</v>
      </c>
      <c r="AE2094" t="s">
        <v>58</v>
      </c>
      <c r="AG2094" t="s">
        <v>63</v>
      </c>
      <c r="AH2094" s="11" t="str">
        <f t="shared" si="145"/>
        <v>mailto: soilterrain@victoria1.gov.bc.ca</v>
      </c>
    </row>
    <row r="2095" spans="1:34">
      <c r="A2095" t="s">
        <v>4826</v>
      </c>
      <c r="B2095" t="s">
        <v>56</v>
      </c>
      <c r="C2095" s="10" t="s">
        <v>4820</v>
      </c>
      <c r="D2095" t="s">
        <v>61</v>
      </c>
      <c r="E2095" t="s">
        <v>4821</v>
      </c>
      <c r="F2095" t="s">
        <v>4827</v>
      </c>
      <c r="G2095">
        <v>70000</v>
      </c>
      <c r="H2095">
        <v>1978</v>
      </c>
      <c r="I2095" t="s">
        <v>4823</v>
      </c>
      <c r="J2095" t="s">
        <v>61</v>
      </c>
      <c r="K2095" t="s">
        <v>61</v>
      </c>
      <c r="L2095" t="s">
        <v>58</v>
      </c>
      <c r="M2095" t="s">
        <v>58</v>
      </c>
      <c r="Q2095" t="s">
        <v>58</v>
      </c>
      <c r="R2095" s="11" t="str">
        <f>HYPERLINK("\\imagefiles.bcgov\imagery\scanned_maps\moe_terrain_maps\Scanned_T_maps_all\L22\L22-2767","\\imagefiles.bcgov\imagery\scanned_maps\moe_terrain_maps\Scanned_T_maps_all\L22\L22-2767")</f>
        <v>\\imagefiles.bcgov\imagery\scanned_maps\moe_terrain_maps\Scanned_T_maps_all\L22\L22-2767</v>
      </c>
      <c r="S2095" t="s">
        <v>62</v>
      </c>
      <c r="T2095" s="11" t="str">
        <f>HYPERLINK("http://www.env.gov.bc.ca/esd/distdata/ecosystems/TEI_Scanned_Maps/L22/L22-2767","http://www.env.gov.bc.ca/esd/distdata/ecosystems/TEI_Scanned_Maps/L22/L22-2767")</f>
        <v>http://www.env.gov.bc.ca/esd/distdata/ecosystems/TEI_Scanned_Maps/L22/L22-2767</v>
      </c>
      <c r="U2095" t="s">
        <v>58</v>
      </c>
      <c r="V2095" t="s">
        <v>58</v>
      </c>
      <c r="W2095" t="s">
        <v>58</v>
      </c>
      <c r="X2095" t="s">
        <v>58</v>
      </c>
      <c r="Y2095" t="s">
        <v>58</v>
      </c>
      <c r="Z2095" t="s">
        <v>58</v>
      </c>
      <c r="AA2095" t="s">
        <v>58</v>
      </c>
      <c r="AC2095" t="s">
        <v>58</v>
      </c>
      <c r="AE2095" t="s">
        <v>58</v>
      </c>
      <c r="AG2095" t="s">
        <v>63</v>
      </c>
      <c r="AH2095" s="11" t="str">
        <f t="shared" si="145"/>
        <v>mailto: soilterrain@victoria1.gov.bc.ca</v>
      </c>
    </row>
    <row r="2096" spans="1:34">
      <c r="A2096" t="s">
        <v>4828</v>
      </c>
      <c r="B2096" t="s">
        <v>56</v>
      </c>
      <c r="C2096" s="10" t="s">
        <v>1344</v>
      </c>
      <c r="D2096" t="s">
        <v>58</v>
      </c>
      <c r="E2096" t="s">
        <v>4829</v>
      </c>
      <c r="F2096" t="s">
        <v>4830</v>
      </c>
      <c r="G2096">
        <v>50000</v>
      </c>
      <c r="H2096" t="s">
        <v>187</v>
      </c>
      <c r="I2096" t="s">
        <v>4831</v>
      </c>
      <c r="J2096" t="s">
        <v>61</v>
      </c>
      <c r="K2096" t="s">
        <v>61</v>
      </c>
      <c r="L2096" t="s">
        <v>58</v>
      </c>
      <c r="M2096" t="s">
        <v>58</v>
      </c>
      <c r="Q2096" t="s">
        <v>58</v>
      </c>
      <c r="R2096" s="11" t="str">
        <f>HYPERLINK("\\imagefiles.bcgov\imagery\scanned_maps\moe_terrain_maps\Scanned_T_maps_all\L23\L23-1875","\\imagefiles.bcgov\imagery\scanned_maps\moe_terrain_maps\Scanned_T_maps_all\L23\L23-1875")</f>
        <v>\\imagefiles.bcgov\imagery\scanned_maps\moe_terrain_maps\Scanned_T_maps_all\L23\L23-1875</v>
      </c>
      <c r="S2096" t="s">
        <v>62</v>
      </c>
      <c r="T2096" s="11" t="str">
        <f>HYPERLINK("http://www.env.gov.bc.ca/esd/distdata/ecosystems/TEI_Scanned_Maps/L23/L23-1875","http://www.env.gov.bc.ca/esd/distdata/ecosystems/TEI_Scanned_Maps/L23/L23-1875")</f>
        <v>http://www.env.gov.bc.ca/esd/distdata/ecosystems/TEI_Scanned_Maps/L23/L23-1875</v>
      </c>
      <c r="U2096" t="s">
        <v>58</v>
      </c>
      <c r="V2096" t="s">
        <v>58</v>
      </c>
      <c r="W2096" t="s">
        <v>58</v>
      </c>
      <c r="X2096" t="s">
        <v>58</v>
      </c>
      <c r="Y2096" t="s">
        <v>58</v>
      </c>
      <c r="Z2096" t="s">
        <v>58</v>
      </c>
      <c r="AA2096" t="s">
        <v>58</v>
      </c>
      <c r="AC2096" t="s">
        <v>58</v>
      </c>
      <c r="AE2096" t="s">
        <v>58</v>
      </c>
      <c r="AG2096" t="s">
        <v>63</v>
      </c>
      <c r="AH2096" s="11" t="str">
        <f t="shared" si="145"/>
        <v>mailto: soilterrain@victoria1.gov.bc.ca</v>
      </c>
    </row>
    <row r="2097" spans="1:34">
      <c r="A2097" t="s">
        <v>4832</v>
      </c>
      <c r="B2097" t="s">
        <v>56</v>
      </c>
      <c r="C2097" s="10" t="s">
        <v>1344</v>
      </c>
      <c r="D2097" t="s">
        <v>58</v>
      </c>
      <c r="E2097" t="s">
        <v>4829</v>
      </c>
      <c r="F2097" t="s">
        <v>4833</v>
      </c>
      <c r="G2097">
        <v>50000</v>
      </c>
      <c r="H2097">
        <v>1955</v>
      </c>
      <c r="I2097" t="s">
        <v>4831</v>
      </c>
      <c r="J2097" t="s">
        <v>61</v>
      </c>
      <c r="K2097" t="s">
        <v>58</v>
      </c>
      <c r="L2097" t="s">
        <v>58</v>
      </c>
      <c r="M2097" t="s">
        <v>58</v>
      </c>
      <c r="P2097" t="s">
        <v>61</v>
      </c>
      <c r="Q2097" t="s">
        <v>58</v>
      </c>
      <c r="R2097" s="11" t="str">
        <f>HYPERLINK("\\imagefiles.bcgov\imagery\scanned_maps\moe_terrain_maps\Scanned_T_maps_all\L23\L23-1878","\\imagefiles.bcgov\imagery\scanned_maps\moe_terrain_maps\Scanned_T_maps_all\L23\L23-1878")</f>
        <v>\\imagefiles.bcgov\imagery\scanned_maps\moe_terrain_maps\Scanned_T_maps_all\L23\L23-1878</v>
      </c>
      <c r="S2097" t="s">
        <v>62</v>
      </c>
      <c r="T2097" s="11" t="str">
        <f>HYPERLINK("http://www.env.gov.bc.ca/esd/distdata/ecosystems/TEI_Scanned_Maps/L23/L23-1878","http://www.env.gov.bc.ca/esd/distdata/ecosystems/TEI_Scanned_Maps/L23/L23-1878")</f>
        <v>http://www.env.gov.bc.ca/esd/distdata/ecosystems/TEI_Scanned_Maps/L23/L23-1878</v>
      </c>
      <c r="U2097" t="s">
        <v>58</v>
      </c>
      <c r="V2097" t="s">
        <v>58</v>
      </c>
      <c r="W2097" t="s">
        <v>58</v>
      </c>
      <c r="X2097" t="s">
        <v>58</v>
      </c>
      <c r="Y2097" t="s">
        <v>58</v>
      </c>
      <c r="Z2097" t="s">
        <v>58</v>
      </c>
      <c r="AA2097" t="s">
        <v>58</v>
      </c>
      <c r="AC2097" t="s">
        <v>58</v>
      </c>
      <c r="AE2097" t="s">
        <v>58</v>
      </c>
      <c r="AG2097" t="s">
        <v>63</v>
      </c>
      <c r="AH2097" s="11" t="str">
        <f t="shared" si="145"/>
        <v>mailto: soilterrain@victoria1.gov.bc.ca</v>
      </c>
    </row>
    <row r="2098" spans="1:34">
      <c r="A2098" t="s">
        <v>4834</v>
      </c>
      <c r="B2098" t="s">
        <v>56</v>
      </c>
      <c r="C2098" s="10" t="s">
        <v>1344</v>
      </c>
      <c r="D2098" t="s">
        <v>58</v>
      </c>
      <c r="E2098" t="s">
        <v>4829</v>
      </c>
      <c r="F2098" t="s">
        <v>4835</v>
      </c>
      <c r="G2098">
        <v>50000</v>
      </c>
      <c r="H2098">
        <v>1984</v>
      </c>
      <c r="I2098" t="s">
        <v>4831</v>
      </c>
      <c r="J2098" t="s">
        <v>61</v>
      </c>
      <c r="K2098" t="s">
        <v>58</v>
      </c>
      <c r="L2098" t="s">
        <v>58</v>
      </c>
      <c r="M2098" t="s">
        <v>58</v>
      </c>
      <c r="P2098" t="s">
        <v>61</v>
      </c>
      <c r="Q2098" t="s">
        <v>58</v>
      </c>
      <c r="R2098" s="11" t="str">
        <f>HYPERLINK("\\imagefiles.bcgov\imagery\scanned_maps\moe_terrain_maps\Scanned_T_maps_all\L23\L23-1879","\\imagefiles.bcgov\imagery\scanned_maps\moe_terrain_maps\Scanned_T_maps_all\L23\L23-1879")</f>
        <v>\\imagefiles.bcgov\imagery\scanned_maps\moe_terrain_maps\Scanned_T_maps_all\L23\L23-1879</v>
      </c>
      <c r="S2098" t="s">
        <v>62</v>
      </c>
      <c r="T2098" s="11" t="str">
        <f>HYPERLINK("http://www.env.gov.bc.ca/esd/distdata/ecosystems/TEI_Scanned_Maps/L23/L23-1879","http://www.env.gov.bc.ca/esd/distdata/ecosystems/TEI_Scanned_Maps/L23/L23-1879")</f>
        <v>http://www.env.gov.bc.ca/esd/distdata/ecosystems/TEI_Scanned_Maps/L23/L23-1879</v>
      </c>
      <c r="U2098" t="s">
        <v>58</v>
      </c>
      <c r="V2098" t="s">
        <v>58</v>
      </c>
      <c r="W2098" t="s">
        <v>58</v>
      </c>
      <c r="X2098" t="s">
        <v>58</v>
      </c>
      <c r="Y2098" t="s">
        <v>58</v>
      </c>
      <c r="Z2098" t="s">
        <v>58</v>
      </c>
      <c r="AA2098" t="s">
        <v>58</v>
      </c>
      <c r="AC2098" t="s">
        <v>58</v>
      </c>
      <c r="AE2098" t="s">
        <v>58</v>
      </c>
      <c r="AG2098" t="s">
        <v>63</v>
      </c>
      <c r="AH2098" s="11" t="str">
        <f t="shared" si="145"/>
        <v>mailto: soilterrain@victoria1.gov.bc.ca</v>
      </c>
    </row>
    <row r="2099" spans="1:34">
      <c r="A2099" t="s">
        <v>4836</v>
      </c>
      <c r="B2099" t="s">
        <v>56</v>
      </c>
      <c r="C2099" s="10" t="s">
        <v>1344</v>
      </c>
      <c r="D2099" t="s">
        <v>58</v>
      </c>
      <c r="E2099" t="s">
        <v>4829</v>
      </c>
      <c r="F2099" t="s">
        <v>4837</v>
      </c>
      <c r="G2099">
        <v>50000</v>
      </c>
      <c r="H2099" t="s">
        <v>187</v>
      </c>
      <c r="I2099" t="s">
        <v>4831</v>
      </c>
      <c r="J2099" t="s">
        <v>61</v>
      </c>
      <c r="K2099" t="s">
        <v>58</v>
      </c>
      <c r="L2099" t="s">
        <v>61</v>
      </c>
      <c r="M2099" t="s">
        <v>58</v>
      </c>
      <c r="Q2099" t="s">
        <v>58</v>
      </c>
      <c r="R2099" s="11" t="str">
        <f>HYPERLINK("\\imagefiles.bcgov\imagery\scanned_maps\moe_terrain_maps\Scanned_T_maps_all\L23\L23-1880","\\imagefiles.bcgov\imagery\scanned_maps\moe_terrain_maps\Scanned_T_maps_all\L23\L23-1880")</f>
        <v>\\imagefiles.bcgov\imagery\scanned_maps\moe_terrain_maps\Scanned_T_maps_all\L23\L23-1880</v>
      </c>
      <c r="S2099" t="s">
        <v>62</v>
      </c>
      <c r="T2099" s="11" t="str">
        <f>HYPERLINK("http://www.env.gov.bc.ca/esd/distdata/ecosystems/TEI_Scanned_Maps/L23/L23-1880","http://www.env.gov.bc.ca/esd/distdata/ecosystems/TEI_Scanned_Maps/L23/L23-1880")</f>
        <v>http://www.env.gov.bc.ca/esd/distdata/ecosystems/TEI_Scanned_Maps/L23/L23-1880</v>
      </c>
      <c r="U2099" t="s">
        <v>58</v>
      </c>
      <c r="V2099" t="s">
        <v>58</v>
      </c>
      <c r="W2099" t="s">
        <v>58</v>
      </c>
      <c r="X2099" t="s">
        <v>58</v>
      </c>
      <c r="Y2099" t="s">
        <v>58</v>
      </c>
      <c r="Z2099" t="s">
        <v>58</v>
      </c>
      <c r="AA2099" t="s">
        <v>58</v>
      </c>
      <c r="AC2099" t="s">
        <v>58</v>
      </c>
      <c r="AE2099" t="s">
        <v>58</v>
      </c>
      <c r="AG2099" t="s">
        <v>63</v>
      </c>
      <c r="AH2099" s="11" t="str">
        <f t="shared" si="145"/>
        <v>mailto: soilterrain@victoria1.gov.bc.ca</v>
      </c>
    </row>
    <row r="2100" spans="1:34">
      <c r="A2100" t="s">
        <v>4838</v>
      </c>
      <c r="B2100" t="s">
        <v>56</v>
      </c>
      <c r="C2100" s="10" t="s">
        <v>1344</v>
      </c>
      <c r="D2100" t="s">
        <v>58</v>
      </c>
      <c r="E2100" t="s">
        <v>4829</v>
      </c>
      <c r="F2100" t="s">
        <v>4839</v>
      </c>
      <c r="G2100">
        <v>20000</v>
      </c>
      <c r="H2100">
        <v>1984</v>
      </c>
      <c r="I2100" t="s">
        <v>4831</v>
      </c>
      <c r="J2100" t="s">
        <v>61</v>
      </c>
      <c r="K2100" t="s">
        <v>61</v>
      </c>
      <c r="L2100" t="s">
        <v>58</v>
      </c>
      <c r="M2100" t="s">
        <v>58</v>
      </c>
      <c r="Q2100" t="s">
        <v>58</v>
      </c>
      <c r="R2100" s="11" t="str">
        <f>HYPERLINK("\\imagefiles.bcgov\imagery\scanned_maps\moe_terrain_maps\Scanned_T_maps_all\L23\L23-1882","\\imagefiles.bcgov\imagery\scanned_maps\moe_terrain_maps\Scanned_T_maps_all\L23\L23-1882")</f>
        <v>\\imagefiles.bcgov\imagery\scanned_maps\moe_terrain_maps\Scanned_T_maps_all\L23\L23-1882</v>
      </c>
      <c r="S2100" t="s">
        <v>62</v>
      </c>
      <c r="T2100" s="11" t="str">
        <f>HYPERLINK("http://www.env.gov.bc.ca/esd/distdata/ecosystems/TEI_Scanned_Maps/L23/L23-1882","http://www.env.gov.bc.ca/esd/distdata/ecosystems/TEI_Scanned_Maps/L23/L23-1882")</f>
        <v>http://www.env.gov.bc.ca/esd/distdata/ecosystems/TEI_Scanned_Maps/L23/L23-1882</v>
      </c>
      <c r="U2100" t="s">
        <v>58</v>
      </c>
      <c r="V2100" t="s">
        <v>58</v>
      </c>
      <c r="W2100" t="s">
        <v>58</v>
      </c>
      <c r="X2100" t="s">
        <v>58</v>
      </c>
      <c r="Y2100" t="s">
        <v>58</v>
      </c>
      <c r="Z2100" t="s">
        <v>58</v>
      </c>
      <c r="AA2100" t="s">
        <v>58</v>
      </c>
      <c r="AC2100" t="s">
        <v>58</v>
      </c>
      <c r="AE2100" t="s">
        <v>58</v>
      </c>
      <c r="AG2100" t="s">
        <v>63</v>
      </c>
      <c r="AH2100" s="11" t="str">
        <f t="shared" si="145"/>
        <v>mailto: soilterrain@victoria1.gov.bc.ca</v>
      </c>
    </row>
    <row r="2101" spans="1:34">
      <c r="A2101" t="s">
        <v>4840</v>
      </c>
      <c r="B2101" t="s">
        <v>56</v>
      </c>
      <c r="C2101" s="10" t="s">
        <v>1344</v>
      </c>
      <c r="D2101" t="s">
        <v>58</v>
      </c>
      <c r="E2101" t="s">
        <v>4829</v>
      </c>
      <c r="F2101" t="s">
        <v>4841</v>
      </c>
      <c r="G2101">
        <v>20000</v>
      </c>
      <c r="H2101" t="s">
        <v>187</v>
      </c>
      <c r="I2101" t="s">
        <v>4831</v>
      </c>
      <c r="J2101" t="s">
        <v>61</v>
      </c>
      <c r="K2101" t="s">
        <v>61</v>
      </c>
      <c r="L2101" t="s">
        <v>58</v>
      </c>
      <c r="M2101" t="s">
        <v>58</v>
      </c>
      <c r="Q2101" t="s">
        <v>58</v>
      </c>
      <c r="R2101" s="11" t="str">
        <f>HYPERLINK("\\imagefiles.bcgov\imagery\scanned_maps\moe_terrain_maps\Scanned_T_maps_all\L23\L23-1883","\\imagefiles.bcgov\imagery\scanned_maps\moe_terrain_maps\Scanned_T_maps_all\L23\L23-1883")</f>
        <v>\\imagefiles.bcgov\imagery\scanned_maps\moe_terrain_maps\Scanned_T_maps_all\L23\L23-1883</v>
      </c>
      <c r="S2101" t="s">
        <v>62</v>
      </c>
      <c r="T2101" s="11" t="str">
        <f>HYPERLINK("http://www.env.gov.bc.ca/esd/distdata/ecosystems/TEI_Scanned_Maps/L23/L23-1883","http://www.env.gov.bc.ca/esd/distdata/ecosystems/TEI_Scanned_Maps/L23/L23-1883")</f>
        <v>http://www.env.gov.bc.ca/esd/distdata/ecosystems/TEI_Scanned_Maps/L23/L23-1883</v>
      </c>
      <c r="U2101" t="s">
        <v>58</v>
      </c>
      <c r="V2101" t="s">
        <v>58</v>
      </c>
      <c r="W2101" t="s">
        <v>58</v>
      </c>
      <c r="X2101" t="s">
        <v>58</v>
      </c>
      <c r="Y2101" t="s">
        <v>58</v>
      </c>
      <c r="Z2101" t="s">
        <v>58</v>
      </c>
      <c r="AA2101" t="s">
        <v>58</v>
      </c>
      <c r="AC2101" t="s">
        <v>58</v>
      </c>
      <c r="AE2101" t="s">
        <v>58</v>
      </c>
      <c r="AG2101" t="s">
        <v>63</v>
      </c>
      <c r="AH2101" s="11" t="str">
        <f t="shared" si="145"/>
        <v>mailto: soilterrain@victoria1.gov.bc.ca</v>
      </c>
    </row>
    <row r="2102" spans="1:34">
      <c r="A2102" t="s">
        <v>4842</v>
      </c>
      <c r="B2102" t="s">
        <v>56</v>
      </c>
      <c r="C2102" s="10" t="s">
        <v>1344</v>
      </c>
      <c r="D2102" t="s">
        <v>61</v>
      </c>
      <c r="E2102" t="s">
        <v>4829</v>
      </c>
      <c r="F2102" t="s">
        <v>4843</v>
      </c>
      <c r="G2102">
        <v>20000</v>
      </c>
      <c r="H2102" t="s">
        <v>4844</v>
      </c>
      <c r="I2102" t="s">
        <v>4831</v>
      </c>
      <c r="J2102" t="s">
        <v>61</v>
      </c>
      <c r="K2102" t="s">
        <v>58</v>
      </c>
      <c r="L2102" t="s">
        <v>58</v>
      </c>
      <c r="M2102" t="s">
        <v>61</v>
      </c>
      <c r="Q2102" t="s">
        <v>58</v>
      </c>
      <c r="R2102" s="11" t="str">
        <f>HYPERLINK("\\imagefiles.bcgov\imagery\scanned_maps\moe_terrain_maps\Scanned_T_maps_all\L23\L23-3654","\\imagefiles.bcgov\imagery\scanned_maps\moe_terrain_maps\Scanned_T_maps_all\L23\L23-3654")</f>
        <v>\\imagefiles.bcgov\imagery\scanned_maps\moe_terrain_maps\Scanned_T_maps_all\L23\L23-3654</v>
      </c>
      <c r="S2102" t="s">
        <v>62</v>
      </c>
      <c r="T2102" s="11" t="str">
        <f>HYPERLINK("http://www.env.gov.bc.ca/esd/distdata/ecosystems/TEI_Scanned_Maps/L23/L23-3654","http://www.env.gov.bc.ca/esd/distdata/ecosystems/TEI_Scanned_Maps/L23/L23-3654")</f>
        <v>http://www.env.gov.bc.ca/esd/distdata/ecosystems/TEI_Scanned_Maps/L23/L23-3654</v>
      </c>
      <c r="U2102" t="s">
        <v>2490</v>
      </c>
      <c r="V2102" s="11" t="str">
        <f>HYPERLINK("http://res.agr.ca/cansis/publications/surveys/bc/","http://res.agr.ca/cansis/publications/surveys/bc/")</f>
        <v>http://res.agr.ca/cansis/publications/surveys/bc/</v>
      </c>
      <c r="W2102" t="s">
        <v>269</v>
      </c>
      <c r="X2102" s="11" t="str">
        <f>HYPERLINK("http://www.library.for.gov.bc.ca/#focus","http://www.library.for.gov.bc.ca/#focus")</f>
        <v>http://www.library.for.gov.bc.ca/#focus</v>
      </c>
      <c r="Y2102" t="s">
        <v>58</v>
      </c>
      <c r="Z2102" t="s">
        <v>58</v>
      </c>
      <c r="AA2102" t="s">
        <v>58</v>
      </c>
      <c r="AC2102" t="s">
        <v>58</v>
      </c>
      <c r="AE2102" t="s">
        <v>58</v>
      </c>
      <c r="AG2102" t="s">
        <v>63</v>
      </c>
      <c r="AH2102" s="11" t="str">
        <f t="shared" si="145"/>
        <v>mailto: soilterrain@victoria1.gov.bc.ca</v>
      </c>
    </row>
    <row r="2103" spans="1:34">
      <c r="A2103" t="s">
        <v>4845</v>
      </c>
      <c r="B2103" t="s">
        <v>56</v>
      </c>
      <c r="C2103" s="10" t="s">
        <v>1344</v>
      </c>
      <c r="D2103" t="s">
        <v>61</v>
      </c>
      <c r="E2103" t="s">
        <v>4829</v>
      </c>
      <c r="F2103" t="s">
        <v>4846</v>
      </c>
      <c r="G2103">
        <v>50000</v>
      </c>
      <c r="H2103">
        <v>1982</v>
      </c>
      <c r="I2103" t="s">
        <v>4831</v>
      </c>
      <c r="J2103" t="s">
        <v>61</v>
      </c>
      <c r="K2103" t="s">
        <v>58</v>
      </c>
      <c r="L2103" t="s">
        <v>58</v>
      </c>
      <c r="M2103" t="s">
        <v>61</v>
      </c>
      <c r="Q2103" t="s">
        <v>58</v>
      </c>
      <c r="R2103" s="11" t="str">
        <f>HYPERLINK("\\imagefiles.bcgov\imagery\scanned_maps\moe_terrain_maps\Scanned_T_maps_all\L23\L23-3658","\\imagefiles.bcgov\imagery\scanned_maps\moe_terrain_maps\Scanned_T_maps_all\L23\L23-3658")</f>
        <v>\\imagefiles.bcgov\imagery\scanned_maps\moe_terrain_maps\Scanned_T_maps_all\L23\L23-3658</v>
      </c>
      <c r="S2103" t="s">
        <v>62</v>
      </c>
      <c r="T2103" s="11" t="str">
        <f>HYPERLINK("http://www.env.gov.bc.ca/esd/distdata/ecosystems/TEI_Scanned_Maps/L23/L23-3658","http://www.env.gov.bc.ca/esd/distdata/ecosystems/TEI_Scanned_Maps/L23/L23-3658")</f>
        <v>http://www.env.gov.bc.ca/esd/distdata/ecosystems/TEI_Scanned_Maps/L23/L23-3658</v>
      </c>
      <c r="U2103" t="s">
        <v>269</v>
      </c>
      <c r="V2103" s="11" t="str">
        <f>HYPERLINK("http://www.library.for.gov.bc.ca/#focus","http://www.library.for.gov.bc.ca/#focus")</f>
        <v>http://www.library.for.gov.bc.ca/#focus</v>
      </c>
      <c r="W2103" t="s">
        <v>58</v>
      </c>
      <c r="X2103" t="s">
        <v>58</v>
      </c>
      <c r="Y2103" t="s">
        <v>58</v>
      </c>
      <c r="Z2103" t="s">
        <v>58</v>
      </c>
      <c r="AA2103" t="s">
        <v>58</v>
      </c>
      <c r="AC2103" t="s">
        <v>58</v>
      </c>
      <c r="AE2103" t="s">
        <v>58</v>
      </c>
      <c r="AG2103" t="s">
        <v>63</v>
      </c>
      <c r="AH2103" s="11" t="str">
        <f t="shared" si="145"/>
        <v>mailto: soilterrain@victoria1.gov.bc.ca</v>
      </c>
    </row>
    <row r="2104" spans="1:34">
      <c r="A2104" t="s">
        <v>4847</v>
      </c>
      <c r="B2104" t="s">
        <v>56</v>
      </c>
      <c r="C2104" s="10" t="s">
        <v>4628</v>
      </c>
      <c r="D2104" t="s">
        <v>58</v>
      </c>
      <c r="E2104" t="s">
        <v>4629</v>
      </c>
      <c r="F2104" t="s">
        <v>4848</v>
      </c>
      <c r="G2104">
        <v>20000</v>
      </c>
      <c r="H2104" t="s">
        <v>187</v>
      </c>
      <c r="I2104" t="s">
        <v>58</v>
      </c>
      <c r="J2104" t="s">
        <v>61</v>
      </c>
      <c r="K2104" t="s">
        <v>58</v>
      </c>
      <c r="L2104" t="s">
        <v>58</v>
      </c>
      <c r="M2104" t="s">
        <v>58</v>
      </c>
      <c r="N2104" t="s">
        <v>61</v>
      </c>
      <c r="Q2104" t="s">
        <v>58</v>
      </c>
      <c r="R2104" s="11" t="str">
        <f>HYPERLINK("\\imagefiles.bcgov\imagery\scanned_maps\moe_terrain_maps\Scanned_T_maps_all\L24\L24-2482","\\imagefiles.bcgov\imagery\scanned_maps\moe_terrain_maps\Scanned_T_maps_all\L24\L24-2482")</f>
        <v>\\imagefiles.bcgov\imagery\scanned_maps\moe_terrain_maps\Scanned_T_maps_all\L24\L24-2482</v>
      </c>
      <c r="S2104" t="s">
        <v>62</v>
      </c>
      <c r="T2104" s="11" t="str">
        <f>HYPERLINK("http://www.env.gov.bc.ca/esd/distdata/ecosystems/TEI_Scanned_Maps/L24/L24-2482","http://www.env.gov.bc.ca/esd/distdata/ecosystems/TEI_Scanned_Maps/L24/L24-2482")</f>
        <v>http://www.env.gov.bc.ca/esd/distdata/ecosystems/TEI_Scanned_Maps/L24/L24-2482</v>
      </c>
      <c r="U2104" t="s">
        <v>269</v>
      </c>
      <c r="V2104" s="11" t="str">
        <f>HYPERLINK("http://www.library.for.gov.bc.ca/#focus","http://www.library.for.gov.bc.ca/#focus")</f>
        <v>http://www.library.for.gov.bc.ca/#focus</v>
      </c>
      <c r="W2104" t="s">
        <v>58</v>
      </c>
      <c r="X2104" t="s">
        <v>58</v>
      </c>
      <c r="Y2104" t="s">
        <v>58</v>
      </c>
      <c r="Z2104" t="s">
        <v>58</v>
      </c>
      <c r="AA2104" t="s">
        <v>58</v>
      </c>
      <c r="AC2104" t="s">
        <v>58</v>
      </c>
      <c r="AE2104" t="s">
        <v>58</v>
      </c>
      <c r="AG2104" t="s">
        <v>63</v>
      </c>
      <c r="AH2104" s="11" t="str">
        <f t="shared" si="145"/>
        <v>mailto: soilterrain@victoria1.gov.bc.ca</v>
      </c>
    </row>
    <row r="2105" spans="1:34">
      <c r="A2105" t="s">
        <v>4849</v>
      </c>
      <c r="B2105" t="s">
        <v>56</v>
      </c>
      <c r="C2105" s="10" t="s">
        <v>4850</v>
      </c>
      <c r="D2105" t="s">
        <v>58</v>
      </c>
      <c r="E2105" t="s">
        <v>4851</v>
      </c>
      <c r="F2105" t="s">
        <v>4852</v>
      </c>
      <c r="G2105">
        <v>50000</v>
      </c>
      <c r="H2105" t="s">
        <v>187</v>
      </c>
      <c r="I2105" t="s">
        <v>4168</v>
      </c>
      <c r="J2105" t="s">
        <v>61</v>
      </c>
      <c r="K2105" t="s">
        <v>61</v>
      </c>
      <c r="L2105" t="s">
        <v>61</v>
      </c>
      <c r="M2105" t="s">
        <v>58</v>
      </c>
      <c r="N2105" t="s">
        <v>61</v>
      </c>
      <c r="Q2105" t="s">
        <v>58</v>
      </c>
      <c r="R2105" s="11" t="str">
        <f>HYPERLINK("\\imagefiles.bcgov\imagery\scanned_maps\moe_terrain_maps\Scanned_T_maps_all\L24\L24-62","\\imagefiles.bcgov\imagery\scanned_maps\moe_terrain_maps\Scanned_T_maps_all\L24\L24-62")</f>
        <v>\\imagefiles.bcgov\imagery\scanned_maps\moe_terrain_maps\Scanned_T_maps_all\L24\L24-62</v>
      </c>
      <c r="S2105" t="s">
        <v>62</v>
      </c>
      <c r="T2105" s="11" t="str">
        <f>HYPERLINK("http://www.env.gov.bc.ca/esd/distdata/ecosystems/TEI_Scanned_Maps/L24/L24-62","http://www.env.gov.bc.ca/esd/distdata/ecosystems/TEI_Scanned_Maps/L24/L24-62")</f>
        <v>http://www.env.gov.bc.ca/esd/distdata/ecosystems/TEI_Scanned_Maps/L24/L24-62</v>
      </c>
      <c r="U2105" t="s">
        <v>269</v>
      </c>
      <c r="V2105" s="11" t="str">
        <f>HYPERLINK("http://www.library.for.gov.bc.ca/#focus","http://www.library.for.gov.bc.ca/#focus")</f>
        <v>http://www.library.for.gov.bc.ca/#focus</v>
      </c>
      <c r="W2105" t="s">
        <v>58</v>
      </c>
      <c r="X2105" t="s">
        <v>58</v>
      </c>
      <c r="Y2105" t="s">
        <v>58</v>
      </c>
      <c r="Z2105" t="s">
        <v>58</v>
      </c>
      <c r="AA2105" t="s">
        <v>58</v>
      </c>
      <c r="AC2105" t="s">
        <v>58</v>
      </c>
      <c r="AE2105" t="s">
        <v>58</v>
      </c>
      <c r="AG2105" t="s">
        <v>63</v>
      </c>
      <c r="AH2105" s="11" t="str">
        <f t="shared" si="145"/>
        <v>mailto: soilterrain@victoria1.gov.bc.ca</v>
      </c>
    </row>
    <row r="2106" spans="1:34">
      <c r="A2106" t="s">
        <v>4853</v>
      </c>
      <c r="B2106" t="s">
        <v>56</v>
      </c>
      <c r="C2106" s="10" t="s">
        <v>2136</v>
      </c>
      <c r="D2106" t="s">
        <v>58</v>
      </c>
      <c r="E2106" t="s">
        <v>4851</v>
      </c>
      <c r="F2106" t="s">
        <v>4854</v>
      </c>
      <c r="G2106">
        <v>50000</v>
      </c>
      <c r="H2106" t="s">
        <v>187</v>
      </c>
      <c r="I2106" t="s">
        <v>4168</v>
      </c>
      <c r="J2106" t="s">
        <v>61</v>
      </c>
      <c r="K2106" t="s">
        <v>61</v>
      </c>
      <c r="L2106" t="s">
        <v>61</v>
      </c>
      <c r="M2106" t="s">
        <v>58</v>
      </c>
      <c r="N2106" t="s">
        <v>61</v>
      </c>
      <c r="Q2106" t="s">
        <v>58</v>
      </c>
      <c r="R2106" s="11" t="str">
        <f>HYPERLINK("\\imagefiles.bcgov\imagery\scanned_maps\moe_terrain_maps\Scanned_T_maps_all\L24\L24-63","\\imagefiles.bcgov\imagery\scanned_maps\moe_terrain_maps\Scanned_T_maps_all\L24\L24-63")</f>
        <v>\\imagefiles.bcgov\imagery\scanned_maps\moe_terrain_maps\Scanned_T_maps_all\L24\L24-63</v>
      </c>
      <c r="S2106" t="s">
        <v>62</v>
      </c>
      <c r="T2106" s="11" t="str">
        <f>HYPERLINK("http://www.env.gov.bc.ca/esd/distdata/ecosystems/TEI_Scanned_Maps/L24/L24-63","http://www.env.gov.bc.ca/esd/distdata/ecosystems/TEI_Scanned_Maps/L24/L24-63")</f>
        <v>http://www.env.gov.bc.ca/esd/distdata/ecosystems/TEI_Scanned_Maps/L24/L24-63</v>
      </c>
      <c r="U2106" t="s">
        <v>269</v>
      </c>
      <c r="V2106" s="11" t="str">
        <f>HYPERLINK("http://www.library.for.gov.bc.ca/#focus","http://www.library.for.gov.bc.ca/#focus")</f>
        <v>http://www.library.for.gov.bc.ca/#focus</v>
      </c>
      <c r="W2106" t="s">
        <v>58</v>
      </c>
      <c r="X2106" t="s">
        <v>58</v>
      </c>
      <c r="Y2106" t="s">
        <v>58</v>
      </c>
      <c r="Z2106" t="s">
        <v>58</v>
      </c>
      <c r="AA2106" t="s">
        <v>58</v>
      </c>
      <c r="AC2106" t="s">
        <v>58</v>
      </c>
      <c r="AE2106" t="s">
        <v>58</v>
      </c>
      <c r="AG2106" t="s">
        <v>63</v>
      </c>
      <c r="AH2106" s="11" t="str">
        <f t="shared" si="145"/>
        <v>mailto: soilterrain@victoria1.gov.bc.ca</v>
      </c>
    </row>
    <row r="2107" spans="1:34">
      <c r="A2107" t="s">
        <v>4855</v>
      </c>
      <c r="B2107" t="s">
        <v>56</v>
      </c>
      <c r="C2107" s="10" t="s">
        <v>4472</v>
      </c>
      <c r="D2107" t="s">
        <v>61</v>
      </c>
      <c r="E2107" t="s">
        <v>4856</v>
      </c>
      <c r="F2107" t="s">
        <v>4857</v>
      </c>
      <c r="G2107">
        <v>1000000</v>
      </c>
      <c r="H2107" t="s">
        <v>4858</v>
      </c>
      <c r="I2107" t="s">
        <v>4859</v>
      </c>
      <c r="J2107" t="s">
        <v>61</v>
      </c>
      <c r="M2107" t="s">
        <v>61</v>
      </c>
      <c r="R2107" s="11" t="str">
        <f>HYPERLINK("\\imagefiles.bcgov\imagery\scanned_maps\moe_terrain_maps\Scanned_T_maps_all\L25\L25-3667","\\imagefiles.bcgov\imagery\scanned_maps\moe_terrain_maps\Scanned_T_maps_all\L25\L25-3667")</f>
        <v>\\imagefiles.bcgov\imagery\scanned_maps\moe_terrain_maps\Scanned_T_maps_all\L25\L25-3667</v>
      </c>
      <c r="S2107" t="s">
        <v>62</v>
      </c>
      <c r="T2107" s="11" t="str">
        <f>HYPERLINK("http://www.env.gov.bc.ca/esd/distdata/ecosystems/TEI_Scanned_Maps/L25/L25-3667","http://www.env.gov.bc.ca/esd/distdata/ecosystems/TEI_Scanned_Maps/L25/L25-3667")</f>
        <v>http://www.env.gov.bc.ca/esd/distdata/ecosystems/TEI_Scanned_Maps/L25/L25-3667</v>
      </c>
      <c r="U2107" t="s">
        <v>269</v>
      </c>
      <c r="V2107" s="11" t="str">
        <f t="shared" ref="V2107:V2122" si="148">HYPERLINK("http://www.for.gov.bc.ca/hfd/library/documents/bib48254.pdf","http://www.for.gov.bc.ca/hfd/library/documents/bib48254.pdf")</f>
        <v>http://www.for.gov.bc.ca/hfd/library/documents/bib48254.pdf</v>
      </c>
      <c r="X2107" t="s">
        <v>58</v>
      </c>
      <c r="Z2107" t="s">
        <v>58</v>
      </c>
      <c r="AG2107" t="s">
        <v>63</v>
      </c>
      <c r="AH2107" s="11" t="str">
        <f t="shared" si="145"/>
        <v>mailto: soilterrain@victoria1.gov.bc.ca</v>
      </c>
    </row>
    <row r="2108" spans="1:34">
      <c r="A2108" t="s">
        <v>4860</v>
      </c>
      <c r="B2108" t="s">
        <v>56</v>
      </c>
      <c r="C2108" s="10" t="s">
        <v>4861</v>
      </c>
      <c r="D2108" t="s">
        <v>58</v>
      </c>
      <c r="E2108" t="s">
        <v>4856</v>
      </c>
      <c r="F2108" t="s">
        <v>4862</v>
      </c>
      <c r="G2108">
        <v>1000000</v>
      </c>
      <c r="H2108" t="s">
        <v>187</v>
      </c>
      <c r="I2108" t="s">
        <v>4859</v>
      </c>
      <c r="J2108" t="s">
        <v>61</v>
      </c>
      <c r="K2108" t="s">
        <v>58</v>
      </c>
      <c r="L2108" t="s">
        <v>58</v>
      </c>
      <c r="M2108" t="s">
        <v>58</v>
      </c>
      <c r="N2108" t="s">
        <v>61</v>
      </c>
      <c r="Q2108" t="s">
        <v>58</v>
      </c>
      <c r="R2108" s="11" t="str">
        <f>HYPERLINK("\\imagefiles.bcgov\imagery\scanned_maps\moe_terrain_maps\Scanned_T_maps_all\L25\L25-3675","\\imagefiles.bcgov\imagery\scanned_maps\moe_terrain_maps\Scanned_T_maps_all\L25\L25-3675")</f>
        <v>\\imagefiles.bcgov\imagery\scanned_maps\moe_terrain_maps\Scanned_T_maps_all\L25\L25-3675</v>
      </c>
      <c r="S2108" t="s">
        <v>62</v>
      </c>
      <c r="T2108" s="11" t="str">
        <f>HYPERLINK("http://www.env.gov.bc.ca/esd/distdata/ecosystems/TEI_Scanned_Maps/L25/L25-3675","http://www.env.gov.bc.ca/esd/distdata/ecosystems/TEI_Scanned_Maps/L25/L25-3675")</f>
        <v>http://www.env.gov.bc.ca/esd/distdata/ecosystems/TEI_Scanned_Maps/L25/L25-3675</v>
      </c>
      <c r="U2108" t="s">
        <v>269</v>
      </c>
      <c r="V2108" s="11" t="str">
        <f t="shared" si="148"/>
        <v>http://www.for.gov.bc.ca/hfd/library/documents/bib48254.pdf</v>
      </c>
      <c r="W2108" t="s">
        <v>58</v>
      </c>
      <c r="X2108" t="s">
        <v>58</v>
      </c>
      <c r="Y2108" t="s">
        <v>58</v>
      </c>
      <c r="Z2108" t="s">
        <v>58</v>
      </c>
      <c r="AA2108" t="s">
        <v>58</v>
      </c>
      <c r="AC2108" t="s">
        <v>58</v>
      </c>
      <c r="AE2108" t="s">
        <v>58</v>
      </c>
      <c r="AG2108" t="s">
        <v>63</v>
      </c>
      <c r="AH2108" s="11" t="str">
        <f t="shared" si="145"/>
        <v>mailto: soilterrain@victoria1.gov.bc.ca</v>
      </c>
    </row>
    <row r="2109" spans="1:34">
      <c r="A2109" t="s">
        <v>4863</v>
      </c>
      <c r="B2109" t="s">
        <v>56</v>
      </c>
      <c r="C2109" s="10" t="s">
        <v>4472</v>
      </c>
      <c r="D2109" t="s">
        <v>58</v>
      </c>
      <c r="E2109" t="s">
        <v>4856</v>
      </c>
      <c r="F2109" t="s">
        <v>4864</v>
      </c>
      <c r="G2109">
        <v>250000</v>
      </c>
      <c r="H2109" t="s">
        <v>187</v>
      </c>
      <c r="I2109" t="s">
        <v>4859</v>
      </c>
      <c r="J2109" t="s">
        <v>61</v>
      </c>
      <c r="K2109" t="s">
        <v>61</v>
      </c>
      <c r="L2109" t="s">
        <v>58</v>
      </c>
      <c r="M2109" t="s">
        <v>58</v>
      </c>
      <c r="Q2109" t="s">
        <v>58</v>
      </c>
      <c r="R2109" s="11" t="str">
        <f>HYPERLINK("\\imagefiles.bcgov\imagery\scanned_maps\moe_terrain_maps\Scanned_T_maps_all\L25\L25-3686","\\imagefiles.bcgov\imagery\scanned_maps\moe_terrain_maps\Scanned_T_maps_all\L25\L25-3686")</f>
        <v>\\imagefiles.bcgov\imagery\scanned_maps\moe_terrain_maps\Scanned_T_maps_all\L25\L25-3686</v>
      </c>
      <c r="S2109" t="s">
        <v>62</v>
      </c>
      <c r="T2109" s="11" t="str">
        <f>HYPERLINK("http://www.env.gov.bc.ca/esd/distdata/ecosystems/TEI_Scanned_Maps/L25/L25-3686","http://www.env.gov.bc.ca/esd/distdata/ecosystems/TEI_Scanned_Maps/L25/L25-3686")</f>
        <v>http://www.env.gov.bc.ca/esd/distdata/ecosystems/TEI_Scanned_Maps/L25/L25-3686</v>
      </c>
      <c r="U2109" t="s">
        <v>269</v>
      </c>
      <c r="V2109" s="11" t="str">
        <f t="shared" si="148"/>
        <v>http://www.for.gov.bc.ca/hfd/library/documents/bib48254.pdf</v>
      </c>
      <c r="W2109" t="s">
        <v>58</v>
      </c>
      <c r="X2109" t="s">
        <v>58</v>
      </c>
      <c r="Y2109" t="s">
        <v>58</v>
      </c>
      <c r="Z2109" t="s">
        <v>58</v>
      </c>
      <c r="AA2109" t="s">
        <v>58</v>
      </c>
      <c r="AC2109" t="s">
        <v>58</v>
      </c>
      <c r="AE2109" t="s">
        <v>58</v>
      </c>
      <c r="AG2109" t="s">
        <v>63</v>
      </c>
      <c r="AH2109" s="11" t="str">
        <f t="shared" si="145"/>
        <v>mailto: soilterrain@victoria1.gov.bc.ca</v>
      </c>
    </row>
    <row r="2110" spans="1:34">
      <c r="A2110" t="s">
        <v>4865</v>
      </c>
      <c r="B2110" t="s">
        <v>56</v>
      </c>
      <c r="C2110" s="10" t="s">
        <v>4475</v>
      </c>
      <c r="D2110" t="s">
        <v>58</v>
      </c>
      <c r="E2110" t="s">
        <v>4856</v>
      </c>
      <c r="F2110" t="s">
        <v>4866</v>
      </c>
      <c r="G2110">
        <v>250000</v>
      </c>
      <c r="H2110" t="s">
        <v>187</v>
      </c>
      <c r="I2110" t="s">
        <v>4859</v>
      </c>
      <c r="J2110" t="s">
        <v>61</v>
      </c>
      <c r="K2110" t="s">
        <v>61</v>
      </c>
      <c r="L2110" t="s">
        <v>58</v>
      </c>
      <c r="M2110" t="s">
        <v>58</v>
      </c>
      <c r="Q2110" t="s">
        <v>58</v>
      </c>
      <c r="R2110" s="11" t="str">
        <f>HYPERLINK("\\imagefiles.bcgov\imagery\scanned_maps\moe_terrain_maps\Scanned_T_maps_all\L25\L25-3687","\\imagefiles.bcgov\imagery\scanned_maps\moe_terrain_maps\Scanned_T_maps_all\L25\L25-3687")</f>
        <v>\\imagefiles.bcgov\imagery\scanned_maps\moe_terrain_maps\Scanned_T_maps_all\L25\L25-3687</v>
      </c>
      <c r="S2110" t="s">
        <v>62</v>
      </c>
      <c r="T2110" s="11" t="str">
        <f>HYPERLINK("http://www.env.gov.bc.ca/esd/distdata/ecosystems/TEI_Scanned_Maps/L25/L25-3687","http://www.env.gov.bc.ca/esd/distdata/ecosystems/TEI_Scanned_Maps/L25/L25-3687")</f>
        <v>http://www.env.gov.bc.ca/esd/distdata/ecosystems/TEI_Scanned_Maps/L25/L25-3687</v>
      </c>
      <c r="U2110" t="s">
        <v>269</v>
      </c>
      <c r="V2110" s="11" t="str">
        <f t="shared" si="148"/>
        <v>http://www.for.gov.bc.ca/hfd/library/documents/bib48254.pdf</v>
      </c>
      <c r="W2110" t="s">
        <v>58</v>
      </c>
      <c r="X2110" t="s">
        <v>58</v>
      </c>
      <c r="Y2110" t="s">
        <v>58</v>
      </c>
      <c r="Z2110" t="s">
        <v>58</v>
      </c>
      <c r="AA2110" t="s">
        <v>58</v>
      </c>
      <c r="AC2110" t="s">
        <v>58</v>
      </c>
      <c r="AE2110" t="s">
        <v>58</v>
      </c>
      <c r="AG2110" t="s">
        <v>63</v>
      </c>
      <c r="AH2110" s="11" t="str">
        <f t="shared" si="145"/>
        <v>mailto: soilterrain@victoria1.gov.bc.ca</v>
      </c>
    </row>
    <row r="2111" spans="1:34">
      <c r="A2111" t="s">
        <v>4867</v>
      </c>
      <c r="B2111" t="s">
        <v>56</v>
      </c>
      <c r="C2111" s="10" t="s">
        <v>4868</v>
      </c>
      <c r="D2111" t="s">
        <v>58</v>
      </c>
      <c r="E2111" t="s">
        <v>4856</v>
      </c>
      <c r="F2111" t="s">
        <v>4869</v>
      </c>
      <c r="G2111">
        <v>250000</v>
      </c>
      <c r="H2111" t="s">
        <v>187</v>
      </c>
      <c r="I2111" t="s">
        <v>4859</v>
      </c>
      <c r="J2111" t="s">
        <v>61</v>
      </c>
      <c r="K2111" t="s">
        <v>61</v>
      </c>
      <c r="L2111" t="s">
        <v>58</v>
      </c>
      <c r="M2111" t="s">
        <v>58</v>
      </c>
      <c r="Q2111" t="s">
        <v>58</v>
      </c>
      <c r="R2111" s="11" t="str">
        <f>HYPERLINK("\\imagefiles.bcgov\imagery\scanned_maps\moe_terrain_maps\Scanned_T_maps_all\L25\L25-3688","\\imagefiles.bcgov\imagery\scanned_maps\moe_terrain_maps\Scanned_T_maps_all\L25\L25-3688")</f>
        <v>\\imagefiles.bcgov\imagery\scanned_maps\moe_terrain_maps\Scanned_T_maps_all\L25\L25-3688</v>
      </c>
      <c r="S2111" t="s">
        <v>62</v>
      </c>
      <c r="T2111" s="11" t="str">
        <f>HYPERLINK("http://www.env.gov.bc.ca/esd/distdata/ecosystems/TEI_Scanned_Maps/L25/L25-3688","http://www.env.gov.bc.ca/esd/distdata/ecosystems/TEI_Scanned_Maps/L25/L25-3688")</f>
        <v>http://www.env.gov.bc.ca/esd/distdata/ecosystems/TEI_Scanned_Maps/L25/L25-3688</v>
      </c>
      <c r="U2111" t="s">
        <v>269</v>
      </c>
      <c r="V2111" s="11" t="str">
        <f t="shared" si="148"/>
        <v>http://www.for.gov.bc.ca/hfd/library/documents/bib48254.pdf</v>
      </c>
      <c r="W2111" t="s">
        <v>58</v>
      </c>
      <c r="X2111" t="s">
        <v>58</v>
      </c>
      <c r="Y2111" t="s">
        <v>58</v>
      </c>
      <c r="Z2111" t="s">
        <v>58</v>
      </c>
      <c r="AA2111" t="s">
        <v>58</v>
      </c>
      <c r="AC2111" t="s">
        <v>58</v>
      </c>
      <c r="AE2111" t="s">
        <v>58</v>
      </c>
      <c r="AG2111" t="s">
        <v>63</v>
      </c>
      <c r="AH2111" s="11" t="str">
        <f t="shared" si="145"/>
        <v>mailto: soilterrain@victoria1.gov.bc.ca</v>
      </c>
    </row>
    <row r="2112" spans="1:34">
      <c r="A2112" t="s">
        <v>4870</v>
      </c>
      <c r="B2112" t="s">
        <v>56</v>
      </c>
      <c r="C2112" s="10" t="s">
        <v>4472</v>
      </c>
      <c r="D2112" t="s">
        <v>61</v>
      </c>
      <c r="E2112" t="s">
        <v>4856</v>
      </c>
      <c r="F2112" t="s">
        <v>4871</v>
      </c>
      <c r="G2112">
        <v>250000</v>
      </c>
      <c r="H2112" t="s">
        <v>4872</v>
      </c>
      <c r="I2112" t="s">
        <v>4859</v>
      </c>
      <c r="J2112" t="s">
        <v>61</v>
      </c>
      <c r="K2112" t="s">
        <v>58</v>
      </c>
      <c r="L2112" t="s">
        <v>58</v>
      </c>
      <c r="M2112" t="s">
        <v>61</v>
      </c>
      <c r="Q2112" t="s">
        <v>58</v>
      </c>
      <c r="R2112" s="11" t="str">
        <f>HYPERLINK("\\imagefiles.bcgov\imagery\scanned_maps\moe_terrain_maps\Scanned_T_maps_all\L25\L25-3696","\\imagefiles.bcgov\imagery\scanned_maps\moe_terrain_maps\Scanned_T_maps_all\L25\L25-3696")</f>
        <v>\\imagefiles.bcgov\imagery\scanned_maps\moe_terrain_maps\Scanned_T_maps_all\L25\L25-3696</v>
      </c>
      <c r="S2112" t="s">
        <v>62</v>
      </c>
      <c r="T2112" s="11" t="str">
        <f>HYPERLINK("http://www.env.gov.bc.ca/esd/distdata/ecosystems/TEI_Scanned_Maps/L25/L25-3696","http://www.env.gov.bc.ca/esd/distdata/ecosystems/TEI_Scanned_Maps/L25/L25-3696")</f>
        <v>http://www.env.gov.bc.ca/esd/distdata/ecosystems/TEI_Scanned_Maps/L25/L25-3696</v>
      </c>
      <c r="U2112" t="s">
        <v>269</v>
      </c>
      <c r="V2112" s="11" t="str">
        <f t="shared" si="148"/>
        <v>http://www.for.gov.bc.ca/hfd/library/documents/bib48254.pdf</v>
      </c>
      <c r="W2112" t="s">
        <v>58</v>
      </c>
      <c r="X2112" t="s">
        <v>58</v>
      </c>
      <c r="Y2112" t="s">
        <v>58</v>
      </c>
      <c r="Z2112" t="s">
        <v>58</v>
      </c>
      <c r="AA2112" t="s">
        <v>58</v>
      </c>
      <c r="AC2112" t="s">
        <v>58</v>
      </c>
      <c r="AE2112" t="s">
        <v>58</v>
      </c>
      <c r="AG2112" t="s">
        <v>63</v>
      </c>
      <c r="AH2112" s="11" t="str">
        <f t="shared" si="145"/>
        <v>mailto: soilterrain@victoria1.gov.bc.ca</v>
      </c>
    </row>
    <row r="2113" spans="1:34">
      <c r="A2113" t="s">
        <v>4873</v>
      </c>
      <c r="B2113" t="s">
        <v>56</v>
      </c>
      <c r="C2113" s="10" t="s">
        <v>4475</v>
      </c>
      <c r="D2113" t="s">
        <v>61</v>
      </c>
      <c r="E2113" t="s">
        <v>4856</v>
      </c>
      <c r="F2113" t="s">
        <v>4874</v>
      </c>
      <c r="G2113">
        <v>250000</v>
      </c>
      <c r="H2113" t="s">
        <v>4872</v>
      </c>
      <c r="I2113" t="s">
        <v>4859</v>
      </c>
      <c r="J2113" t="s">
        <v>61</v>
      </c>
      <c r="K2113" t="s">
        <v>58</v>
      </c>
      <c r="L2113" t="s">
        <v>58</v>
      </c>
      <c r="M2113" t="s">
        <v>61</v>
      </c>
      <c r="Q2113" t="s">
        <v>58</v>
      </c>
      <c r="R2113" s="11" t="str">
        <f>HYPERLINK("\\imagefiles.bcgov\imagery\scanned_maps\moe_terrain_maps\Scanned_T_maps_all\L25\L25-3697","\\imagefiles.bcgov\imagery\scanned_maps\moe_terrain_maps\Scanned_T_maps_all\L25\L25-3697")</f>
        <v>\\imagefiles.bcgov\imagery\scanned_maps\moe_terrain_maps\Scanned_T_maps_all\L25\L25-3697</v>
      </c>
      <c r="S2113" t="s">
        <v>62</v>
      </c>
      <c r="T2113" s="11" t="str">
        <f>HYPERLINK("http://www.env.gov.bc.ca/esd/distdata/ecosystems/TEI_Scanned_Maps/L25/L25-3697","http://www.env.gov.bc.ca/esd/distdata/ecosystems/TEI_Scanned_Maps/L25/L25-3697")</f>
        <v>http://www.env.gov.bc.ca/esd/distdata/ecosystems/TEI_Scanned_Maps/L25/L25-3697</v>
      </c>
      <c r="U2113" t="s">
        <v>269</v>
      </c>
      <c r="V2113" s="11" t="str">
        <f t="shared" si="148"/>
        <v>http://www.for.gov.bc.ca/hfd/library/documents/bib48254.pdf</v>
      </c>
      <c r="W2113" t="s">
        <v>58</v>
      </c>
      <c r="X2113" t="s">
        <v>58</v>
      </c>
      <c r="Y2113" t="s">
        <v>58</v>
      </c>
      <c r="Z2113" t="s">
        <v>58</v>
      </c>
      <c r="AA2113" t="s">
        <v>58</v>
      </c>
      <c r="AC2113" t="s">
        <v>58</v>
      </c>
      <c r="AE2113" t="s">
        <v>58</v>
      </c>
      <c r="AG2113" t="s">
        <v>63</v>
      </c>
      <c r="AH2113" s="11" t="str">
        <f t="shared" si="145"/>
        <v>mailto: soilterrain@victoria1.gov.bc.ca</v>
      </c>
    </row>
    <row r="2114" spans="1:34">
      <c r="A2114" t="s">
        <v>4875</v>
      </c>
      <c r="B2114" t="s">
        <v>56</v>
      </c>
      <c r="C2114" s="10" t="s">
        <v>4868</v>
      </c>
      <c r="D2114" t="s">
        <v>61</v>
      </c>
      <c r="E2114" t="s">
        <v>4856</v>
      </c>
      <c r="F2114" t="s">
        <v>4876</v>
      </c>
      <c r="G2114">
        <v>250000</v>
      </c>
      <c r="H2114" t="s">
        <v>4872</v>
      </c>
      <c r="I2114" t="s">
        <v>4859</v>
      </c>
      <c r="J2114" t="s">
        <v>61</v>
      </c>
      <c r="K2114" t="s">
        <v>58</v>
      </c>
      <c r="L2114" t="s">
        <v>58</v>
      </c>
      <c r="M2114" t="s">
        <v>61</v>
      </c>
      <c r="Q2114" t="s">
        <v>58</v>
      </c>
      <c r="R2114" s="11" t="str">
        <f>HYPERLINK("\\imagefiles.bcgov\imagery\scanned_maps\moe_terrain_maps\Scanned_T_maps_all\L25\L25-3698","\\imagefiles.bcgov\imagery\scanned_maps\moe_terrain_maps\Scanned_T_maps_all\L25\L25-3698")</f>
        <v>\\imagefiles.bcgov\imagery\scanned_maps\moe_terrain_maps\Scanned_T_maps_all\L25\L25-3698</v>
      </c>
      <c r="S2114" t="s">
        <v>62</v>
      </c>
      <c r="T2114" s="11" t="str">
        <f>HYPERLINK("http://www.env.gov.bc.ca/esd/distdata/ecosystems/TEI_Scanned_Maps/L25/L25-3698","http://www.env.gov.bc.ca/esd/distdata/ecosystems/TEI_Scanned_Maps/L25/L25-3698")</f>
        <v>http://www.env.gov.bc.ca/esd/distdata/ecosystems/TEI_Scanned_Maps/L25/L25-3698</v>
      </c>
      <c r="U2114" t="s">
        <v>269</v>
      </c>
      <c r="V2114" s="11" t="str">
        <f t="shared" si="148"/>
        <v>http://www.for.gov.bc.ca/hfd/library/documents/bib48254.pdf</v>
      </c>
      <c r="W2114" t="s">
        <v>58</v>
      </c>
      <c r="X2114" t="s">
        <v>58</v>
      </c>
      <c r="Y2114" t="s">
        <v>58</v>
      </c>
      <c r="Z2114" t="s">
        <v>58</v>
      </c>
      <c r="AA2114" t="s">
        <v>58</v>
      </c>
      <c r="AC2114" t="s">
        <v>58</v>
      </c>
      <c r="AE2114" t="s">
        <v>58</v>
      </c>
      <c r="AG2114" t="s">
        <v>63</v>
      </c>
      <c r="AH2114" s="11" t="str">
        <f t="shared" ref="AH2114:AH2177" si="149">HYPERLINK("mailto: soilterrain@victoria1.gov.bc.ca","mailto: soilterrain@victoria1.gov.bc.ca")</f>
        <v>mailto: soilterrain@victoria1.gov.bc.ca</v>
      </c>
    </row>
    <row r="2115" spans="1:34">
      <c r="A2115" t="s">
        <v>4877</v>
      </c>
      <c r="B2115" t="s">
        <v>56</v>
      </c>
      <c r="C2115" s="10" t="s">
        <v>4475</v>
      </c>
      <c r="D2115" t="s">
        <v>61</v>
      </c>
      <c r="E2115" t="s">
        <v>4856</v>
      </c>
      <c r="F2115" t="s">
        <v>4878</v>
      </c>
      <c r="G2115">
        <v>250000</v>
      </c>
      <c r="H2115">
        <v>1976</v>
      </c>
      <c r="I2115" t="s">
        <v>4859</v>
      </c>
      <c r="J2115" t="s">
        <v>61</v>
      </c>
      <c r="K2115" t="s">
        <v>58</v>
      </c>
      <c r="L2115" t="s">
        <v>58</v>
      </c>
      <c r="M2115" t="s">
        <v>58</v>
      </c>
      <c r="O2115" t="s">
        <v>61</v>
      </c>
      <c r="Q2115" t="s">
        <v>58</v>
      </c>
      <c r="R2115" s="11" t="str">
        <f>HYPERLINK("\\imagefiles.bcgov\imagery\scanned_maps\moe_terrain_maps\Scanned_T_maps_all\L25\L25-3699","\\imagefiles.bcgov\imagery\scanned_maps\moe_terrain_maps\Scanned_T_maps_all\L25\L25-3699")</f>
        <v>\\imagefiles.bcgov\imagery\scanned_maps\moe_terrain_maps\Scanned_T_maps_all\L25\L25-3699</v>
      </c>
      <c r="S2115" t="s">
        <v>62</v>
      </c>
      <c r="T2115" s="11" t="str">
        <f>HYPERLINK("http://www.env.gov.bc.ca/esd/distdata/ecosystems/TEI_Scanned_Maps/L25/L25-3699","http://www.env.gov.bc.ca/esd/distdata/ecosystems/TEI_Scanned_Maps/L25/L25-3699")</f>
        <v>http://www.env.gov.bc.ca/esd/distdata/ecosystems/TEI_Scanned_Maps/L25/L25-3699</v>
      </c>
      <c r="U2115" t="s">
        <v>269</v>
      </c>
      <c r="V2115" s="11" t="str">
        <f t="shared" si="148"/>
        <v>http://www.for.gov.bc.ca/hfd/library/documents/bib48254.pdf</v>
      </c>
      <c r="W2115" t="s">
        <v>58</v>
      </c>
      <c r="X2115" t="s">
        <v>58</v>
      </c>
      <c r="Y2115" t="s">
        <v>58</v>
      </c>
      <c r="Z2115" t="s">
        <v>58</v>
      </c>
      <c r="AA2115" t="s">
        <v>58</v>
      </c>
      <c r="AC2115" t="s">
        <v>58</v>
      </c>
      <c r="AE2115" t="s">
        <v>58</v>
      </c>
      <c r="AG2115" t="s">
        <v>63</v>
      </c>
      <c r="AH2115" s="11" t="str">
        <f t="shared" si="149"/>
        <v>mailto: soilterrain@victoria1.gov.bc.ca</v>
      </c>
    </row>
    <row r="2116" spans="1:34">
      <c r="A2116" t="s">
        <v>4879</v>
      </c>
      <c r="B2116" t="s">
        <v>56</v>
      </c>
      <c r="C2116" s="10" t="s">
        <v>4472</v>
      </c>
      <c r="D2116" t="s">
        <v>61</v>
      </c>
      <c r="E2116" t="s">
        <v>4856</v>
      </c>
      <c r="F2116" t="s">
        <v>4880</v>
      </c>
      <c r="G2116">
        <v>250000</v>
      </c>
      <c r="H2116">
        <v>1976</v>
      </c>
      <c r="I2116" t="s">
        <v>4859</v>
      </c>
      <c r="J2116" t="s">
        <v>61</v>
      </c>
      <c r="K2116" t="s">
        <v>58</v>
      </c>
      <c r="L2116" t="s">
        <v>58</v>
      </c>
      <c r="M2116" t="s">
        <v>58</v>
      </c>
      <c r="O2116" t="s">
        <v>61</v>
      </c>
      <c r="Q2116" t="s">
        <v>58</v>
      </c>
      <c r="R2116" s="11" t="str">
        <f>HYPERLINK("\\imagefiles.bcgov\imagery\scanned_maps\moe_terrain_maps\Scanned_T_maps_all\L25\L25-3700","\\imagefiles.bcgov\imagery\scanned_maps\moe_terrain_maps\Scanned_T_maps_all\L25\L25-3700")</f>
        <v>\\imagefiles.bcgov\imagery\scanned_maps\moe_terrain_maps\Scanned_T_maps_all\L25\L25-3700</v>
      </c>
      <c r="S2116" t="s">
        <v>62</v>
      </c>
      <c r="T2116" s="11" t="str">
        <f>HYPERLINK("http://www.env.gov.bc.ca/esd/distdata/ecosystems/TEI_Scanned_Maps/L25/L25-3700","http://www.env.gov.bc.ca/esd/distdata/ecosystems/TEI_Scanned_Maps/L25/L25-3700")</f>
        <v>http://www.env.gov.bc.ca/esd/distdata/ecosystems/TEI_Scanned_Maps/L25/L25-3700</v>
      </c>
      <c r="U2116" t="s">
        <v>269</v>
      </c>
      <c r="V2116" s="11" t="str">
        <f t="shared" si="148"/>
        <v>http://www.for.gov.bc.ca/hfd/library/documents/bib48254.pdf</v>
      </c>
      <c r="W2116" t="s">
        <v>58</v>
      </c>
      <c r="X2116" t="s">
        <v>58</v>
      </c>
      <c r="Y2116" t="s">
        <v>58</v>
      </c>
      <c r="Z2116" t="s">
        <v>58</v>
      </c>
      <c r="AA2116" t="s">
        <v>58</v>
      </c>
      <c r="AC2116" t="s">
        <v>58</v>
      </c>
      <c r="AE2116" t="s">
        <v>58</v>
      </c>
      <c r="AG2116" t="s">
        <v>63</v>
      </c>
      <c r="AH2116" s="11" t="str">
        <f t="shared" si="149"/>
        <v>mailto: soilterrain@victoria1.gov.bc.ca</v>
      </c>
    </row>
    <row r="2117" spans="1:34">
      <c r="A2117" t="s">
        <v>4881</v>
      </c>
      <c r="B2117" t="s">
        <v>56</v>
      </c>
      <c r="C2117" s="10" t="s">
        <v>4868</v>
      </c>
      <c r="D2117" t="s">
        <v>61</v>
      </c>
      <c r="E2117" t="s">
        <v>4856</v>
      </c>
      <c r="F2117" t="s">
        <v>4882</v>
      </c>
      <c r="G2117">
        <v>250000</v>
      </c>
      <c r="H2117">
        <v>1976</v>
      </c>
      <c r="I2117" t="s">
        <v>4859</v>
      </c>
      <c r="J2117" t="s">
        <v>61</v>
      </c>
      <c r="K2117" t="s">
        <v>58</v>
      </c>
      <c r="L2117" t="s">
        <v>58</v>
      </c>
      <c r="M2117" t="s">
        <v>58</v>
      </c>
      <c r="O2117" t="s">
        <v>61</v>
      </c>
      <c r="Q2117" t="s">
        <v>58</v>
      </c>
      <c r="R2117" s="11" t="str">
        <f>HYPERLINK("\\imagefiles.bcgov\imagery\scanned_maps\moe_terrain_maps\Scanned_T_maps_all\L25\L25-3701","\\imagefiles.bcgov\imagery\scanned_maps\moe_terrain_maps\Scanned_T_maps_all\L25\L25-3701")</f>
        <v>\\imagefiles.bcgov\imagery\scanned_maps\moe_terrain_maps\Scanned_T_maps_all\L25\L25-3701</v>
      </c>
      <c r="S2117" t="s">
        <v>62</v>
      </c>
      <c r="T2117" s="11" t="str">
        <f>HYPERLINK("http://www.env.gov.bc.ca/esd/distdata/ecosystems/TEI_Scanned_Maps/L25/L25-3701","http://www.env.gov.bc.ca/esd/distdata/ecosystems/TEI_Scanned_Maps/L25/L25-3701")</f>
        <v>http://www.env.gov.bc.ca/esd/distdata/ecosystems/TEI_Scanned_Maps/L25/L25-3701</v>
      </c>
      <c r="U2117" t="s">
        <v>269</v>
      </c>
      <c r="V2117" s="11" t="str">
        <f t="shared" si="148"/>
        <v>http://www.for.gov.bc.ca/hfd/library/documents/bib48254.pdf</v>
      </c>
      <c r="W2117" t="s">
        <v>58</v>
      </c>
      <c r="X2117" t="s">
        <v>58</v>
      </c>
      <c r="Y2117" t="s">
        <v>58</v>
      </c>
      <c r="Z2117" t="s">
        <v>58</v>
      </c>
      <c r="AA2117" t="s">
        <v>58</v>
      </c>
      <c r="AC2117" t="s">
        <v>58</v>
      </c>
      <c r="AE2117" t="s">
        <v>58</v>
      </c>
      <c r="AG2117" t="s">
        <v>63</v>
      </c>
      <c r="AH2117" s="11" t="str">
        <f t="shared" si="149"/>
        <v>mailto: soilterrain@victoria1.gov.bc.ca</v>
      </c>
    </row>
    <row r="2118" spans="1:34">
      <c r="A2118" t="s">
        <v>4883</v>
      </c>
      <c r="B2118" t="s">
        <v>56</v>
      </c>
      <c r="C2118" s="10" t="s">
        <v>4472</v>
      </c>
      <c r="D2118" t="s">
        <v>61</v>
      </c>
      <c r="E2118" t="s">
        <v>4856</v>
      </c>
      <c r="F2118" t="s">
        <v>4884</v>
      </c>
      <c r="G2118">
        <v>250000</v>
      </c>
      <c r="H2118">
        <v>1976</v>
      </c>
      <c r="I2118" t="s">
        <v>4859</v>
      </c>
      <c r="J2118" t="s">
        <v>61</v>
      </c>
      <c r="K2118" t="s">
        <v>58</v>
      </c>
      <c r="L2118" t="s">
        <v>58</v>
      </c>
      <c r="M2118" t="s">
        <v>58</v>
      </c>
      <c r="O2118" t="s">
        <v>61</v>
      </c>
      <c r="Q2118" t="s">
        <v>58</v>
      </c>
      <c r="R2118" s="11" t="str">
        <f>HYPERLINK("\\imagefiles.bcgov\imagery\scanned_maps\moe_terrain_maps\Scanned_T_maps_all\L25\L25-3702","\\imagefiles.bcgov\imagery\scanned_maps\moe_terrain_maps\Scanned_T_maps_all\L25\L25-3702")</f>
        <v>\\imagefiles.bcgov\imagery\scanned_maps\moe_terrain_maps\Scanned_T_maps_all\L25\L25-3702</v>
      </c>
      <c r="S2118" t="s">
        <v>62</v>
      </c>
      <c r="T2118" s="11" t="str">
        <f>HYPERLINK("http://www.env.gov.bc.ca/esd/distdata/ecosystems/TEI_Scanned_Maps/L25/L25-3702","http://www.env.gov.bc.ca/esd/distdata/ecosystems/TEI_Scanned_Maps/L25/L25-3702")</f>
        <v>http://www.env.gov.bc.ca/esd/distdata/ecosystems/TEI_Scanned_Maps/L25/L25-3702</v>
      </c>
      <c r="U2118" t="s">
        <v>269</v>
      </c>
      <c r="V2118" s="11" t="str">
        <f t="shared" si="148"/>
        <v>http://www.for.gov.bc.ca/hfd/library/documents/bib48254.pdf</v>
      </c>
      <c r="W2118" t="s">
        <v>58</v>
      </c>
      <c r="X2118" t="s">
        <v>58</v>
      </c>
      <c r="Y2118" t="s">
        <v>58</v>
      </c>
      <c r="Z2118" t="s">
        <v>58</v>
      </c>
      <c r="AA2118" t="s">
        <v>58</v>
      </c>
      <c r="AC2118" t="s">
        <v>58</v>
      </c>
      <c r="AE2118" t="s">
        <v>58</v>
      </c>
      <c r="AG2118" t="s">
        <v>63</v>
      </c>
      <c r="AH2118" s="11" t="str">
        <f t="shared" si="149"/>
        <v>mailto: soilterrain@victoria1.gov.bc.ca</v>
      </c>
    </row>
    <row r="2119" spans="1:34">
      <c r="A2119" t="s">
        <v>4885</v>
      </c>
      <c r="B2119" t="s">
        <v>56</v>
      </c>
      <c r="C2119" s="10" t="s">
        <v>4475</v>
      </c>
      <c r="D2119" t="s">
        <v>61</v>
      </c>
      <c r="E2119" t="s">
        <v>4856</v>
      </c>
      <c r="F2119" t="s">
        <v>4886</v>
      </c>
      <c r="G2119">
        <v>250000</v>
      </c>
      <c r="H2119">
        <v>1976</v>
      </c>
      <c r="I2119" t="s">
        <v>4859</v>
      </c>
      <c r="J2119" t="s">
        <v>61</v>
      </c>
      <c r="K2119" t="s">
        <v>58</v>
      </c>
      <c r="L2119" t="s">
        <v>58</v>
      </c>
      <c r="M2119" t="s">
        <v>58</v>
      </c>
      <c r="O2119" t="s">
        <v>61</v>
      </c>
      <c r="Q2119" t="s">
        <v>58</v>
      </c>
      <c r="R2119" s="11" t="str">
        <f>HYPERLINK("\\imagefiles.bcgov\imagery\scanned_maps\moe_terrain_maps\Scanned_T_maps_all\L25\L25-3703","\\imagefiles.bcgov\imagery\scanned_maps\moe_terrain_maps\Scanned_T_maps_all\L25\L25-3703")</f>
        <v>\\imagefiles.bcgov\imagery\scanned_maps\moe_terrain_maps\Scanned_T_maps_all\L25\L25-3703</v>
      </c>
      <c r="S2119" t="s">
        <v>62</v>
      </c>
      <c r="T2119" s="11" t="str">
        <f>HYPERLINK("http://www.env.gov.bc.ca/esd/distdata/ecosystems/TEI_Scanned_Maps/L25/L25-3703","http://www.env.gov.bc.ca/esd/distdata/ecosystems/TEI_Scanned_Maps/L25/L25-3703")</f>
        <v>http://www.env.gov.bc.ca/esd/distdata/ecosystems/TEI_Scanned_Maps/L25/L25-3703</v>
      </c>
      <c r="U2119" t="s">
        <v>269</v>
      </c>
      <c r="V2119" s="11" t="str">
        <f t="shared" si="148"/>
        <v>http://www.for.gov.bc.ca/hfd/library/documents/bib48254.pdf</v>
      </c>
      <c r="W2119" t="s">
        <v>58</v>
      </c>
      <c r="X2119" t="s">
        <v>58</v>
      </c>
      <c r="Y2119" t="s">
        <v>58</v>
      </c>
      <c r="Z2119" t="s">
        <v>58</v>
      </c>
      <c r="AA2119" t="s">
        <v>58</v>
      </c>
      <c r="AC2119" t="s">
        <v>58</v>
      </c>
      <c r="AE2119" t="s">
        <v>58</v>
      </c>
      <c r="AG2119" t="s">
        <v>63</v>
      </c>
      <c r="AH2119" s="11" t="str">
        <f t="shared" si="149"/>
        <v>mailto: soilterrain@victoria1.gov.bc.ca</v>
      </c>
    </row>
    <row r="2120" spans="1:34">
      <c r="A2120" t="s">
        <v>4887</v>
      </c>
      <c r="B2120" t="s">
        <v>56</v>
      </c>
      <c r="C2120" s="10" t="s">
        <v>4472</v>
      </c>
      <c r="D2120" t="s">
        <v>61</v>
      </c>
      <c r="E2120" t="s">
        <v>4856</v>
      </c>
      <c r="F2120" t="s">
        <v>4888</v>
      </c>
      <c r="G2120">
        <v>250000</v>
      </c>
      <c r="H2120">
        <v>1976</v>
      </c>
      <c r="I2120" t="s">
        <v>4859</v>
      </c>
      <c r="J2120" t="s">
        <v>61</v>
      </c>
      <c r="K2120" t="s">
        <v>58</v>
      </c>
      <c r="L2120" t="s">
        <v>58</v>
      </c>
      <c r="M2120" t="s">
        <v>58</v>
      </c>
      <c r="O2120" t="s">
        <v>61</v>
      </c>
      <c r="Q2120" t="s">
        <v>58</v>
      </c>
      <c r="R2120" s="11" t="str">
        <f>HYPERLINK("\\imagefiles.bcgov\imagery\scanned_maps\moe_terrain_maps\Scanned_T_maps_all\L25\L25-3709","\\imagefiles.bcgov\imagery\scanned_maps\moe_terrain_maps\Scanned_T_maps_all\L25\L25-3709")</f>
        <v>\\imagefiles.bcgov\imagery\scanned_maps\moe_terrain_maps\Scanned_T_maps_all\L25\L25-3709</v>
      </c>
      <c r="S2120" t="s">
        <v>62</v>
      </c>
      <c r="T2120" s="11" t="str">
        <f>HYPERLINK("http://www.env.gov.bc.ca/esd/distdata/ecosystems/TEI_Scanned_Maps/L25/L25-3709","http://www.env.gov.bc.ca/esd/distdata/ecosystems/TEI_Scanned_Maps/L25/L25-3709")</f>
        <v>http://www.env.gov.bc.ca/esd/distdata/ecosystems/TEI_Scanned_Maps/L25/L25-3709</v>
      </c>
      <c r="U2120" t="s">
        <v>269</v>
      </c>
      <c r="V2120" s="11" t="str">
        <f t="shared" si="148"/>
        <v>http://www.for.gov.bc.ca/hfd/library/documents/bib48254.pdf</v>
      </c>
      <c r="W2120" t="s">
        <v>58</v>
      </c>
      <c r="X2120" t="s">
        <v>58</v>
      </c>
      <c r="Y2120" t="s">
        <v>58</v>
      </c>
      <c r="Z2120" t="s">
        <v>58</v>
      </c>
      <c r="AA2120" t="s">
        <v>58</v>
      </c>
      <c r="AC2120" t="s">
        <v>58</v>
      </c>
      <c r="AE2120" t="s">
        <v>58</v>
      </c>
      <c r="AG2120" t="s">
        <v>63</v>
      </c>
      <c r="AH2120" s="11" t="str">
        <f t="shared" si="149"/>
        <v>mailto: soilterrain@victoria1.gov.bc.ca</v>
      </c>
    </row>
    <row r="2121" spans="1:34">
      <c r="A2121" t="s">
        <v>4889</v>
      </c>
      <c r="B2121" t="s">
        <v>56</v>
      </c>
      <c r="C2121" s="10" t="s">
        <v>4475</v>
      </c>
      <c r="D2121" t="s">
        <v>61</v>
      </c>
      <c r="E2121" t="s">
        <v>4856</v>
      </c>
      <c r="F2121" t="s">
        <v>4890</v>
      </c>
      <c r="G2121">
        <v>250000</v>
      </c>
      <c r="H2121">
        <v>1976</v>
      </c>
      <c r="I2121" t="s">
        <v>4859</v>
      </c>
      <c r="J2121" t="s">
        <v>61</v>
      </c>
      <c r="K2121" t="s">
        <v>58</v>
      </c>
      <c r="L2121" t="s">
        <v>58</v>
      </c>
      <c r="M2121" t="s">
        <v>58</v>
      </c>
      <c r="O2121" t="s">
        <v>61</v>
      </c>
      <c r="Q2121" t="s">
        <v>58</v>
      </c>
      <c r="R2121" s="11" t="str">
        <f>HYPERLINK("\\imagefiles.bcgov\imagery\scanned_maps\moe_terrain_maps\Scanned_T_maps_all\L25\L25-3710","\\imagefiles.bcgov\imagery\scanned_maps\moe_terrain_maps\Scanned_T_maps_all\L25\L25-3710")</f>
        <v>\\imagefiles.bcgov\imagery\scanned_maps\moe_terrain_maps\Scanned_T_maps_all\L25\L25-3710</v>
      </c>
      <c r="S2121" t="s">
        <v>62</v>
      </c>
      <c r="T2121" s="11" t="str">
        <f>HYPERLINK("http://www.env.gov.bc.ca/esd/distdata/ecosystems/TEI_Scanned_Maps/L25/L25-3710","http://www.env.gov.bc.ca/esd/distdata/ecosystems/TEI_Scanned_Maps/L25/L25-3710")</f>
        <v>http://www.env.gov.bc.ca/esd/distdata/ecosystems/TEI_Scanned_Maps/L25/L25-3710</v>
      </c>
      <c r="U2121" t="s">
        <v>269</v>
      </c>
      <c r="V2121" s="11" t="str">
        <f t="shared" si="148"/>
        <v>http://www.for.gov.bc.ca/hfd/library/documents/bib48254.pdf</v>
      </c>
      <c r="W2121" t="s">
        <v>58</v>
      </c>
      <c r="X2121" t="s">
        <v>58</v>
      </c>
      <c r="Y2121" t="s">
        <v>58</v>
      </c>
      <c r="Z2121" t="s">
        <v>58</v>
      </c>
      <c r="AA2121" t="s">
        <v>58</v>
      </c>
      <c r="AC2121" t="s">
        <v>58</v>
      </c>
      <c r="AE2121" t="s">
        <v>58</v>
      </c>
      <c r="AG2121" t="s">
        <v>63</v>
      </c>
      <c r="AH2121" s="11" t="str">
        <f t="shared" si="149"/>
        <v>mailto: soilterrain@victoria1.gov.bc.ca</v>
      </c>
    </row>
    <row r="2122" spans="1:34">
      <c r="A2122" t="s">
        <v>4891</v>
      </c>
      <c r="B2122" t="s">
        <v>56</v>
      </c>
      <c r="C2122" s="10" t="s">
        <v>4868</v>
      </c>
      <c r="D2122" t="s">
        <v>61</v>
      </c>
      <c r="E2122" t="s">
        <v>4856</v>
      </c>
      <c r="F2122" t="s">
        <v>4892</v>
      </c>
      <c r="G2122">
        <v>250000</v>
      </c>
      <c r="H2122">
        <v>1976</v>
      </c>
      <c r="I2122" t="s">
        <v>4859</v>
      </c>
      <c r="J2122" t="s">
        <v>61</v>
      </c>
      <c r="K2122" t="s">
        <v>58</v>
      </c>
      <c r="L2122" t="s">
        <v>58</v>
      </c>
      <c r="M2122" t="s">
        <v>58</v>
      </c>
      <c r="O2122" t="s">
        <v>61</v>
      </c>
      <c r="Q2122" t="s">
        <v>58</v>
      </c>
      <c r="R2122" s="11" t="str">
        <f>HYPERLINK("\\imagefiles.bcgov\imagery\scanned_maps\moe_terrain_maps\Scanned_T_maps_all\L25\L25-3711","\\imagefiles.bcgov\imagery\scanned_maps\moe_terrain_maps\Scanned_T_maps_all\L25\L25-3711")</f>
        <v>\\imagefiles.bcgov\imagery\scanned_maps\moe_terrain_maps\Scanned_T_maps_all\L25\L25-3711</v>
      </c>
      <c r="S2122" t="s">
        <v>62</v>
      </c>
      <c r="T2122" s="11" t="str">
        <f>HYPERLINK("http://www.env.gov.bc.ca/esd/distdata/ecosystems/TEI_Scanned_Maps/L25/L25-3711","http://www.env.gov.bc.ca/esd/distdata/ecosystems/TEI_Scanned_Maps/L25/L25-3711")</f>
        <v>http://www.env.gov.bc.ca/esd/distdata/ecosystems/TEI_Scanned_Maps/L25/L25-3711</v>
      </c>
      <c r="U2122" t="s">
        <v>269</v>
      </c>
      <c r="V2122" s="11" t="str">
        <f t="shared" si="148"/>
        <v>http://www.for.gov.bc.ca/hfd/library/documents/bib48254.pdf</v>
      </c>
      <c r="W2122" t="s">
        <v>58</v>
      </c>
      <c r="X2122" t="s">
        <v>58</v>
      </c>
      <c r="Y2122" t="s">
        <v>58</v>
      </c>
      <c r="Z2122" t="s">
        <v>58</v>
      </c>
      <c r="AA2122" t="s">
        <v>58</v>
      </c>
      <c r="AC2122" t="s">
        <v>58</v>
      </c>
      <c r="AE2122" t="s">
        <v>58</v>
      </c>
      <c r="AG2122" t="s">
        <v>63</v>
      </c>
      <c r="AH2122" s="11" t="str">
        <f t="shared" si="149"/>
        <v>mailto: soilterrain@victoria1.gov.bc.ca</v>
      </c>
    </row>
    <row r="2123" spans="1:34">
      <c r="A2123" t="s">
        <v>4893</v>
      </c>
      <c r="B2123" t="s">
        <v>56</v>
      </c>
      <c r="C2123" s="10" t="s">
        <v>4894</v>
      </c>
      <c r="D2123" t="s">
        <v>58</v>
      </c>
      <c r="E2123" t="s">
        <v>4895</v>
      </c>
      <c r="F2123" t="s">
        <v>4896</v>
      </c>
      <c r="G2123">
        <v>20000</v>
      </c>
      <c r="H2123">
        <v>1980</v>
      </c>
      <c r="I2123" t="s">
        <v>58</v>
      </c>
      <c r="J2123" t="s">
        <v>61</v>
      </c>
      <c r="K2123" t="s">
        <v>58</v>
      </c>
      <c r="L2123" t="s">
        <v>58</v>
      </c>
      <c r="M2123" t="s">
        <v>58</v>
      </c>
      <c r="N2123" t="s">
        <v>61</v>
      </c>
      <c r="Q2123" t="s">
        <v>58</v>
      </c>
      <c r="R2123" s="11" t="str">
        <f>HYPERLINK("\\imagefiles.bcgov\imagery\scanned_maps\moe_terrain_maps\Scanned_T_maps_all\L26\L26-1824","\\imagefiles.bcgov\imagery\scanned_maps\moe_terrain_maps\Scanned_T_maps_all\L26\L26-1824")</f>
        <v>\\imagefiles.bcgov\imagery\scanned_maps\moe_terrain_maps\Scanned_T_maps_all\L26\L26-1824</v>
      </c>
      <c r="S2123" t="s">
        <v>62</v>
      </c>
      <c r="T2123" s="11" t="str">
        <f>HYPERLINK("http://www.env.gov.bc.ca/esd/distdata/ecosystems/TEI_Scanned_Maps/L26/L26-1824","http://www.env.gov.bc.ca/esd/distdata/ecosystems/TEI_Scanned_Maps/L26/L26-1824")</f>
        <v>http://www.env.gov.bc.ca/esd/distdata/ecosystems/TEI_Scanned_Maps/L26/L26-1824</v>
      </c>
      <c r="U2123" t="s">
        <v>269</v>
      </c>
      <c r="V2123" s="11" t="str">
        <f>HYPERLINK("http://www.library.for.gov.bc.ca/#focus","http://www.library.for.gov.bc.ca/#focus")</f>
        <v>http://www.library.for.gov.bc.ca/#focus</v>
      </c>
      <c r="W2123" t="s">
        <v>58</v>
      </c>
      <c r="X2123" t="s">
        <v>58</v>
      </c>
      <c r="Y2123" t="s">
        <v>58</v>
      </c>
      <c r="Z2123" t="s">
        <v>58</v>
      </c>
      <c r="AA2123" t="s">
        <v>58</v>
      </c>
      <c r="AC2123" t="s">
        <v>58</v>
      </c>
      <c r="AE2123" t="s">
        <v>58</v>
      </c>
      <c r="AG2123" t="s">
        <v>63</v>
      </c>
      <c r="AH2123" s="11" t="str">
        <f t="shared" si="149"/>
        <v>mailto: soilterrain@victoria1.gov.bc.ca</v>
      </c>
    </row>
    <row r="2124" spans="1:34">
      <c r="A2124" t="s">
        <v>4897</v>
      </c>
      <c r="B2124" t="s">
        <v>56</v>
      </c>
      <c r="C2124" s="10" t="s">
        <v>4894</v>
      </c>
      <c r="D2124" t="s">
        <v>58</v>
      </c>
      <c r="E2124" t="s">
        <v>4895</v>
      </c>
      <c r="F2124" t="s">
        <v>4898</v>
      </c>
      <c r="G2124">
        <v>20000</v>
      </c>
      <c r="H2124">
        <v>1978</v>
      </c>
      <c r="I2124" t="s">
        <v>58</v>
      </c>
      <c r="J2124" t="s">
        <v>61</v>
      </c>
      <c r="K2124" t="s">
        <v>58</v>
      </c>
      <c r="L2124" t="s">
        <v>61</v>
      </c>
      <c r="M2124" t="s">
        <v>58</v>
      </c>
      <c r="Q2124" t="s">
        <v>58</v>
      </c>
      <c r="R2124" s="11" t="str">
        <f>HYPERLINK("\\imagefiles.bcgov\imagery\scanned_maps\moe_terrain_maps\Scanned_T_maps_all\L26\L26-1826","\\imagefiles.bcgov\imagery\scanned_maps\moe_terrain_maps\Scanned_T_maps_all\L26\L26-1826")</f>
        <v>\\imagefiles.bcgov\imagery\scanned_maps\moe_terrain_maps\Scanned_T_maps_all\L26\L26-1826</v>
      </c>
      <c r="S2124" t="s">
        <v>62</v>
      </c>
      <c r="T2124" s="11" t="str">
        <f>HYPERLINK("http://www.env.gov.bc.ca/esd/distdata/ecosystems/TEI_Scanned_Maps/L26/L26-1826","http://www.env.gov.bc.ca/esd/distdata/ecosystems/TEI_Scanned_Maps/L26/L26-1826")</f>
        <v>http://www.env.gov.bc.ca/esd/distdata/ecosystems/TEI_Scanned_Maps/L26/L26-1826</v>
      </c>
      <c r="U2124" t="s">
        <v>269</v>
      </c>
      <c r="V2124" s="11" t="str">
        <f>HYPERLINK("http://www.library.for.gov.bc.ca/#focus","http://www.library.for.gov.bc.ca/#focus")</f>
        <v>http://www.library.for.gov.bc.ca/#focus</v>
      </c>
      <c r="W2124" t="s">
        <v>58</v>
      </c>
      <c r="X2124" t="s">
        <v>58</v>
      </c>
      <c r="Y2124" t="s">
        <v>58</v>
      </c>
      <c r="Z2124" t="s">
        <v>58</v>
      </c>
      <c r="AA2124" t="s">
        <v>58</v>
      </c>
      <c r="AC2124" t="s">
        <v>58</v>
      </c>
      <c r="AE2124" t="s">
        <v>58</v>
      </c>
      <c r="AG2124" t="s">
        <v>63</v>
      </c>
      <c r="AH2124" s="11" t="str">
        <f t="shared" si="149"/>
        <v>mailto: soilterrain@victoria1.gov.bc.ca</v>
      </c>
    </row>
    <row r="2125" spans="1:34">
      <c r="A2125" t="s">
        <v>4899</v>
      </c>
      <c r="B2125" t="s">
        <v>56</v>
      </c>
      <c r="C2125" s="10" t="s">
        <v>4894</v>
      </c>
      <c r="D2125" t="s">
        <v>58</v>
      </c>
      <c r="E2125" t="s">
        <v>4895</v>
      </c>
      <c r="F2125" t="s">
        <v>4900</v>
      </c>
      <c r="G2125">
        <v>20000</v>
      </c>
      <c r="H2125">
        <v>1980</v>
      </c>
      <c r="I2125" t="s">
        <v>58</v>
      </c>
      <c r="J2125" t="s">
        <v>61</v>
      </c>
      <c r="K2125" t="s">
        <v>58</v>
      </c>
      <c r="L2125" t="s">
        <v>61</v>
      </c>
      <c r="M2125" t="s">
        <v>58</v>
      </c>
      <c r="Q2125" t="s">
        <v>58</v>
      </c>
      <c r="R2125" s="11" t="str">
        <f>HYPERLINK("\\imagefiles.bcgov\imagery\scanned_maps\moe_terrain_maps\Scanned_T_maps_all\L26\L26-1827","\\imagefiles.bcgov\imagery\scanned_maps\moe_terrain_maps\Scanned_T_maps_all\L26\L26-1827")</f>
        <v>\\imagefiles.bcgov\imagery\scanned_maps\moe_terrain_maps\Scanned_T_maps_all\L26\L26-1827</v>
      </c>
      <c r="S2125" t="s">
        <v>62</v>
      </c>
      <c r="T2125" s="11" t="str">
        <f>HYPERLINK("http://www.env.gov.bc.ca/esd/distdata/ecosystems/TEI_Scanned_Maps/L26/L26-1827","http://www.env.gov.bc.ca/esd/distdata/ecosystems/TEI_Scanned_Maps/L26/L26-1827")</f>
        <v>http://www.env.gov.bc.ca/esd/distdata/ecosystems/TEI_Scanned_Maps/L26/L26-1827</v>
      </c>
      <c r="U2125" t="s">
        <v>269</v>
      </c>
      <c r="V2125" s="11" t="str">
        <f>HYPERLINK("http://www.library.for.gov.bc.ca/#focus","http://www.library.for.gov.bc.ca/#focus")</f>
        <v>http://www.library.for.gov.bc.ca/#focus</v>
      </c>
      <c r="W2125" t="s">
        <v>58</v>
      </c>
      <c r="X2125" t="s">
        <v>58</v>
      </c>
      <c r="Y2125" t="s">
        <v>58</v>
      </c>
      <c r="Z2125" t="s">
        <v>58</v>
      </c>
      <c r="AA2125" t="s">
        <v>58</v>
      </c>
      <c r="AC2125" t="s">
        <v>58</v>
      </c>
      <c r="AE2125" t="s">
        <v>58</v>
      </c>
      <c r="AG2125" t="s">
        <v>63</v>
      </c>
      <c r="AH2125" s="11" t="str">
        <f t="shared" si="149"/>
        <v>mailto: soilterrain@victoria1.gov.bc.ca</v>
      </c>
    </row>
    <row r="2126" spans="1:34">
      <c r="A2126" t="s">
        <v>4901</v>
      </c>
      <c r="B2126" t="s">
        <v>56</v>
      </c>
      <c r="C2126" s="10" t="s">
        <v>4894</v>
      </c>
      <c r="D2126" t="s">
        <v>58</v>
      </c>
      <c r="E2126" t="s">
        <v>4895</v>
      </c>
      <c r="F2126" t="s">
        <v>4902</v>
      </c>
      <c r="G2126">
        <v>20000</v>
      </c>
      <c r="H2126">
        <v>1974</v>
      </c>
      <c r="I2126" t="s">
        <v>58</v>
      </c>
      <c r="J2126" t="s">
        <v>61</v>
      </c>
      <c r="K2126" t="s">
        <v>58</v>
      </c>
      <c r="L2126" t="s">
        <v>61</v>
      </c>
      <c r="M2126" t="s">
        <v>58</v>
      </c>
      <c r="N2126" t="s">
        <v>61</v>
      </c>
      <c r="Q2126" t="s">
        <v>58</v>
      </c>
      <c r="R2126" s="11" t="str">
        <f>HYPERLINK("\\imagefiles.bcgov\imagery\scanned_maps\moe_terrain_maps\Scanned_T_maps_all\L26\L26-1828","\\imagefiles.bcgov\imagery\scanned_maps\moe_terrain_maps\Scanned_T_maps_all\L26\L26-1828")</f>
        <v>\\imagefiles.bcgov\imagery\scanned_maps\moe_terrain_maps\Scanned_T_maps_all\L26\L26-1828</v>
      </c>
      <c r="S2126" t="s">
        <v>62</v>
      </c>
      <c r="T2126" s="11" t="str">
        <f>HYPERLINK("http://www.env.gov.bc.ca/esd/distdata/ecosystems/TEI_Scanned_Maps/L26/L26-1828","http://www.env.gov.bc.ca/esd/distdata/ecosystems/TEI_Scanned_Maps/L26/L26-1828")</f>
        <v>http://www.env.gov.bc.ca/esd/distdata/ecosystems/TEI_Scanned_Maps/L26/L26-1828</v>
      </c>
      <c r="U2126" t="s">
        <v>269</v>
      </c>
      <c r="V2126" s="11" t="str">
        <f>HYPERLINK("http://www.library.for.gov.bc.ca/#focus","http://www.library.for.gov.bc.ca/#focus")</f>
        <v>http://www.library.for.gov.bc.ca/#focus</v>
      </c>
      <c r="W2126" t="s">
        <v>58</v>
      </c>
      <c r="X2126" t="s">
        <v>58</v>
      </c>
      <c r="Y2126" t="s">
        <v>58</v>
      </c>
      <c r="Z2126" t="s">
        <v>58</v>
      </c>
      <c r="AA2126" t="s">
        <v>58</v>
      </c>
      <c r="AC2126" t="s">
        <v>58</v>
      </c>
      <c r="AE2126" t="s">
        <v>58</v>
      </c>
      <c r="AG2126" t="s">
        <v>63</v>
      </c>
      <c r="AH2126" s="11" t="str">
        <f t="shared" si="149"/>
        <v>mailto: soilterrain@victoria1.gov.bc.ca</v>
      </c>
    </row>
    <row r="2127" spans="1:34">
      <c r="A2127" t="s">
        <v>4903</v>
      </c>
      <c r="B2127" t="s">
        <v>56</v>
      </c>
      <c r="C2127" s="10" t="s">
        <v>4904</v>
      </c>
      <c r="D2127" t="s">
        <v>58</v>
      </c>
      <c r="E2127" t="s">
        <v>4905</v>
      </c>
      <c r="F2127" t="s">
        <v>4906</v>
      </c>
      <c r="G2127">
        <v>20000</v>
      </c>
      <c r="H2127">
        <v>1978</v>
      </c>
      <c r="I2127" t="s">
        <v>58</v>
      </c>
      <c r="J2127" t="s">
        <v>61</v>
      </c>
      <c r="K2127" t="s">
        <v>58</v>
      </c>
      <c r="L2127" t="s">
        <v>61</v>
      </c>
      <c r="M2127" t="s">
        <v>58</v>
      </c>
      <c r="Q2127" t="s">
        <v>58</v>
      </c>
      <c r="R2127" s="11" t="str">
        <f>HYPERLINK("\\imagefiles.bcgov\imagery\scanned_maps\moe_terrain_maps\Scanned_T_maps_all\L27\L27-648","\\imagefiles.bcgov\imagery\scanned_maps\moe_terrain_maps\Scanned_T_maps_all\L27\L27-648")</f>
        <v>\\imagefiles.bcgov\imagery\scanned_maps\moe_terrain_maps\Scanned_T_maps_all\L27\L27-648</v>
      </c>
      <c r="S2127" t="s">
        <v>62</v>
      </c>
      <c r="T2127" s="11" t="str">
        <f>HYPERLINK("http://www.env.gov.bc.ca/esd/distdata/ecosystems/TEI_Scanned_Maps/L27/L27-648","http://www.env.gov.bc.ca/esd/distdata/ecosystems/TEI_Scanned_Maps/L27/L27-648")</f>
        <v>http://www.env.gov.bc.ca/esd/distdata/ecosystems/TEI_Scanned_Maps/L27/L27-648</v>
      </c>
      <c r="U2127" t="s">
        <v>58</v>
      </c>
      <c r="V2127" t="s">
        <v>58</v>
      </c>
      <c r="W2127" t="s">
        <v>58</v>
      </c>
      <c r="X2127" t="s">
        <v>58</v>
      </c>
      <c r="Y2127" t="s">
        <v>58</v>
      </c>
      <c r="Z2127" t="s">
        <v>58</v>
      </c>
      <c r="AA2127" t="s">
        <v>58</v>
      </c>
      <c r="AC2127" t="s">
        <v>58</v>
      </c>
      <c r="AE2127" t="s">
        <v>58</v>
      </c>
      <c r="AG2127" t="s">
        <v>63</v>
      </c>
      <c r="AH2127" s="11" t="str">
        <f t="shared" si="149"/>
        <v>mailto: soilterrain@victoria1.gov.bc.ca</v>
      </c>
    </row>
    <row r="2128" spans="1:34">
      <c r="A2128" t="s">
        <v>4907</v>
      </c>
      <c r="B2128" t="s">
        <v>56</v>
      </c>
      <c r="C2128" s="10" t="s">
        <v>4908</v>
      </c>
      <c r="D2128" t="s">
        <v>61</v>
      </c>
      <c r="E2128" t="s">
        <v>4909</v>
      </c>
      <c r="F2128" t="s">
        <v>4910</v>
      </c>
      <c r="G2128">
        <v>20000</v>
      </c>
      <c r="H2128">
        <v>1979</v>
      </c>
      <c r="I2128" t="s">
        <v>4911</v>
      </c>
      <c r="J2128" t="s">
        <v>61</v>
      </c>
      <c r="K2128" t="s">
        <v>58</v>
      </c>
      <c r="L2128" t="s">
        <v>58</v>
      </c>
      <c r="M2128" t="s">
        <v>61</v>
      </c>
      <c r="Q2128" t="s">
        <v>58</v>
      </c>
      <c r="R2128" s="11" t="str">
        <f>HYPERLINK("\\imagefiles.bcgov\imagery\scanned_maps\moe_terrain_maps\Scanned_T_maps_all\L28\L28-3720","\\imagefiles.bcgov\imagery\scanned_maps\moe_terrain_maps\Scanned_T_maps_all\L28\L28-3720")</f>
        <v>\\imagefiles.bcgov\imagery\scanned_maps\moe_terrain_maps\Scanned_T_maps_all\L28\L28-3720</v>
      </c>
      <c r="S2128" t="s">
        <v>62</v>
      </c>
      <c r="T2128" s="11" t="str">
        <f>HYPERLINK("http://www.env.gov.bc.ca/esd/distdata/ecosystems/TEI_Scanned_Maps/L28/L28-3720","http://www.env.gov.bc.ca/esd/distdata/ecosystems/TEI_Scanned_Maps/L28/L28-3720")</f>
        <v>http://www.env.gov.bc.ca/esd/distdata/ecosystems/TEI_Scanned_Maps/L28/L28-3720</v>
      </c>
      <c r="U2128" t="s">
        <v>269</v>
      </c>
      <c r="V2128" s="11" t="str">
        <f>HYPERLINK("http://www.for.gov.bc.ca/hfd/library/documents/bib51898.pdf","http://www.for.gov.bc.ca/hfd/library/documents/bib51898.pdf")</f>
        <v>http://www.for.gov.bc.ca/hfd/library/documents/bib51898.pdf</v>
      </c>
      <c r="W2128" t="s">
        <v>58</v>
      </c>
      <c r="X2128" t="s">
        <v>58</v>
      </c>
      <c r="Y2128" t="s">
        <v>58</v>
      </c>
      <c r="Z2128" t="s">
        <v>58</v>
      </c>
      <c r="AA2128" t="s">
        <v>58</v>
      </c>
      <c r="AC2128" t="s">
        <v>58</v>
      </c>
      <c r="AE2128" t="s">
        <v>58</v>
      </c>
      <c r="AG2128" t="s">
        <v>63</v>
      </c>
      <c r="AH2128" s="11" t="str">
        <f t="shared" si="149"/>
        <v>mailto: soilterrain@victoria1.gov.bc.ca</v>
      </c>
    </row>
    <row r="2129" spans="1:34">
      <c r="A2129" t="s">
        <v>4912</v>
      </c>
      <c r="B2129" t="s">
        <v>56</v>
      </c>
      <c r="C2129" s="10" t="s">
        <v>4913</v>
      </c>
      <c r="D2129" t="s">
        <v>58</v>
      </c>
      <c r="E2129" t="s">
        <v>4914</v>
      </c>
      <c r="F2129" t="s">
        <v>4915</v>
      </c>
      <c r="G2129">
        <v>0</v>
      </c>
      <c r="H2129" t="s">
        <v>187</v>
      </c>
      <c r="I2129" t="s">
        <v>58</v>
      </c>
      <c r="J2129" t="s">
        <v>61</v>
      </c>
      <c r="K2129" t="s">
        <v>58</v>
      </c>
      <c r="L2129" t="s">
        <v>58</v>
      </c>
      <c r="M2129" t="s">
        <v>58</v>
      </c>
      <c r="O2129" t="s">
        <v>61</v>
      </c>
      <c r="Q2129" t="s">
        <v>58</v>
      </c>
      <c r="R2129" s="11" t="str">
        <f>HYPERLINK("\\imagefiles.bcgov\imagery\scanned_maps\moe_terrain_maps\Scanned_T_maps_all\L28\L28-521","\\imagefiles.bcgov\imagery\scanned_maps\moe_terrain_maps\Scanned_T_maps_all\L28\L28-521")</f>
        <v>\\imagefiles.bcgov\imagery\scanned_maps\moe_terrain_maps\Scanned_T_maps_all\L28\L28-521</v>
      </c>
      <c r="S2129" t="s">
        <v>62</v>
      </c>
      <c r="T2129" s="11" t="str">
        <f>HYPERLINK("http://www.env.gov.bc.ca/esd/distdata/ecosystems/TEI_Scanned_Maps/L28/L28-521","http://www.env.gov.bc.ca/esd/distdata/ecosystems/TEI_Scanned_Maps/L28/L28-521")</f>
        <v>http://www.env.gov.bc.ca/esd/distdata/ecosystems/TEI_Scanned_Maps/L28/L28-521</v>
      </c>
      <c r="U2129" t="s">
        <v>58</v>
      </c>
      <c r="V2129" t="s">
        <v>58</v>
      </c>
      <c r="W2129" t="s">
        <v>58</v>
      </c>
      <c r="X2129" t="s">
        <v>58</v>
      </c>
      <c r="Y2129" t="s">
        <v>58</v>
      </c>
      <c r="Z2129" t="s">
        <v>58</v>
      </c>
      <c r="AA2129" t="s">
        <v>58</v>
      </c>
      <c r="AC2129" t="s">
        <v>58</v>
      </c>
      <c r="AE2129" t="s">
        <v>58</v>
      </c>
      <c r="AG2129" t="s">
        <v>63</v>
      </c>
      <c r="AH2129" s="11" t="str">
        <f t="shared" si="149"/>
        <v>mailto: soilterrain@victoria1.gov.bc.ca</v>
      </c>
    </row>
    <row r="2130" spans="1:34">
      <c r="A2130" t="s">
        <v>4916</v>
      </c>
      <c r="B2130" t="s">
        <v>56</v>
      </c>
      <c r="C2130" s="10" t="s">
        <v>1125</v>
      </c>
      <c r="D2130" t="s">
        <v>61</v>
      </c>
      <c r="E2130" t="s">
        <v>4909</v>
      </c>
      <c r="F2130" t="s">
        <v>4917</v>
      </c>
      <c r="G2130">
        <v>50000</v>
      </c>
      <c r="H2130">
        <v>1980</v>
      </c>
      <c r="I2130" t="s">
        <v>4911</v>
      </c>
      <c r="J2130" t="s">
        <v>61</v>
      </c>
      <c r="K2130" t="s">
        <v>58</v>
      </c>
      <c r="L2130" t="s">
        <v>58</v>
      </c>
      <c r="M2130" t="s">
        <v>58</v>
      </c>
      <c r="P2130" t="s">
        <v>61</v>
      </c>
      <c r="Q2130" t="s">
        <v>58</v>
      </c>
      <c r="R2130" s="11" t="str">
        <f>HYPERLINK("\\imagefiles.bcgov\imagery\scanned_maps\moe_terrain_maps\Scanned_T_maps_all\L28\L28-522","\\imagefiles.bcgov\imagery\scanned_maps\moe_terrain_maps\Scanned_T_maps_all\L28\L28-522")</f>
        <v>\\imagefiles.bcgov\imagery\scanned_maps\moe_terrain_maps\Scanned_T_maps_all\L28\L28-522</v>
      </c>
      <c r="S2130" t="s">
        <v>62</v>
      </c>
      <c r="T2130" s="11" t="str">
        <f>HYPERLINK("http://www.env.gov.bc.ca/esd/distdata/ecosystems/TEI_Scanned_Maps/L28/L28-522","http://www.env.gov.bc.ca/esd/distdata/ecosystems/TEI_Scanned_Maps/L28/L28-522")</f>
        <v>http://www.env.gov.bc.ca/esd/distdata/ecosystems/TEI_Scanned_Maps/L28/L28-522</v>
      </c>
      <c r="U2130" t="s">
        <v>269</v>
      </c>
      <c r="V2130" s="11" t="str">
        <f>HYPERLINK("http://www.for.gov.bc.ca/hfd/library/documents/bib51898.pdf","http://www.for.gov.bc.ca/hfd/library/documents/bib51898.pdf")</f>
        <v>http://www.for.gov.bc.ca/hfd/library/documents/bib51898.pdf</v>
      </c>
      <c r="W2130" t="s">
        <v>58</v>
      </c>
      <c r="X2130" t="s">
        <v>58</v>
      </c>
      <c r="Y2130" t="s">
        <v>58</v>
      </c>
      <c r="Z2130" t="s">
        <v>58</v>
      </c>
      <c r="AA2130" t="s">
        <v>58</v>
      </c>
      <c r="AC2130" t="s">
        <v>58</v>
      </c>
      <c r="AE2130" t="s">
        <v>58</v>
      </c>
      <c r="AG2130" t="s">
        <v>63</v>
      </c>
      <c r="AH2130" s="11" t="str">
        <f t="shared" si="149"/>
        <v>mailto: soilterrain@victoria1.gov.bc.ca</v>
      </c>
    </row>
    <row r="2131" spans="1:34">
      <c r="A2131" t="s">
        <v>4918</v>
      </c>
      <c r="B2131" t="s">
        <v>56</v>
      </c>
      <c r="C2131" s="10" t="s">
        <v>4908</v>
      </c>
      <c r="D2131" t="s">
        <v>58</v>
      </c>
      <c r="E2131" t="s">
        <v>4909</v>
      </c>
      <c r="F2131" t="s">
        <v>4919</v>
      </c>
      <c r="G2131">
        <v>20000</v>
      </c>
      <c r="H2131">
        <v>1978</v>
      </c>
      <c r="I2131" t="s">
        <v>4911</v>
      </c>
      <c r="J2131" t="s">
        <v>61</v>
      </c>
      <c r="K2131" t="s">
        <v>58</v>
      </c>
      <c r="L2131" t="s">
        <v>58</v>
      </c>
      <c r="M2131" t="s">
        <v>58</v>
      </c>
      <c r="N2131" t="s">
        <v>61</v>
      </c>
      <c r="Q2131" t="s">
        <v>58</v>
      </c>
      <c r="R2131" s="11" t="str">
        <f>HYPERLINK("\\imagefiles.bcgov\imagery\scanned_maps\moe_terrain_maps\Scanned_T_maps_all\L28\L28-523","\\imagefiles.bcgov\imagery\scanned_maps\moe_terrain_maps\Scanned_T_maps_all\L28\L28-523")</f>
        <v>\\imagefiles.bcgov\imagery\scanned_maps\moe_terrain_maps\Scanned_T_maps_all\L28\L28-523</v>
      </c>
      <c r="S2131" t="s">
        <v>62</v>
      </c>
      <c r="T2131" s="11" t="str">
        <f>HYPERLINK("http://www.env.gov.bc.ca/esd/distdata/ecosystems/TEI_Scanned_Maps/L28/L28-523","http://www.env.gov.bc.ca/esd/distdata/ecosystems/TEI_Scanned_Maps/L28/L28-523")</f>
        <v>http://www.env.gov.bc.ca/esd/distdata/ecosystems/TEI_Scanned_Maps/L28/L28-523</v>
      </c>
      <c r="U2131" t="s">
        <v>269</v>
      </c>
      <c r="V2131" s="11" t="str">
        <f>HYPERLINK("http://www.for.gov.bc.ca/hfd/library/documents/bib51898.pdf","http://www.for.gov.bc.ca/hfd/library/documents/bib51898.pdf")</f>
        <v>http://www.for.gov.bc.ca/hfd/library/documents/bib51898.pdf</v>
      </c>
      <c r="W2131" t="s">
        <v>58</v>
      </c>
      <c r="X2131" t="s">
        <v>58</v>
      </c>
      <c r="Y2131" t="s">
        <v>58</v>
      </c>
      <c r="Z2131" t="s">
        <v>58</v>
      </c>
      <c r="AA2131" t="s">
        <v>58</v>
      </c>
      <c r="AC2131" t="s">
        <v>58</v>
      </c>
      <c r="AE2131" t="s">
        <v>58</v>
      </c>
      <c r="AG2131" t="s">
        <v>63</v>
      </c>
      <c r="AH2131" s="11" t="str">
        <f t="shared" si="149"/>
        <v>mailto: soilterrain@victoria1.gov.bc.ca</v>
      </c>
    </row>
    <row r="2132" spans="1:34">
      <c r="A2132" t="s">
        <v>4920</v>
      </c>
      <c r="B2132" t="s">
        <v>56</v>
      </c>
      <c r="C2132" s="10" t="s">
        <v>4921</v>
      </c>
      <c r="D2132" t="s">
        <v>58</v>
      </c>
      <c r="E2132" t="s">
        <v>497</v>
      </c>
      <c r="F2132" t="s">
        <v>4922</v>
      </c>
      <c r="G2132">
        <v>2000000</v>
      </c>
      <c r="H2132" t="s">
        <v>187</v>
      </c>
      <c r="I2132" t="s">
        <v>58</v>
      </c>
      <c r="J2132" t="s">
        <v>58</v>
      </c>
      <c r="K2132" t="s">
        <v>58</v>
      </c>
      <c r="L2132" t="s">
        <v>58</v>
      </c>
      <c r="M2132" t="s">
        <v>58</v>
      </c>
      <c r="N2132" t="s">
        <v>61</v>
      </c>
      <c r="Q2132" t="s">
        <v>58</v>
      </c>
      <c r="R2132" s="11" t="str">
        <f>HYPERLINK("\\imagefiles.bcgov\imagery\scanned_maps\moe_terrain_maps\Scanned_T_maps_all\M01\M01-3731","\\imagefiles.bcgov\imagery\scanned_maps\moe_terrain_maps\Scanned_T_maps_all\M01\M01-3731")</f>
        <v>\\imagefiles.bcgov\imagery\scanned_maps\moe_terrain_maps\Scanned_T_maps_all\M01\M01-3731</v>
      </c>
      <c r="S2132" t="s">
        <v>62</v>
      </c>
      <c r="T2132" s="11" t="str">
        <f>HYPERLINK("http://www.env.gov.bc.ca/esd/distdata/ecosystems/TEI_Scanned_Maps/M01/M01-3731","http://www.env.gov.bc.ca/esd/distdata/ecosystems/TEI_Scanned_Maps/M01/M01-3731")</f>
        <v>http://www.env.gov.bc.ca/esd/distdata/ecosystems/TEI_Scanned_Maps/M01/M01-3731</v>
      </c>
      <c r="U2132" t="s">
        <v>58</v>
      </c>
      <c r="V2132" t="s">
        <v>58</v>
      </c>
      <c r="W2132" t="s">
        <v>58</v>
      </c>
      <c r="X2132" t="s">
        <v>58</v>
      </c>
      <c r="Y2132" t="s">
        <v>58</v>
      </c>
      <c r="Z2132" t="s">
        <v>58</v>
      </c>
      <c r="AA2132" t="s">
        <v>58</v>
      </c>
      <c r="AC2132" t="s">
        <v>58</v>
      </c>
      <c r="AE2132" t="s">
        <v>58</v>
      </c>
      <c r="AG2132" t="s">
        <v>63</v>
      </c>
      <c r="AH2132" s="11" t="str">
        <f t="shared" si="149"/>
        <v>mailto: soilterrain@victoria1.gov.bc.ca</v>
      </c>
    </row>
    <row r="2133" spans="1:34">
      <c r="A2133" t="s">
        <v>4923</v>
      </c>
      <c r="B2133" t="s">
        <v>56</v>
      </c>
      <c r="C2133" s="10" t="s">
        <v>4924</v>
      </c>
      <c r="D2133" t="s">
        <v>58</v>
      </c>
      <c r="E2133" t="s">
        <v>497</v>
      </c>
      <c r="F2133" t="s">
        <v>4925</v>
      </c>
      <c r="G2133">
        <v>1000000</v>
      </c>
      <c r="H2133" t="s">
        <v>187</v>
      </c>
      <c r="I2133" t="s">
        <v>58</v>
      </c>
      <c r="J2133" t="s">
        <v>58</v>
      </c>
      <c r="K2133" t="s">
        <v>58</v>
      </c>
      <c r="L2133" t="s">
        <v>58</v>
      </c>
      <c r="M2133" t="s">
        <v>58</v>
      </c>
      <c r="N2133" t="s">
        <v>61</v>
      </c>
      <c r="Q2133" t="s">
        <v>58</v>
      </c>
      <c r="R2133" s="11" t="str">
        <f>HYPERLINK("\\imagefiles.bcgov\imagery\scanned_maps\moe_terrain_maps\Scanned_T_maps_all\M01\M01-3732","\\imagefiles.bcgov\imagery\scanned_maps\moe_terrain_maps\Scanned_T_maps_all\M01\M01-3732")</f>
        <v>\\imagefiles.bcgov\imagery\scanned_maps\moe_terrain_maps\Scanned_T_maps_all\M01\M01-3732</v>
      </c>
      <c r="S2133" t="s">
        <v>62</v>
      </c>
      <c r="T2133" s="11" t="str">
        <f>HYPERLINK("http://www.env.gov.bc.ca/esd/distdata/ecosystems/TEI_Scanned_Maps/M01/M01-3732","http://www.env.gov.bc.ca/esd/distdata/ecosystems/TEI_Scanned_Maps/M01/M01-3732")</f>
        <v>http://www.env.gov.bc.ca/esd/distdata/ecosystems/TEI_Scanned_Maps/M01/M01-3732</v>
      </c>
      <c r="U2133" t="s">
        <v>58</v>
      </c>
      <c r="V2133" t="s">
        <v>58</v>
      </c>
      <c r="W2133" t="s">
        <v>58</v>
      </c>
      <c r="X2133" t="s">
        <v>58</v>
      </c>
      <c r="Y2133" t="s">
        <v>58</v>
      </c>
      <c r="Z2133" t="s">
        <v>58</v>
      </c>
      <c r="AA2133" t="s">
        <v>58</v>
      </c>
      <c r="AC2133" t="s">
        <v>58</v>
      </c>
      <c r="AE2133" t="s">
        <v>58</v>
      </c>
      <c r="AG2133" t="s">
        <v>63</v>
      </c>
      <c r="AH2133" s="11" t="str">
        <f t="shared" si="149"/>
        <v>mailto: soilterrain@victoria1.gov.bc.ca</v>
      </c>
    </row>
    <row r="2134" spans="1:34">
      <c r="A2134" t="s">
        <v>4926</v>
      </c>
      <c r="B2134" t="s">
        <v>56</v>
      </c>
      <c r="C2134" s="10" t="s">
        <v>4921</v>
      </c>
      <c r="D2134" t="s">
        <v>58</v>
      </c>
      <c r="E2134" t="s">
        <v>497</v>
      </c>
      <c r="F2134" t="s">
        <v>4927</v>
      </c>
      <c r="G2134">
        <v>1000000</v>
      </c>
      <c r="H2134" t="s">
        <v>187</v>
      </c>
      <c r="I2134" t="s">
        <v>58</v>
      </c>
      <c r="J2134" t="s">
        <v>58</v>
      </c>
      <c r="K2134" t="s">
        <v>58</v>
      </c>
      <c r="L2134" t="s">
        <v>58</v>
      </c>
      <c r="M2134" t="s">
        <v>58</v>
      </c>
      <c r="N2134" t="s">
        <v>61</v>
      </c>
      <c r="Q2134" t="s">
        <v>58</v>
      </c>
      <c r="R2134" s="11" t="str">
        <f>HYPERLINK("\\imagefiles.bcgov\imagery\scanned_maps\moe_terrain_maps\Scanned_T_maps_all\M01\M01-3733","\\imagefiles.bcgov\imagery\scanned_maps\moe_terrain_maps\Scanned_T_maps_all\M01\M01-3733")</f>
        <v>\\imagefiles.bcgov\imagery\scanned_maps\moe_terrain_maps\Scanned_T_maps_all\M01\M01-3733</v>
      </c>
      <c r="S2134" t="s">
        <v>62</v>
      </c>
      <c r="T2134" s="11" t="str">
        <f>HYPERLINK("http://www.env.gov.bc.ca/esd/distdata/ecosystems/TEI_Scanned_Maps/M01/M01-3733","http://www.env.gov.bc.ca/esd/distdata/ecosystems/TEI_Scanned_Maps/M01/M01-3733")</f>
        <v>http://www.env.gov.bc.ca/esd/distdata/ecosystems/TEI_Scanned_Maps/M01/M01-3733</v>
      </c>
      <c r="U2134" t="s">
        <v>269</v>
      </c>
      <c r="V2134" s="11" t="str">
        <f>HYPERLINK("http://www.library.for.gov.bc.ca/#focus","http://www.library.for.gov.bc.ca/#focus")</f>
        <v>http://www.library.for.gov.bc.ca/#focus</v>
      </c>
      <c r="W2134" t="s">
        <v>58</v>
      </c>
      <c r="X2134" t="s">
        <v>58</v>
      </c>
      <c r="Y2134" t="s">
        <v>58</v>
      </c>
      <c r="Z2134" t="s">
        <v>58</v>
      </c>
      <c r="AA2134" t="s">
        <v>58</v>
      </c>
      <c r="AC2134" t="s">
        <v>58</v>
      </c>
      <c r="AE2134" t="s">
        <v>58</v>
      </c>
      <c r="AG2134" t="s">
        <v>63</v>
      </c>
      <c r="AH2134" s="11" t="str">
        <f t="shared" si="149"/>
        <v>mailto: soilterrain@victoria1.gov.bc.ca</v>
      </c>
    </row>
    <row r="2135" spans="1:34">
      <c r="A2135" t="s">
        <v>4928</v>
      </c>
      <c r="B2135" t="s">
        <v>56</v>
      </c>
      <c r="C2135" s="10" t="s">
        <v>4929</v>
      </c>
      <c r="D2135" t="s">
        <v>58</v>
      </c>
      <c r="E2135" t="s">
        <v>59</v>
      </c>
      <c r="F2135" t="s">
        <v>4930</v>
      </c>
      <c r="G2135">
        <v>50000</v>
      </c>
      <c r="H2135">
        <v>1979</v>
      </c>
      <c r="I2135" t="s">
        <v>4931</v>
      </c>
      <c r="J2135" t="s">
        <v>58</v>
      </c>
      <c r="K2135" t="s">
        <v>61</v>
      </c>
      <c r="L2135" t="s">
        <v>58</v>
      </c>
      <c r="M2135" t="s">
        <v>58</v>
      </c>
      <c r="P2135" t="s">
        <v>61</v>
      </c>
      <c r="Q2135" t="s">
        <v>58</v>
      </c>
      <c r="R2135" s="11" t="str">
        <f>HYPERLINK("\\imagefiles.bcgov\imagery\scanned_maps\moe_terrain_maps\Scanned_T_maps_all\M01\M01-76","\\imagefiles.bcgov\imagery\scanned_maps\moe_terrain_maps\Scanned_T_maps_all\M01\M01-76")</f>
        <v>\\imagefiles.bcgov\imagery\scanned_maps\moe_terrain_maps\Scanned_T_maps_all\M01\M01-76</v>
      </c>
      <c r="S2135" t="s">
        <v>62</v>
      </c>
      <c r="T2135" s="11" t="str">
        <f>HYPERLINK("http://www.env.gov.bc.ca/esd/distdata/ecosystems/TEI_Scanned_Maps/M01/M01-76","http://www.env.gov.bc.ca/esd/distdata/ecosystems/TEI_Scanned_Maps/M01/M01-76")</f>
        <v>http://www.env.gov.bc.ca/esd/distdata/ecosystems/TEI_Scanned_Maps/M01/M01-76</v>
      </c>
      <c r="U2135" t="s">
        <v>269</v>
      </c>
      <c r="V2135" s="11" t="str">
        <f>HYPERLINK("http://www.for.gov.bc.ca/hfd/library/documents/bib60586.pdf","http://www.for.gov.bc.ca/hfd/library/documents/bib60586.pdf")</f>
        <v>http://www.for.gov.bc.ca/hfd/library/documents/bib60586.pdf</v>
      </c>
      <c r="W2135" t="s">
        <v>58</v>
      </c>
      <c r="X2135" t="s">
        <v>58</v>
      </c>
      <c r="Y2135" t="s">
        <v>58</v>
      </c>
      <c r="Z2135" t="s">
        <v>58</v>
      </c>
      <c r="AA2135" t="s">
        <v>58</v>
      </c>
      <c r="AC2135" t="s">
        <v>58</v>
      </c>
      <c r="AE2135" t="s">
        <v>58</v>
      </c>
      <c r="AG2135" t="s">
        <v>63</v>
      </c>
      <c r="AH2135" s="11" t="str">
        <f t="shared" si="149"/>
        <v>mailto: soilterrain@victoria1.gov.bc.ca</v>
      </c>
    </row>
    <row r="2136" spans="1:34">
      <c r="A2136" t="s">
        <v>4932</v>
      </c>
      <c r="B2136" t="s">
        <v>56</v>
      </c>
      <c r="C2136" s="10" t="s">
        <v>4929</v>
      </c>
      <c r="D2136" t="s">
        <v>58</v>
      </c>
      <c r="E2136" t="s">
        <v>4933</v>
      </c>
      <c r="F2136" t="s">
        <v>4934</v>
      </c>
      <c r="G2136">
        <v>50000</v>
      </c>
      <c r="H2136">
        <v>1979</v>
      </c>
      <c r="I2136" t="s">
        <v>4931</v>
      </c>
      <c r="J2136" t="s">
        <v>61</v>
      </c>
      <c r="K2136" t="s">
        <v>58</v>
      </c>
      <c r="L2136" t="s">
        <v>58</v>
      </c>
      <c r="M2136" t="s">
        <v>58</v>
      </c>
      <c r="P2136" t="s">
        <v>61</v>
      </c>
      <c r="Q2136" t="s">
        <v>58</v>
      </c>
      <c r="R2136" s="11" t="str">
        <f>HYPERLINK("\\imagefiles.bcgov\imagery\scanned_maps\moe_terrain_maps\Scanned_T_maps_all\M01\M01-77","\\imagefiles.bcgov\imagery\scanned_maps\moe_terrain_maps\Scanned_T_maps_all\M01\M01-77")</f>
        <v>\\imagefiles.bcgov\imagery\scanned_maps\moe_terrain_maps\Scanned_T_maps_all\M01\M01-77</v>
      </c>
      <c r="S2136" t="s">
        <v>62</v>
      </c>
      <c r="T2136" s="11" t="str">
        <f>HYPERLINK("http://www.env.gov.bc.ca/esd/distdata/ecosystems/TEI_Scanned_Maps/M01/M01-77","http://www.env.gov.bc.ca/esd/distdata/ecosystems/TEI_Scanned_Maps/M01/M01-77")</f>
        <v>http://www.env.gov.bc.ca/esd/distdata/ecosystems/TEI_Scanned_Maps/M01/M01-77</v>
      </c>
      <c r="U2136" t="s">
        <v>269</v>
      </c>
      <c r="V2136" s="11" t="str">
        <f>HYPERLINK("http://www.for.gov.bc.ca/hfd/library/documents/bib60586.pdf","http://www.for.gov.bc.ca/hfd/library/documents/bib60586.pdf")</f>
        <v>http://www.for.gov.bc.ca/hfd/library/documents/bib60586.pdf</v>
      </c>
      <c r="W2136" t="s">
        <v>58</v>
      </c>
      <c r="X2136" t="s">
        <v>58</v>
      </c>
      <c r="Y2136" t="s">
        <v>58</v>
      </c>
      <c r="Z2136" t="s">
        <v>58</v>
      </c>
      <c r="AA2136" t="s">
        <v>58</v>
      </c>
      <c r="AC2136" t="s">
        <v>58</v>
      </c>
      <c r="AE2136" t="s">
        <v>58</v>
      </c>
      <c r="AG2136" t="s">
        <v>63</v>
      </c>
      <c r="AH2136" s="11" t="str">
        <f t="shared" si="149"/>
        <v>mailto: soilterrain@victoria1.gov.bc.ca</v>
      </c>
    </row>
    <row r="2137" spans="1:34">
      <c r="A2137" t="s">
        <v>4935</v>
      </c>
      <c r="B2137" t="s">
        <v>56</v>
      </c>
      <c r="C2137" s="10" t="s">
        <v>4929</v>
      </c>
      <c r="D2137" t="s">
        <v>58</v>
      </c>
      <c r="E2137" t="s">
        <v>59</v>
      </c>
      <c r="F2137" t="s">
        <v>4936</v>
      </c>
      <c r="G2137">
        <v>50000</v>
      </c>
      <c r="H2137">
        <v>1971</v>
      </c>
      <c r="I2137" t="s">
        <v>4931</v>
      </c>
      <c r="J2137" t="s">
        <v>58</v>
      </c>
      <c r="K2137" t="s">
        <v>61</v>
      </c>
      <c r="L2137" t="s">
        <v>58</v>
      </c>
      <c r="M2137" t="s">
        <v>58</v>
      </c>
      <c r="Q2137" t="s">
        <v>58</v>
      </c>
      <c r="R2137" s="11" t="str">
        <f>HYPERLINK("\\imagefiles.bcgov\imagery\scanned_maps\moe_terrain_maps\Scanned_T_maps_all\M01\M01-78","\\imagefiles.bcgov\imagery\scanned_maps\moe_terrain_maps\Scanned_T_maps_all\M01\M01-78")</f>
        <v>\\imagefiles.bcgov\imagery\scanned_maps\moe_terrain_maps\Scanned_T_maps_all\M01\M01-78</v>
      </c>
      <c r="S2137" t="s">
        <v>62</v>
      </c>
      <c r="T2137" s="11" t="str">
        <f>HYPERLINK("http://www.env.gov.bc.ca/esd/distdata/ecosystems/TEI_Scanned_Maps/M01/M01-78","http://www.env.gov.bc.ca/esd/distdata/ecosystems/TEI_Scanned_Maps/M01/M01-78")</f>
        <v>http://www.env.gov.bc.ca/esd/distdata/ecosystems/TEI_Scanned_Maps/M01/M01-78</v>
      </c>
      <c r="U2137" t="s">
        <v>269</v>
      </c>
      <c r="V2137" s="11" t="str">
        <f>HYPERLINK("http://www.for.gov.bc.ca/hfd/library/documents/bib60586.pdf","http://www.for.gov.bc.ca/hfd/library/documents/bib60586.pdf")</f>
        <v>http://www.for.gov.bc.ca/hfd/library/documents/bib60586.pdf</v>
      </c>
      <c r="W2137" t="s">
        <v>58</v>
      </c>
      <c r="X2137" t="s">
        <v>58</v>
      </c>
      <c r="Y2137" t="s">
        <v>58</v>
      </c>
      <c r="Z2137" t="s">
        <v>58</v>
      </c>
      <c r="AA2137" t="s">
        <v>58</v>
      </c>
      <c r="AC2137" t="s">
        <v>58</v>
      </c>
      <c r="AE2137" t="s">
        <v>58</v>
      </c>
      <c r="AG2137" t="s">
        <v>63</v>
      </c>
      <c r="AH2137" s="11" t="str">
        <f t="shared" si="149"/>
        <v>mailto: soilterrain@victoria1.gov.bc.ca</v>
      </c>
    </row>
    <row r="2138" spans="1:34">
      <c r="A2138" t="s">
        <v>4937</v>
      </c>
      <c r="B2138" t="s">
        <v>56</v>
      </c>
      <c r="C2138" s="10" t="s">
        <v>4929</v>
      </c>
      <c r="D2138" t="s">
        <v>58</v>
      </c>
      <c r="E2138" t="s">
        <v>59</v>
      </c>
      <c r="F2138" t="s">
        <v>4938</v>
      </c>
      <c r="G2138">
        <v>50000</v>
      </c>
      <c r="H2138">
        <v>1981</v>
      </c>
      <c r="I2138" t="s">
        <v>4931</v>
      </c>
      <c r="J2138" t="s">
        <v>58</v>
      </c>
      <c r="K2138" t="s">
        <v>61</v>
      </c>
      <c r="L2138" t="s">
        <v>58</v>
      </c>
      <c r="M2138" t="s">
        <v>58</v>
      </c>
      <c r="P2138" t="s">
        <v>61</v>
      </c>
      <c r="Q2138" t="s">
        <v>58</v>
      </c>
      <c r="R2138" s="11" t="str">
        <f>HYPERLINK("\\imagefiles.bcgov\imagery\scanned_maps\moe_terrain_maps\Scanned_T_maps_all\M01\M01-79","\\imagefiles.bcgov\imagery\scanned_maps\moe_terrain_maps\Scanned_T_maps_all\M01\M01-79")</f>
        <v>\\imagefiles.bcgov\imagery\scanned_maps\moe_terrain_maps\Scanned_T_maps_all\M01\M01-79</v>
      </c>
      <c r="S2138" t="s">
        <v>62</v>
      </c>
      <c r="T2138" s="11" t="str">
        <f>HYPERLINK("http://www.env.gov.bc.ca/esd/distdata/ecosystems/TEI_Scanned_Maps/M01/M01-79","http://www.env.gov.bc.ca/esd/distdata/ecosystems/TEI_Scanned_Maps/M01/M01-79")</f>
        <v>http://www.env.gov.bc.ca/esd/distdata/ecosystems/TEI_Scanned_Maps/M01/M01-79</v>
      </c>
      <c r="U2138" t="s">
        <v>269</v>
      </c>
      <c r="V2138" s="11" t="str">
        <f>HYPERLINK("http://www.for.gov.bc.ca/hfd/library/documents/bib60586.pdf","http://www.for.gov.bc.ca/hfd/library/documents/bib60586.pdf")</f>
        <v>http://www.for.gov.bc.ca/hfd/library/documents/bib60586.pdf</v>
      </c>
      <c r="W2138" t="s">
        <v>58</v>
      </c>
      <c r="X2138" t="s">
        <v>58</v>
      </c>
      <c r="Y2138" t="s">
        <v>58</v>
      </c>
      <c r="Z2138" t="s">
        <v>58</v>
      </c>
      <c r="AA2138" t="s">
        <v>58</v>
      </c>
      <c r="AC2138" t="s">
        <v>58</v>
      </c>
      <c r="AE2138" t="s">
        <v>58</v>
      </c>
      <c r="AG2138" t="s">
        <v>63</v>
      </c>
      <c r="AH2138" s="11" t="str">
        <f t="shared" si="149"/>
        <v>mailto: soilterrain@victoria1.gov.bc.ca</v>
      </c>
    </row>
    <row r="2139" spans="1:34">
      <c r="A2139" t="s">
        <v>4939</v>
      </c>
      <c r="B2139" t="s">
        <v>56</v>
      </c>
      <c r="C2139" s="10" t="s">
        <v>4929</v>
      </c>
      <c r="D2139" t="s">
        <v>58</v>
      </c>
      <c r="E2139" t="s">
        <v>59</v>
      </c>
      <c r="F2139" t="s">
        <v>4940</v>
      </c>
      <c r="G2139">
        <v>50000</v>
      </c>
      <c r="H2139">
        <v>1974</v>
      </c>
      <c r="I2139" t="s">
        <v>4931</v>
      </c>
      <c r="J2139" t="s">
        <v>58</v>
      </c>
      <c r="K2139" t="s">
        <v>58</v>
      </c>
      <c r="L2139" t="s">
        <v>58</v>
      </c>
      <c r="M2139" t="s">
        <v>58</v>
      </c>
      <c r="P2139" t="s">
        <v>61</v>
      </c>
      <c r="Q2139" t="s">
        <v>58</v>
      </c>
      <c r="R2139" s="11" t="str">
        <f>HYPERLINK("\\imagefiles.bcgov\imagery\scanned_maps\moe_terrain_maps\Scanned_T_maps_all\M01\M01-80","\\imagefiles.bcgov\imagery\scanned_maps\moe_terrain_maps\Scanned_T_maps_all\M01\M01-80")</f>
        <v>\\imagefiles.bcgov\imagery\scanned_maps\moe_terrain_maps\Scanned_T_maps_all\M01\M01-80</v>
      </c>
      <c r="S2139" t="s">
        <v>62</v>
      </c>
      <c r="T2139" s="11" t="str">
        <f>HYPERLINK("http://www.env.gov.bc.ca/esd/distdata/ecosystems/TEI_Scanned_Maps/M01/M01-80","http://www.env.gov.bc.ca/esd/distdata/ecosystems/TEI_Scanned_Maps/M01/M01-80")</f>
        <v>http://www.env.gov.bc.ca/esd/distdata/ecosystems/TEI_Scanned_Maps/M01/M01-80</v>
      </c>
      <c r="U2139" t="s">
        <v>269</v>
      </c>
      <c r="V2139" s="11" t="str">
        <f>HYPERLINK("http://www.for.gov.bc.ca/hfd/library/documents/bib60586.pdf","http://www.for.gov.bc.ca/hfd/library/documents/bib60586.pdf")</f>
        <v>http://www.for.gov.bc.ca/hfd/library/documents/bib60586.pdf</v>
      </c>
      <c r="W2139" t="s">
        <v>58</v>
      </c>
      <c r="X2139" t="s">
        <v>58</v>
      </c>
      <c r="Y2139" t="s">
        <v>58</v>
      </c>
      <c r="Z2139" t="s">
        <v>58</v>
      </c>
      <c r="AA2139" t="s">
        <v>58</v>
      </c>
      <c r="AC2139" t="s">
        <v>58</v>
      </c>
      <c r="AE2139" t="s">
        <v>58</v>
      </c>
      <c r="AG2139" t="s">
        <v>63</v>
      </c>
      <c r="AH2139" s="11" t="str">
        <f t="shared" si="149"/>
        <v>mailto: soilterrain@victoria1.gov.bc.ca</v>
      </c>
    </row>
    <row r="2140" spans="1:34">
      <c r="A2140" t="s">
        <v>4941</v>
      </c>
      <c r="B2140" t="s">
        <v>56</v>
      </c>
      <c r="C2140" s="10" t="s">
        <v>4942</v>
      </c>
      <c r="D2140" t="s">
        <v>58</v>
      </c>
      <c r="E2140" t="s">
        <v>4943</v>
      </c>
      <c r="F2140" t="s">
        <v>4944</v>
      </c>
      <c r="G2140">
        <v>10000</v>
      </c>
      <c r="H2140">
        <v>1967</v>
      </c>
      <c r="I2140" t="s">
        <v>58</v>
      </c>
      <c r="J2140" t="s">
        <v>61</v>
      </c>
      <c r="K2140" t="s">
        <v>61</v>
      </c>
      <c r="L2140" t="s">
        <v>58</v>
      </c>
      <c r="M2140" t="s">
        <v>58</v>
      </c>
      <c r="Q2140" t="s">
        <v>132</v>
      </c>
      <c r="R2140" s="11" t="str">
        <f>HYPERLINK("\\imagefiles.bcgov\imagery\scanned_maps\moe_terrain_maps\Scanned_T_maps_all\M02\M02-1365","\\imagefiles.bcgov\imagery\scanned_maps\moe_terrain_maps\Scanned_T_maps_all\M02\M02-1365")</f>
        <v>\\imagefiles.bcgov\imagery\scanned_maps\moe_terrain_maps\Scanned_T_maps_all\M02\M02-1365</v>
      </c>
      <c r="S2140" t="s">
        <v>62</v>
      </c>
      <c r="T2140" s="11" t="str">
        <f>HYPERLINK("http://www.env.gov.bc.ca/esd/distdata/ecosystems/TEI_Scanned_Maps/M02/M02-1365","http://www.env.gov.bc.ca/esd/distdata/ecosystems/TEI_Scanned_Maps/M02/M02-1365")</f>
        <v>http://www.env.gov.bc.ca/esd/distdata/ecosystems/TEI_Scanned_Maps/M02/M02-1365</v>
      </c>
      <c r="U2140" t="s">
        <v>58</v>
      </c>
      <c r="V2140" t="s">
        <v>58</v>
      </c>
      <c r="W2140" t="s">
        <v>58</v>
      </c>
      <c r="X2140" t="s">
        <v>58</v>
      </c>
      <c r="Y2140" t="s">
        <v>58</v>
      </c>
      <c r="Z2140" t="s">
        <v>58</v>
      </c>
      <c r="AA2140" t="s">
        <v>58</v>
      </c>
      <c r="AC2140" t="s">
        <v>58</v>
      </c>
      <c r="AE2140" t="s">
        <v>58</v>
      </c>
      <c r="AG2140" t="s">
        <v>63</v>
      </c>
      <c r="AH2140" s="11" t="str">
        <f t="shared" si="149"/>
        <v>mailto: soilterrain@victoria1.gov.bc.ca</v>
      </c>
    </row>
    <row r="2141" spans="1:34">
      <c r="A2141" t="s">
        <v>4945</v>
      </c>
      <c r="B2141" t="s">
        <v>56</v>
      </c>
      <c r="C2141" s="10" t="s">
        <v>4942</v>
      </c>
      <c r="D2141" t="s">
        <v>58</v>
      </c>
      <c r="E2141" t="s">
        <v>4943</v>
      </c>
      <c r="F2141" t="s">
        <v>4946</v>
      </c>
      <c r="G2141">
        <v>10000</v>
      </c>
      <c r="H2141">
        <v>1968</v>
      </c>
      <c r="I2141" t="s">
        <v>58</v>
      </c>
      <c r="J2141" t="s">
        <v>61</v>
      </c>
      <c r="K2141" t="s">
        <v>58</v>
      </c>
      <c r="L2141" t="s">
        <v>58</v>
      </c>
      <c r="M2141" t="s">
        <v>58</v>
      </c>
      <c r="P2141" t="s">
        <v>61</v>
      </c>
      <c r="Q2141" t="s">
        <v>132</v>
      </c>
      <c r="R2141" s="11" t="str">
        <f>HYPERLINK("\\imagefiles.bcgov\imagery\scanned_maps\moe_terrain_maps\Scanned_T_maps_all\M02\M02-1366","\\imagefiles.bcgov\imagery\scanned_maps\moe_terrain_maps\Scanned_T_maps_all\M02\M02-1366")</f>
        <v>\\imagefiles.bcgov\imagery\scanned_maps\moe_terrain_maps\Scanned_T_maps_all\M02\M02-1366</v>
      </c>
      <c r="S2141" t="s">
        <v>62</v>
      </c>
      <c r="T2141" s="11" t="str">
        <f>HYPERLINK("http://www.env.gov.bc.ca/esd/distdata/ecosystems/TEI_Scanned_Maps/M02/M02-1366","http://www.env.gov.bc.ca/esd/distdata/ecosystems/TEI_Scanned_Maps/M02/M02-1366")</f>
        <v>http://www.env.gov.bc.ca/esd/distdata/ecosystems/TEI_Scanned_Maps/M02/M02-1366</v>
      </c>
      <c r="U2141" t="s">
        <v>58</v>
      </c>
      <c r="V2141" t="s">
        <v>58</v>
      </c>
      <c r="W2141" t="s">
        <v>58</v>
      </c>
      <c r="X2141" t="s">
        <v>58</v>
      </c>
      <c r="Y2141" t="s">
        <v>58</v>
      </c>
      <c r="Z2141" t="s">
        <v>58</v>
      </c>
      <c r="AA2141" t="s">
        <v>58</v>
      </c>
      <c r="AC2141" t="s">
        <v>58</v>
      </c>
      <c r="AE2141" t="s">
        <v>58</v>
      </c>
      <c r="AG2141" t="s">
        <v>63</v>
      </c>
      <c r="AH2141" s="11" t="str">
        <f t="shared" si="149"/>
        <v>mailto: soilterrain@victoria1.gov.bc.ca</v>
      </c>
    </row>
    <row r="2142" spans="1:34">
      <c r="A2142" t="s">
        <v>4947</v>
      </c>
      <c r="B2142" t="s">
        <v>56</v>
      </c>
      <c r="C2142" s="10" t="s">
        <v>4942</v>
      </c>
      <c r="D2142" t="s">
        <v>58</v>
      </c>
      <c r="E2142" t="s">
        <v>4943</v>
      </c>
      <c r="F2142" t="s">
        <v>4948</v>
      </c>
      <c r="G2142">
        <v>10000</v>
      </c>
      <c r="H2142">
        <v>1974</v>
      </c>
      <c r="I2142" t="s">
        <v>58</v>
      </c>
      <c r="J2142" t="s">
        <v>61</v>
      </c>
      <c r="K2142" t="s">
        <v>58</v>
      </c>
      <c r="L2142" t="s">
        <v>58</v>
      </c>
      <c r="M2142" t="s">
        <v>58</v>
      </c>
      <c r="P2142" t="s">
        <v>61</v>
      </c>
      <c r="Q2142" t="s">
        <v>132</v>
      </c>
      <c r="R2142" s="11" t="str">
        <f>HYPERLINK("\\imagefiles.bcgov\imagery\scanned_maps\moe_terrain_maps\Scanned_T_maps_all\M02\M02-1367","\\imagefiles.bcgov\imagery\scanned_maps\moe_terrain_maps\Scanned_T_maps_all\M02\M02-1367")</f>
        <v>\\imagefiles.bcgov\imagery\scanned_maps\moe_terrain_maps\Scanned_T_maps_all\M02\M02-1367</v>
      </c>
      <c r="S2142" t="s">
        <v>62</v>
      </c>
      <c r="T2142" s="11" t="str">
        <f>HYPERLINK("http://www.env.gov.bc.ca/esd/distdata/ecosystems/TEI_Scanned_Maps/M02/M02-1367","http://www.env.gov.bc.ca/esd/distdata/ecosystems/TEI_Scanned_Maps/M02/M02-1367")</f>
        <v>http://www.env.gov.bc.ca/esd/distdata/ecosystems/TEI_Scanned_Maps/M02/M02-1367</v>
      </c>
      <c r="U2142" t="s">
        <v>58</v>
      </c>
      <c r="V2142" t="s">
        <v>58</v>
      </c>
      <c r="W2142" t="s">
        <v>58</v>
      </c>
      <c r="X2142" t="s">
        <v>58</v>
      </c>
      <c r="Y2142" t="s">
        <v>58</v>
      </c>
      <c r="Z2142" t="s">
        <v>58</v>
      </c>
      <c r="AA2142" t="s">
        <v>58</v>
      </c>
      <c r="AC2142" t="s">
        <v>58</v>
      </c>
      <c r="AE2142" t="s">
        <v>58</v>
      </c>
      <c r="AG2142" t="s">
        <v>63</v>
      </c>
      <c r="AH2142" s="11" t="str">
        <f t="shared" si="149"/>
        <v>mailto: soilterrain@victoria1.gov.bc.ca</v>
      </c>
    </row>
    <row r="2143" spans="1:34">
      <c r="A2143" t="s">
        <v>4949</v>
      </c>
      <c r="B2143" t="s">
        <v>56</v>
      </c>
      <c r="C2143" s="10" t="s">
        <v>4942</v>
      </c>
      <c r="D2143" t="s">
        <v>58</v>
      </c>
      <c r="E2143" t="s">
        <v>4943</v>
      </c>
      <c r="F2143" t="s">
        <v>4950</v>
      </c>
      <c r="G2143">
        <v>10000</v>
      </c>
      <c r="H2143">
        <v>1974</v>
      </c>
      <c r="I2143" t="s">
        <v>58</v>
      </c>
      <c r="J2143" t="s">
        <v>61</v>
      </c>
      <c r="K2143" t="s">
        <v>58</v>
      </c>
      <c r="L2143" t="s">
        <v>58</v>
      </c>
      <c r="M2143" t="s">
        <v>58</v>
      </c>
      <c r="P2143" t="s">
        <v>61</v>
      </c>
      <c r="Q2143" t="s">
        <v>132</v>
      </c>
      <c r="R2143" s="11" t="str">
        <f>HYPERLINK("\\imagefiles.bcgov\imagery\scanned_maps\moe_terrain_maps\Scanned_T_maps_all\M02\M02-1368","\\imagefiles.bcgov\imagery\scanned_maps\moe_terrain_maps\Scanned_T_maps_all\M02\M02-1368")</f>
        <v>\\imagefiles.bcgov\imagery\scanned_maps\moe_terrain_maps\Scanned_T_maps_all\M02\M02-1368</v>
      </c>
      <c r="S2143" t="s">
        <v>62</v>
      </c>
      <c r="T2143" s="11" t="str">
        <f>HYPERLINK("http://www.env.gov.bc.ca/esd/distdata/ecosystems/TEI_Scanned_Maps/M02/M02-1368","http://www.env.gov.bc.ca/esd/distdata/ecosystems/TEI_Scanned_Maps/M02/M02-1368")</f>
        <v>http://www.env.gov.bc.ca/esd/distdata/ecosystems/TEI_Scanned_Maps/M02/M02-1368</v>
      </c>
      <c r="U2143" t="s">
        <v>58</v>
      </c>
      <c r="V2143" t="s">
        <v>58</v>
      </c>
      <c r="W2143" t="s">
        <v>58</v>
      </c>
      <c r="X2143" t="s">
        <v>58</v>
      </c>
      <c r="Y2143" t="s">
        <v>58</v>
      </c>
      <c r="Z2143" t="s">
        <v>58</v>
      </c>
      <c r="AA2143" t="s">
        <v>58</v>
      </c>
      <c r="AC2143" t="s">
        <v>58</v>
      </c>
      <c r="AE2143" t="s">
        <v>58</v>
      </c>
      <c r="AG2143" t="s">
        <v>63</v>
      </c>
      <c r="AH2143" s="11" t="str">
        <f t="shared" si="149"/>
        <v>mailto: soilterrain@victoria1.gov.bc.ca</v>
      </c>
    </row>
    <row r="2144" spans="1:34">
      <c r="A2144" t="s">
        <v>4951</v>
      </c>
      <c r="B2144" t="s">
        <v>56</v>
      </c>
      <c r="C2144" s="10" t="s">
        <v>4942</v>
      </c>
      <c r="D2144" t="s">
        <v>58</v>
      </c>
      <c r="E2144" t="s">
        <v>4943</v>
      </c>
      <c r="F2144" t="s">
        <v>4952</v>
      </c>
      <c r="G2144">
        <v>10000</v>
      </c>
      <c r="H2144">
        <v>1968</v>
      </c>
      <c r="I2144" t="s">
        <v>58</v>
      </c>
      <c r="J2144" t="s">
        <v>61</v>
      </c>
      <c r="K2144" t="s">
        <v>61</v>
      </c>
      <c r="L2144" t="s">
        <v>58</v>
      </c>
      <c r="M2144" t="s">
        <v>58</v>
      </c>
      <c r="Q2144" t="s">
        <v>132</v>
      </c>
      <c r="R2144" s="11" t="str">
        <f>HYPERLINK("\\imagefiles.bcgov\imagery\scanned_maps\moe_terrain_maps\Scanned_T_maps_all\M02\M02-1369","\\imagefiles.bcgov\imagery\scanned_maps\moe_terrain_maps\Scanned_T_maps_all\M02\M02-1369")</f>
        <v>\\imagefiles.bcgov\imagery\scanned_maps\moe_terrain_maps\Scanned_T_maps_all\M02\M02-1369</v>
      </c>
      <c r="S2144" t="s">
        <v>62</v>
      </c>
      <c r="T2144" s="11" t="str">
        <f>HYPERLINK("http://www.env.gov.bc.ca/esd/distdata/ecosystems/TEI_Scanned_Maps/M02/M02-1369","http://www.env.gov.bc.ca/esd/distdata/ecosystems/TEI_Scanned_Maps/M02/M02-1369")</f>
        <v>http://www.env.gov.bc.ca/esd/distdata/ecosystems/TEI_Scanned_Maps/M02/M02-1369</v>
      </c>
      <c r="U2144" t="s">
        <v>58</v>
      </c>
      <c r="V2144" t="s">
        <v>58</v>
      </c>
      <c r="W2144" t="s">
        <v>58</v>
      </c>
      <c r="X2144" t="s">
        <v>58</v>
      </c>
      <c r="Y2144" t="s">
        <v>58</v>
      </c>
      <c r="Z2144" t="s">
        <v>58</v>
      </c>
      <c r="AA2144" t="s">
        <v>58</v>
      </c>
      <c r="AC2144" t="s">
        <v>58</v>
      </c>
      <c r="AE2144" t="s">
        <v>58</v>
      </c>
      <c r="AG2144" t="s">
        <v>63</v>
      </c>
      <c r="AH2144" s="11" t="str">
        <f t="shared" si="149"/>
        <v>mailto: soilterrain@victoria1.gov.bc.ca</v>
      </c>
    </row>
    <row r="2145" spans="1:34">
      <c r="A2145" t="s">
        <v>4953</v>
      </c>
      <c r="B2145" t="s">
        <v>56</v>
      </c>
      <c r="C2145" s="10" t="s">
        <v>4942</v>
      </c>
      <c r="D2145" t="s">
        <v>58</v>
      </c>
      <c r="E2145" t="s">
        <v>4943</v>
      </c>
      <c r="F2145" t="s">
        <v>4954</v>
      </c>
      <c r="G2145">
        <v>10000</v>
      </c>
      <c r="H2145">
        <v>1968</v>
      </c>
      <c r="I2145" t="s">
        <v>58</v>
      </c>
      <c r="J2145" t="s">
        <v>61</v>
      </c>
      <c r="K2145" t="s">
        <v>61</v>
      </c>
      <c r="L2145" t="s">
        <v>58</v>
      </c>
      <c r="M2145" t="s">
        <v>58</v>
      </c>
      <c r="Q2145" t="s">
        <v>132</v>
      </c>
      <c r="R2145" s="11" t="str">
        <f>HYPERLINK("\\imagefiles.bcgov\imagery\scanned_maps\moe_terrain_maps\Scanned_T_maps_all\M02\M02-1372","\\imagefiles.bcgov\imagery\scanned_maps\moe_terrain_maps\Scanned_T_maps_all\M02\M02-1372")</f>
        <v>\\imagefiles.bcgov\imagery\scanned_maps\moe_terrain_maps\Scanned_T_maps_all\M02\M02-1372</v>
      </c>
      <c r="S2145" t="s">
        <v>62</v>
      </c>
      <c r="T2145" s="11" t="str">
        <f>HYPERLINK("http://www.env.gov.bc.ca/esd/distdata/ecosystems/TEI_Scanned_Maps/M02/M02-1372","http://www.env.gov.bc.ca/esd/distdata/ecosystems/TEI_Scanned_Maps/M02/M02-1372")</f>
        <v>http://www.env.gov.bc.ca/esd/distdata/ecosystems/TEI_Scanned_Maps/M02/M02-1372</v>
      </c>
      <c r="U2145" t="s">
        <v>58</v>
      </c>
      <c r="V2145" t="s">
        <v>58</v>
      </c>
      <c r="W2145" t="s">
        <v>58</v>
      </c>
      <c r="X2145" t="s">
        <v>58</v>
      </c>
      <c r="Y2145" t="s">
        <v>58</v>
      </c>
      <c r="Z2145" t="s">
        <v>58</v>
      </c>
      <c r="AA2145" t="s">
        <v>58</v>
      </c>
      <c r="AC2145" t="s">
        <v>58</v>
      </c>
      <c r="AE2145" t="s">
        <v>58</v>
      </c>
      <c r="AG2145" t="s">
        <v>63</v>
      </c>
      <c r="AH2145" s="11" t="str">
        <f t="shared" si="149"/>
        <v>mailto: soilterrain@victoria1.gov.bc.ca</v>
      </c>
    </row>
    <row r="2146" spans="1:34">
      <c r="A2146" t="s">
        <v>4955</v>
      </c>
      <c r="B2146" t="s">
        <v>56</v>
      </c>
      <c r="C2146" s="10" t="s">
        <v>4956</v>
      </c>
      <c r="D2146" t="s">
        <v>58</v>
      </c>
      <c r="E2146" t="s">
        <v>4943</v>
      </c>
      <c r="F2146" t="s">
        <v>4957</v>
      </c>
      <c r="G2146">
        <v>10000</v>
      </c>
      <c r="H2146">
        <v>1985</v>
      </c>
      <c r="I2146" t="s">
        <v>58</v>
      </c>
      <c r="J2146" t="s">
        <v>61</v>
      </c>
      <c r="K2146" t="s">
        <v>61</v>
      </c>
      <c r="L2146" t="s">
        <v>58</v>
      </c>
      <c r="M2146" t="s">
        <v>58</v>
      </c>
      <c r="Q2146" t="s">
        <v>132</v>
      </c>
      <c r="R2146" s="11" t="str">
        <f>HYPERLINK("\\imagefiles.bcgov\imagery\scanned_maps\moe_terrain_maps\Scanned_T_maps_all\M02\M02-1373","\\imagefiles.bcgov\imagery\scanned_maps\moe_terrain_maps\Scanned_T_maps_all\M02\M02-1373")</f>
        <v>\\imagefiles.bcgov\imagery\scanned_maps\moe_terrain_maps\Scanned_T_maps_all\M02\M02-1373</v>
      </c>
      <c r="S2146" t="s">
        <v>62</v>
      </c>
      <c r="T2146" s="11" t="str">
        <f>HYPERLINK("http://www.env.gov.bc.ca/esd/distdata/ecosystems/TEI_Scanned_Maps/M02/M02-1373","http://www.env.gov.bc.ca/esd/distdata/ecosystems/TEI_Scanned_Maps/M02/M02-1373")</f>
        <v>http://www.env.gov.bc.ca/esd/distdata/ecosystems/TEI_Scanned_Maps/M02/M02-1373</v>
      </c>
      <c r="U2146" t="s">
        <v>58</v>
      </c>
      <c r="V2146" t="s">
        <v>58</v>
      </c>
      <c r="W2146" t="s">
        <v>58</v>
      </c>
      <c r="X2146" t="s">
        <v>58</v>
      </c>
      <c r="Y2146" t="s">
        <v>58</v>
      </c>
      <c r="Z2146" t="s">
        <v>58</v>
      </c>
      <c r="AA2146" t="s">
        <v>58</v>
      </c>
      <c r="AC2146" t="s">
        <v>58</v>
      </c>
      <c r="AE2146" t="s">
        <v>58</v>
      </c>
      <c r="AG2146" t="s">
        <v>63</v>
      </c>
      <c r="AH2146" s="11" t="str">
        <f t="shared" si="149"/>
        <v>mailto: soilterrain@victoria1.gov.bc.ca</v>
      </c>
    </row>
    <row r="2147" spans="1:34">
      <c r="A2147" t="s">
        <v>4958</v>
      </c>
      <c r="B2147" t="s">
        <v>56</v>
      </c>
      <c r="C2147" s="10" t="s">
        <v>4942</v>
      </c>
      <c r="D2147" t="s">
        <v>61</v>
      </c>
      <c r="E2147" t="s">
        <v>4943</v>
      </c>
      <c r="F2147" t="s">
        <v>4959</v>
      </c>
      <c r="G2147">
        <v>10000</v>
      </c>
      <c r="H2147" t="s">
        <v>243</v>
      </c>
      <c r="I2147" t="s">
        <v>58</v>
      </c>
      <c r="J2147" t="s">
        <v>61</v>
      </c>
      <c r="K2147" t="s">
        <v>58</v>
      </c>
      <c r="L2147" t="s">
        <v>58</v>
      </c>
      <c r="M2147" t="s">
        <v>61</v>
      </c>
      <c r="Q2147" t="s">
        <v>132</v>
      </c>
      <c r="R2147" s="11" t="str">
        <f>HYPERLINK("\\imagefiles.bcgov\imagery\scanned_maps\moe_terrain_maps\Scanned_T_maps_all\M02\M02-3770","\\imagefiles.bcgov\imagery\scanned_maps\moe_terrain_maps\Scanned_T_maps_all\M02\M02-3770")</f>
        <v>\\imagefiles.bcgov\imagery\scanned_maps\moe_terrain_maps\Scanned_T_maps_all\M02\M02-3770</v>
      </c>
      <c r="S2147" t="s">
        <v>62</v>
      </c>
      <c r="T2147" s="11" t="str">
        <f>HYPERLINK("http://www.env.gov.bc.ca/esd/distdata/ecosystems/TEI_Scanned_Maps/M02/M02-3770","http://www.env.gov.bc.ca/esd/distdata/ecosystems/TEI_Scanned_Maps/M02/M02-3770")</f>
        <v>http://www.env.gov.bc.ca/esd/distdata/ecosystems/TEI_Scanned_Maps/M02/M02-3770</v>
      </c>
      <c r="U2147" t="s">
        <v>58</v>
      </c>
      <c r="V2147" t="s">
        <v>58</v>
      </c>
      <c r="W2147" t="s">
        <v>58</v>
      </c>
      <c r="X2147" t="s">
        <v>58</v>
      </c>
      <c r="Y2147" t="s">
        <v>58</v>
      </c>
      <c r="Z2147" t="s">
        <v>58</v>
      </c>
      <c r="AA2147" t="s">
        <v>58</v>
      </c>
      <c r="AC2147" t="s">
        <v>58</v>
      </c>
      <c r="AE2147" t="s">
        <v>58</v>
      </c>
      <c r="AG2147" t="s">
        <v>63</v>
      </c>
      <c r="AH2147" s="11" t="str">
        <f t="shared" si="149"/>
        <v>mailto: soilterrain@victoria1.gov.bc.ca</v>
      </c>
    </row>
    <row r="2148" spans="1:34">
      <c r="A2148" t="s">
        <v>4960</v>
      </c>
      <c r="B2148" t="s">
        <v>56</v>
      </c>
      <c r="C2148" s="10" t="s">
        <v>4956</v>
      </c>
      <c r="D2148" t="s">
        <v>61</v>
      </c>
      <c r="E2148" t="s">
        <v>4943</v>
      </c>
      <c r="F2148" t="s">
        <v>4961</v>
      </c>
      <c r="G2148">
        <v>10000</v>
      </c>
      <c r="H2148" t="s">
        <v>243</v>
      </c>
      <c r="I2148" t="s">
        <v>58</v>
      </c>
      <c r="J2148" t="s">
        <v>61</v>
      </c>
      <c r="K2148" t="s">
        <v>58</v>
      </c>
      <c r="L2148" t="s">
        <v>58</v>
      </c>
      <c r="M2148" t="s">
        <v>61</v>
      </c>
      <c r="Q2148" t="s">
        <v>132</v>
      </c>
      <c r="R2148" s="11" t="str">
        <f>HYPERLINK("\\imagefiles.bcgov\imagery\scanned_maps\moe_terrain_maps\Scanned_T_maps_all\M02\M02-3771","\\imagefiles.bcgov\imagery\scanned_maps\moe_terrain_maps\Scanned_T_maps_all\M02\M02-3771")</f>
        <v>\\imagefiles.bcgov\imagery\scanned_maps\moe_terrain_maps\Scanned_T_maps_all\M02\M02-3771</v>
      </c>
      <c r="S2148" t="s">
        <v>62</v>
      </c>
      <c r="T2148" s="11" t="str">
        <f>HYPERLINK("http://www.env.gov.bc.ca/esd/distdata/ecosystems/TEI_Scanned_Maps/M02/M02-3771","http://www.env.gov.bc.ca/esd/distdata/ecosystems/TEI_Scanned_Maps/M02/M02-3771")</f>
        <v>http://www.env.gov.bc.ca/esd/distdata/ecosystems/TEI_Scanned_Maps/M02/M02-3771</v>
      </c>
      <c r="U2148" t="s">
        <v>58</v>
      </c>
      <c r="V2148" t="s">
        <v>58</v>
      </c>
      <c r="W2148" t="s">
        <v>58</v>
      </c>
      <c r="X2148" t="s">
        <v>58</v>
      </c>
      <c r="Y2148" t="s">
        <v>58</v>
      </c>
      <c r="Z2148" t="s">
        <v>58</v>
      </c>
      <c r="AA2148" t="s">
        <v>58</v>
      </c>
      <c r="AC2148" t="s">
        <v>58</v>
      </c>
      <c r="AE2148" t="s">
        <v>58</v>
      </c>
      <c r="AG2148" t="s">
        <v>63</v>
      </c>
      <c r="AH2148" s="11" t="str">
        <f t="shared" si="149"/>
        <v>mailto: soilterrain@victoria1.gov.bc.ca</v>
      </c>
    </row>
    <row r="2149" spans="1:34">
      <c r="A2149" t="s">
        <v>4962</v>
      </c>
      <c r="B2149" t="s">
        <v>56</v>
      </c>
      <c r="C2149" s="10" t="s">
        <v>4963</v>
      </c>
      <c r="D2149" t="s">
        <v>58</v>
      </c>
      <c r="E2149" t="s">
        <v>4964</v>
      </c>
      <c r="F2149" t="s">
        <v>4965</v>
      </c>
      <c r="G2149">
        <v>20000</v>
      </c>
      <c r="H2149" t="s">
        <v>187</v>
      </c>
      <c r="I2149" t="s">
        <v>58</v>
      </c>
      <c r="J2149" t="s">
        <v>61</v>
      </c>
      <c r="K2149" t="s">
        <v>61</v>
      </c>
      <c r="L2149" t="s">
        <v>58</v>
      </c>
      <c r="M2149" t="s">
        <v>58</v>
      </c>
      <c r="Q2149" t="s">
        <v>58</v>
      </c>
      <c r="R2149" s="11" t="str">
        <f>HYPERLINK("\\imagefiles.bcgov\imagery\scanned_maps\moe_terrain_maps\Scanned_T_maps_all\M02\M02-3779","\\imagefiles.bcgov\imagery\scanned_maps\moe_terrain_maps\Scanned_T_maps_all\M02\M02-3779")</f>
        <v>\\imagefiles.bcgov\imagery\scanned_maps\moe_terrain_maps\Scanned_T_maps_all\M02\M02-3779</v>
      </c>
      <c r="S2149" t="s">
        <v>62</v>
      </c>
      <c r="T2149" s="11" t="str">
        <f>HYPERLINK("http://www.env.gov.bc.ca/esd/distdata/ecosystems/TEI_Scanned_Maps/M02/M02-3779","http://www.env.gov.bc.ca/esd/distdata/ecosystems/TEI_Scanned_Maps/M02/M02-3779")</f>
        <v>http://www.env.gov.bc.ca/esd/distdata/ecosystems/TEI_Scanned_Maps/M02/M02-3779</v>
      </c>
      <c r="U2149" t="s">
        <v>58</v>
      </c>
      <c r="V2149" t="s">
        <v>58</v>
      </c>
      <c r="W2149" t="s">
        <v>58</v>
      </c>
      <c r="X2149" t="s">
        <v>58</v>
      </c>
      <c r="Y2149" t="s">
        <v>58</v>
      </c>
      <c r="Z2149" t="s">
        <v>58</v>
      </c>
      <c r="AA2149" t="s">
        <v>58</v>
      </c>
      <c r="AC2149" t="s">
        <v>58</v>
      </c>
      <c r="AE2149" t="s">
        <v>58</v>
      </c>
      <c r="AG2149" t="s">
        <v>63</v>
      </c>
      <c r="AH2149" s="11" t="str">
        <f t="shared" si="149"/>
        <v>mailto: soilterrain@victoria1.gov.bc.ca</v>
      </c>
    </row>
    <row r="2150" spans="1:34">
      <c r="A2150" t="s">
        <v>4966</v>
      </c>
      <c r="B2150" t="s">
        <v>56</v>
      </c>
      <c r="C2150" s="10" t="s">
        <v>4967</v>
      </c>
      <c r="D2150" t="s">
        <v>58</v>
      </c>
      <c r="E2150" t="s">
        <v>4964</v>
      </c>
      <c r="F2150" t="s">
        <v>4968</v>
      </c>
      <c r="G2150">
        <v>20000</v>
      </c>
      <c r="H2150" t="s">
        <v>187</v>
      </c>
      <c r="I2150" t="s">
        <v>58</v>
      </c>
      <c r="J2150" t="s">
        <v>61</v>
      </c>
      <c r="K2150" t="s">
        <v>58</v>
      </c>
      <c r="L2150" t="s">
        <v>58</v>
      </c>
      <c r="M2150" t="s">
        <v>58</v>
      </c>
      <c r="P2150" t="s">
        <v>61</v>
      </c>
      <c r="Q2150" t="s">
        <v>58</v>
      </c>
      <c r="R2150" s="11" t="str">
        <f>HYPERLINK("\\imagefiles.bcgov\imagery\scanned_maps\moe_terrain_maps\Scanned_T_maps_all\M02\M02-3780","\\imagefiles.bcgov\imagery\scanned_maps\moe_terrain_maps\Scanned_T_maps_all\M02\M02-3780")</f>
        <v>\\imagefiles.bcgov\imagery\scanned_maps\moe_terrain_maps\Scanned_T_maps_all\M02\M02-3780</v>
      </c>
      <c r="S2150" t="s">
        <v>62</v>
      </c>
      <c r="T2150" s="11" t="str">
        <f>HYPERLINK("http://www.env.gov.bc.ca/esd/distdata/ecosystems/TEI_Scanned_Maps/M02/M02-3780","http://www.env.gov.bc.ca/esd/distdata/ecosystems/TEI_Scanned_Maps/M02/M02-3780")</f>
        <v>http://www.env.gov.bc.ca/esd/distdata/ecosystems/TEI_Scanned_Maps/M02/M02-3780</v>
      </c>
      <c r="U2150" t="s">
        <v>58</v>
      </c>
      <c r="V2150" t="s">
        <v>58</v>
      </c>
      <c r="W2150" t="s">
        <v>58</v>
      </c>
      <c r="X2150" t="s">
        <v>58</v>
      </c>
      <c r="Y2150" t="s">
        <v>58</v>
      </c>
      <c r="Z2150" t="s">
        <v>58</v>
      </c>
      <c r="AA2150" t="s">
        <v>58</v>
      </c>
      <c r="AC2150" t="s">
        <v>58</v>
      </c>
      <c r="AE2150" t="s">
        <v>58</v>
      </c>
      <c r="AG2150" t="s">
        <v>63</v>
      </c>
      <c r="AH2150" s="11" t="str">
        <f t="shared" si="149"/>
        <v>mailto: soilterrain@victoria1.gov.bc.ca</v>
      </c>
    </row>
    <row r="2151" spans="1:34">
      <c r="A2151" t="s">
        <v>4969</v>
      </c>
      <c r="B2151" t="s">
        <v>56</v>
      </c>
      <c r="C2151" s="10" t="s">
        <v>4963</v>
      </c>
      <c r="D2151" t="s">
        <v>58</v>
      </c>
      <c r="E2151" t="s">
        <v>4964</v>
      </c>
      <c r="F2151" t="s">
        <v>4970</v>
      </c>
      <c r="G2151">
        <v>20000</v>
      </c>
      <c r="H2151" t="s">
        <v>187</v>
      </c>
      <c r="I2151" t="s">
        <v>58</v>
      </c>
      <c r="J2151" t="s">
        <v>61</v>
      </c>
      <c r="K2151" t="s">
        <v>58</v>
      </c>
      <c r="L2151" t="s">
        <v>58</v>
      </c>
      <c r="M2151" t="s">
        <v>58</v>
      </c>
      <c r="P2151" t="s">
        <v>61</v>
      </c>
      <c r="Q2151" t="s">
        <v>58</v>
      </c>
      <c r="R2151" s="11" t="str">
        <f>HYPERLINK("\\imagefiles.bcgov\imagery\scanned_maps\moe_terrain_maps\Scanned_T_maps_all\M02\M02-3783","\\imagefiles.bcgov\imagery\scanned_maps\moe_terrain_maps\Scanned_T_maps_all\M02\M02-3783")</f>
        <v>\\imagefiles.bcgov\imagery\scanned_maps\moe_terrain_maps\Scanned_T_maps_all\M02\M02-3783</v>
      </c>
      <c r="S2151" t="s">
        <v>62</v>
      </c>
      <c r="T2151" s="11" t="str">
        <f>HYPERLINK("http://www.env.gov.bc.ca/esd/distdata/ecosystems/TEI_Scanned_Maps/M02/M02-3783","http://www.env.gov.bc.ca/esd/distdata/ecosystems/TEI_Scanned_Maps/M02/M02-3783")</f>
        <v>http://www.env.gov.bc.ca/esd/distdata/ecosystems/TEI_Scanned_Maps/M02/M02-3783</v>
      </c>
      <c r="U2151" t="s">
        <v>58</v>
      </c>
      <c r="V2151" t="s">
        <v>58</v>
      </c>
      <c r="W2151" t="s">
        <v>58</v>
      </c>
      <c r="X2151" t="s">
        <v>58</v>
      </c>
      <c r="Y2151" t="s">
        <v>58</v>
      </c>
      <c r="Z2151" t="s">
        <v>58</v>
      </c>
      <c r="AA2151" t="s">
        <v>58</v>
      </c>
      <c r="AC2151" t="s">
        <v>58</v>
      </c>
      <c r="AE2151" t="s">
        <v>58</v>
      </c>
      <c r="AG2151" t="s">
        <v>63</v>
      </c>
      <c r="AH2151" s="11" t="str">
        <f t="shared" si="149"/>
        <v>mailto: soilterrain@victoria1.gov.bc.ca</v>
      </c>
    </row>
    <row r="2152" spans="1:34">
      <c r="A2152" t="s">
        <v>4971</v>
      </c>
      <c r="B2152" t="s">
        <v>56</v>
      </c>
      <c r="C2152" s="10" t="s">
        <v>4967</v>
      </c>
      <c r="D2152" t="s">
        <v>58</v>
      </c>
      <c r="E2152" t="s">
        <v>4964</v>
      </c>
      <c r="F2152" t="s">
        <v>4972</v>
      </c>
      <c r="G2152">
        <v>20000</v>
      </c>
      <c r="H2152" t="s">
        <v>187</v>
      </c>
      <c r="I2152" t="s">
        <v>58</v>
      </c>
      <c r="J2152" t="s">
        <v>61</v>
      </c>
      <c r="K2152" t="s">
        <v>58</v>
      </c>
      <c r="L2152" t="s">
        <v>58</v>
      </c>
      <c r="M2152" t="s">
        <v>58</v>
      </c>
      <c r="P2152" t="s">
        <v>61</v>
      </c>
      <c r="Q2152" t="s">
        <v>58</v>
      </c>
      <c r="R2152" s="11" t="str">
        <f>HYPERLINK("\\imagefiles.bcgov\imagery\scanned_maps\moe_terrain_maps\Scanned_T_maps_all\M02\M02-3784","\\imagefiles.bcgov\imagery\scanned_maps\moe_terrain_maps\Scanned_T_maps_all\M02\M02-3784")</f>
        <v>\\imagefiles.bcgov\imagery\scanned_maps\moe_terrain_maps\Scanned_T_maps_all\M02\M02-3784</v>
      </c>
      <c r="S2152" t="s">
        <v>62</v>
      </c>
      <c r="T2152" s="11" t="str">
        <f>HYPERLINK("http://www.env.gov.bc.ca/esd/distdata/ecosystems/TEI_Scanned_Maps/M02/M02-3784","http://www.env.gov.bc.ca/esd/distdata/ecosystems/TEI_Scanned_Maps/M02/M02-3784")</f>
        <v>http://www.env.gov.bc.ca/esd/distdata/ecosystems/TEI_Scanned_Maps/M02/M02-3784</v>
      </c>
      <c r="U2152" t="s">
        <v>269</v>
      </c>
      <c r="V2152" s="11" t="str">
        <f t="shared" ref="V2152:V2169" si="150">HYPERLINK("http://www.library.for.gov.bc.ca/#focus","http://www.library.for.gov.bc.ca/#focus")</f>
        <v>http://www.library.for.gov.bc.ca/#focus</v>
      </c>
      <c r="W2152" t="s">
        <v>58</v>
      </c>
      <c r="X2152" t="s">
        <v>58</v>
      </c>
      <c r="Y2152" t="s">
        <v>58</v>
      </c>
      <c r="Z2152" t="s">
        <v>58</v>
      </c>
      <c r="AA2152" t="s">
        <v>58</v>
      </c>
      <c r="AC2152" t="s">
        <v>58</v>
      </c>
      <c r="AE2152" t="s">
        <v>58</v>
      </c>
      <c r="AG2152" t="s">
        <v>63</v>
      </c>
      <c r="AH2152" s="11" t="str">
        <f t="shared" si="149"/>
        <v>mailto: soilterrain@victoria1.gov.bc.ca</v>
      </c>
    </row>
    <row r="2153" spans="1:34">
      <c r="A2153" t="s">
        <v>4973</v>
      </c>
      <c r="B2153" t="s">
        <v>56</v>
      </c>
      <c r="C2153" s="10" t="s">
        <v>4963</v>
      </c>
      <c r="D2153" t="s">
        <v>61</v>
      </c>
      <c r="E2153" t="s">
        <v>4964</v>
      </c>
      <c r="F2153" t="s">
        <v>4974</v>
      </c>
      <c r="G2153">
        <v>20000</v>
      </c>
      <c r="H2153" t="s">
        <v>187</v>
      </c>
      <c r="I2153" t="s">
        <v>58</v>
      </c>
      <c r="J2153" t="s">
        <v>61</v>
      </c>
      <c r="K2153" t="s">
        <v>58</v>
      </c>
      <c r="L2153" t="s">
        <v>58</v>
      </c>
      <c r="M2153" t="s">
        <v>58</v>
      </c>
      <c r="P2153" t="s">
        <v>61</v>
      </c>
      <c r="Q2153" t="s">
        <v>58</v>
      </c>
      <c r="R2153" s="11" t="str">
        <f>HYPERLINK("\\imagefiles.bcgov\imagery\scanned_maps\moe_terrain_maps\Scanned_T_maps_all\M02\M02-3785","\\imagefiles.bcgov\imagery\scanned_maps\moe_terrain_maps\Scanned_T_maps_all\M02\M02-3785")</f>
        <v>\\imagefiles.bcgov\imagery\scanned_maps\moe_terrain_maps\Scanned_T_maps_all\M02\M02-3785</v>
      </c>
      <c r="S2153" t="s">
        <v>62</v>
      </c>
      <c r="T2153" s="11" t="str">
        <f>HYPERLINK("http://www.env.gov.bc.ca/esd/distdata/ecosystems/TEI_Scanned_Maps/M02/M02-3785","http://www.env.gov.bc.ca/esd/distdata/ecosystems/TEI_Scanned_Maps/M02/M02-3785")</f>
        <v>http://www.env.gov.bc.ca/esd/distdata/ecosystems/TEI_Scanned_Maps/M02/M02-3785</v>
      </c>
      <c r="U2153" t="s">
        <v>269</v>
      </c>
      <c r="V2153" s="11" t="str">
        <f t="shared" si="150"/>
        <v>http://www.library.for.gov.bc.ca/#focus</v>
      </c>
      <c r="W2153" t="s">
        <v>58</v>
      </c>
      <c r="X2153" t="s">
        <v>58</v>
      </c>
      <c r="Y2153" t="s">
        <v>58</v>
      </c>
      <c r="Z2153" t="s">
        <v>58</v>
      </c>
      <c r="AA2153" t="s">
        <v>58</v>
      </c>
      <c r="AC2153" t="s">
        <v>58</v>
      </c>
      <c r="AE2153" t="s">
        <v>58</v>
      </c>
      <c r="AG2153" t="s">
        <v>63</v>
      </c>
      <c r="AH2153" s="11" t="str">
        <f t="shared" si="149"/>
        <v>mailto: soilterrain@victoria1.gov.bc.ca</v>
      </c>
    </row>
    <row r="2154" spans="1:34">
      <c r="A2154" t="s">
        <v>4975</v>
      </c>
      <c r="B2154" t="s">
        <v>56</v>
      </c>
      <c r="C2154" s="10" t="s">
        <v>4967</v>
      </c>
      <c r="D2154" t="s">
        <v>61</v>
      </c>
      <c r="E2154" t="s">
        <v>4964</v>
      </c>
      <c r="F2154" t="s">
        <v>4976</v>
      </c>
      <c r="G2154">
        <v>20000</v>
      </c>
      <c r="H2154" t="s">
        <v>187</v>
      </c>
      <c r="I2154" t="s">
        <v>58</v>
      </c>
      <c r="J2154" t="s">
        <v>61</v>
      </c>
      <c r="K2154" t="s">
        <v>58</v>
      </c>
      <c r="L2154" t="s">
        <v>58</v>
      </c>
      <c r="M2154" t="s">
        <v>58</v>
      </c>
      <c r="P2154" t="s">
        <v>61</v>
      </c>
      <c r="Q2154" t="s">
        <v>58</v>
      </c>
      <c r="R2154" s="11" t="str">
        <f>HYPERLINK("\\imagefiles.bcgov\imagery\scanned_maps\moe_terrain_maps\Scanned_T_maps_all\M02\M02-3786","\\imagefiles.bcgov\imagery\scanned_maps\moe_terrain_maps\Scanned_T_maps_all\M02\M02-3786")</f>
        <v>\\imagefiles.bcgov\imagery\scanned_maps\moe_terrain_maps\Scanned_T_maps_all\M02\M02-3786</v>
      </c>
      <c r="S2154" t="s">
        <v>62</v>
      </c>
      <c r="T2154" s="11" t="str">
        <f>HYPERLINK("http://www.env.gov.bc.ca/esd/distdata/ecosystems/TEI_Scanned_Maps/M02/M02-3786","http://www.env.gov.bc.ca/esd/distdata/ecosystems/TEI_Scanned_Maps/M02/M02-3786")</f>
        <v>http://www.env.gov.bc.ca/esd/distdata/ecosystems/TEI_Scanned_Maps/M02/M02-3786</v>
      </c>
      <c r="U2154" t="s">
        <v>269</v>
      </c>
      <c r="V2154" s="11" t="str">
        <f t="shared" si="150"/>
        <v>http://www.library.for.gov.bc.ca/#focus</v>
      </c>
      <c r="W2154" t="s">
        <v>58</v>
      </c>
      <c r="X2154" t="s">
        <v>58</v>
      </c>
      <c r="Y2154" t="s">
        <v>58</v>
      </c>
      <c r="Z2154" t="s">
        <v>58</v>
      </c>
      <c r="AA2154" t="s">
        <v>58</v>
      </c>
      <c r="AC2154" t="s">
        <v>58</v>
      </c>
      <c r="AE2154" t="s">
        <v>58</v>
      </c>
      <c r="AG2154" t="s">
        <v>63</v>
      </c>
      <c r="AH2154" s="11" t="str">
        <f t="shared" si="149"/>
        <v>mailto: soilterrain@victoria1.gov.bc.ca</v>
      </c>
    </row>
    <row r="2155" spans="1:34">
      <c r="A2155" t="s">
        <v>4977</v>
      </c>
      <c r="B2155" t="s">
        <v>56</v>
      </c>
      <c r="C2155" s="10" t="s">
        <v>4967</v>
      </c>
      <c r="D2155" t="s">
        <v>58</v>
      </c>
      <c r="E2155" t="s">
        <v>4964</v>
      </c>
      <c r="F2155" t="s">
        <v>4978</v>
      </c>
      <c r="G2155">
        <v>20000</v>
      </c>
      <c r="H2155" t="s">
        <v>187</v>
      </c>
      <c r="I2155" t="s">
        <v>58</v>
      </c>
      <c r="J2155" t="s">
        <v>61</v>
      </c>
      <c r="K2155" t="s">
        <v>61</v>
      </c>
      <c r="L2155" t="s">
        <v>58</v>
      </c>
      <c r="M2155" t="s">
        <v>58</v>
      </c>
      <c r="Q2155" t="s">
        <v>58</v>
      </c>
      <c r="R2155" s="11" t="str">
        <f>HYPERLINK("\\imagefiles.bcgov\imagery\scanned_maps\moe_terrain_maps\Scanned_T_maps_all\M02\M02-3790","\\imagefiles.bcgov\imagery\scanned_maps\moe_terrain_maps\Scanned_T_maps_all\M02\M02-3790")</f>
        <v>\\imagefiles.bcgov\imagery\scanned_maps\moe_terrain_maps\Scanned_T_maps_all\M02\M02-3790</v>
      </c>
      <c r="S2155" t="s">
        <v>62</v>
      </c>
      <c r="T2155" s="11" t="str">
        <f>HYPERLINK("http://www.env.gov.bc.ca/esd/distdata/ecosystems/TEI_Scanned_Maps/M02/M02-3790","http://www.env.gov.bc.ca/esd/distdata/ecosystems/TEI_Scanned_Maps/M02/M02-3790")</f>
        <v>http://www.env.gov.bc.ca/esd/distdata/ecosystems/TEI_Scanned_Maps/M02/M02-3790</v>
      </c>
      <c r="U2155" t="s">
        <v>269</v>
      </c>
      <c r="V2155" s="11" t="str">
        <f t="shared" si="150"/>
        <v>http://www.library.for.gov.bc.ca/#focus</v>
      </c>
      <c r="W2155" t="s">
        <v>58</v>
      </c>
      <c r="X2155" t="s">
        <v>58</v>
      </c>
      <c r="Y2155" t="s">
        <v>58</v>
      </c>
      <c r="Z2155" t="s">
        <v>58</v>
      </c>
      <c r="AA2155" t="s">
        <v>58</v>
      </c>
      <c r="AC2155" t="s">
        <v>58</v>
      </c>
      <c r="AE2155" t="s">
        <v>58</v>
      </c>
      <c r="AG2155" t="s">
        <v>63</v>
      </c>
      <c r="AH2155" s="11" t="str">
        <f t="shared" si="149"/>
        <v>mailto: soilterrain@victoria1.gov.bc.ca</v>
      </c>
    </row>
    <row r="2156" spans="1:34">
      <c r="A2156" t="s">
        <v>4979</v>
      </c>
      <c r="B2156" t="s">
        <v>56</v>
      </c>
      <c r="C2156" s="10" t="s">
        <v>4963</v>
      </c>
      <c r="D2156" t="s">
        <v>58</v>
      </c>
      <c r="E2156" t="s">
        <v>4964</v>
      </c>
      <c r="F2156" t="s">
        <v>4980</v>
      </c>
      <c r="G2156">
        <v>20000</v>
      </c>
      <c r="H2156" t="s">
        <v>187</v>
      </c>
      <c r="I2156" t="s">
        <v>58</v>
      </c>
      <c r="J2156" t="s">
        <v>61</v>
      </c>
      <c r="K2156" t="s">
        <v>58</v>
      </c>
      <c r="L2156" t="s">
        <v>58</v>
      </c>
      <c r="M2156" t="s">
        <v>58</v>
      </c>
      <c r="N2156" t="s">
        <v>61</v>
      </c>
      <c r="Q2156" t="s">
        <v>58</v>
      </c>
      <c r="R2156" s="11" t="str">
        <f>HYPERLINK("\\imagefiles.bcgov\imagery\scanned_maps\moe_terrain_maps\Scanned_T_maps_all\M02\M02-3800","\\imagefiles.bcgov\imagery\scanned_maps\moe_terrain_maps\Scanned_T_maps_all\M02\M02-3800")</f>
        <v>\\imagefiles.bcgov\imagery\scanned_maps\moe_terrain_maps\Scanned_T_maps_all\M02\M02-3800</v>
      </c>
      <c r="S2156" t="s">
        <v>62</v>
      </c>
      <c r="T2156" s="11" t="str">
        <f>HYPERLINK("http://www.env.gov.bc.ca/esd/distdata/ecosystems/TEI_Scanned_Maps/M02/M02-3800","http://www.env.gov.bc.ca/esd/distdata/ecosystems/TEI_Scanned_Maps/M02/M02-3800")</f>
        <v>http://www.env.gov.bc.ca/esd/distdata/ecosystems/TEI_Scanned_Maps/M02/M02-3800</v>
      </c>
      <c r="U2156" t="s">
        <v>269</v>
      </c>
      <c r="V2156" s="11" t="str">
        <f t="shared" si="150"/>
        <v>http://www.library.for.gov.bc.ca/#focus</v>
      </c>
      <c r="W2156" t="s">
        <v>58</v>
      </c>
      <c r="X2156" t="s">
        <v>58</v>
      </c>
      <c r="Y2156" t="s">
        <v>58</v>
      </c>
      <c r="Z2156" t="s">
        <v>58</v>
      </c>
      <c r="AA2156" t="s">
        <v>58</v>
      </c>
      <c r="AC2156" t="s">
        <v>58</v>
      </c>
      <c r="AE2156" t="s">
        <v>58</v>
      </c>
      <c r="AG2156" t="s">
        <v>63</v>
      </c>
      <c r="AH2156" s="11" t="str">
        <f t="shared" si="149"/>
        <v>mailto: soilterrain@victoria1.gov.bc.ca</v>
      </c>
    </row>
    <row r="2157" spans="1:34">
      <c r="A2157" t="s">
        <v>4981</v>
      </c>
      <c r="B2157" t="s">
        <v>56</v>
      </c>
      <c r="C2157" s="10" t="s">
        <v>4967</v>
      </c>
      <c r="D2157" t="s">
        <v>58</v>
      </c>
      <c r="E2157" t="s">
        <v>4964</v>
      </c>
      <c r="F2157" t="s">
        <v>4982</v>
      </c>
      <c r="G2157">
        <v>20000</v>
      </c>
      <c r="H2157" t="s">
        <v>187</v>
      </c>
      <c r="I2157" t="s">
        <v>58</v>
      </c>
      <c r="J2157" t="s">
        <v>61</v>
      </c>
      <c r="K2157" t="s">
        <v>58</v>
      </c>
      <c r="L2157" t="s">
        <v>58</v>
      </c>
      <c r="M2157" t="s">
        <v>58</v>
      </c>
      <c r="N2157" t="s">
        <v>61</v>
      </c>
      <c r="Q2157" t="s">
        <v>58</v>
      </c>
      <c r="R2157" s="11" t="str">
        <f>HYPERLINK("\\imagefiles.bcgov\imagery\scanned_maps\moe_terrain_maps\Scanned_T_maps_all\M02\M02-3811","\\imagefiles.bcgov\imagery\scanned_maps\moe_terrain_maps\Scanned_T_maps_all\M02\M02-3811")</f>
        <v>\\imagefiles.bcgov\imagery\scanned_maps\moe_terrain_maps\Scanned_T_maps_all\M02\M02-3811</v>
      </c>
      <c r="S2157" t="s">
        <v>62</v>
      </c>
      <c r="T2157" s="11" t="str">
        <f>HYPERLINK("http://www.env.gov.bc.ca/esd/distdata/ecosystems/TEI_Scanned_Maps/M02/M02-3811","http://www.env.gov.bc.ca/esd/distdata/ecosystems/TEI_Scanned_Maps/M02/M02-3811")</f>
        <v>http://www.env.gov.bc.ca/esd/distdata/ecosystems/TEI_Scanned_Maps/M02/M02-3811</v>
      </c>
      <c r="U2157" t="s">
        <v>269</v>
      </c>
      <c r="V2157" s="11" t="str">
        <f t="shared" si="150"/>
        <v>http://www.library.for.gov.bc.ca/#focus</v>
      </c>
      <c r="W2157" t="s">
        <v>58</v>
      </c>
      <c r="X2157" t="s">
        <v>58</v>
      </c>
      <c r="Y2157" t="s">
        <v>58</v>
      </c>
      <c r="Z2157" t="s">
        <v>58</v>
      </c>
      <c r="AA2157" t="s">
        <v>58</v>
      </c>
      <c r="AC2157" t="s">
        <v>58</v>
      </c>
      <c r="AE2157" t="s">
        <v>58</v>
      </c>
      <c r="AG2157" t="s">
        <v>63</v>
      </c>
      <c r="AH2157" s="11" t="str">
        <f t="shared" si="149"/>
        <v>mailto: soilterrain@victoria1.gov.bc.ca</v>
      </c>
    </row>
    <row r="2158" spans="1:34">
      <c r="A2158" t="s">
        <v>4983</v>
      </c>
      <c r="B2158" t="s">
        <v>56</v>
      </c>
      <c r="C2158" s="10" t="s">
        <v>4963</v>
      </c>
      <c r="D2158" t="s">
        <v>61</v>
      </c>
      <c r="E2158" t="s">
        <v>4964</v>
      </c>
      <c r="F2158" t="s">
        <v>4984</v>
      </c>
      <c r="G2158">
        <v>20000</v>
      </c>
      <c r="H2158" t="s">
        <v>187</v>
      </c>
      <c r="I2158" t="s">
        <v>58</v>
      </c>
      <c r="J2158" t="s">
        <v>61</v>
      </c>
      <c r="K2158" t="s">
        <v>58</v>
      </c>
      <c r="L2158" t="s">
        <v>58</v>
      </c>
      <c r="M2158" t="s">
        <v>58</v>
      </c>
      <c r="P2158" t="s">
        <v>61</v>
      </c>
      <c r="Q2158" t="s">
        <v>58</v>
      </c>
      <c r="R2158" s="11" t="str">
        <f>HYPERLINK("\\imagefiles.bcgov\imagery\scanned_maps\moe_terrain_maps\Scanned_T_maps_all\M02\M02-3813","\\imagefiles.bcgov\imagery\scanned_maps\moe_terrain_maps\Scanned_T_maps_all\M02\M02-3813")</f>
        <v>\\imagefiles.bcgov\imagery\scanned_maps\moe_terrain_maps\Scanned_T_maps_all\M02\M02-3813</v>
      </c>
      <c r="S2158" t="s">
        <v>62</v>
      </c>
      <c r="T2158" s="11" t="str">
        <f>HYPERLINK("http://www.env.gov.bc.ca/esd/distdata/ecosystems/TEI_Scanned_Maps/M02/M02-3813","http://www.env.gov.bc.ca/esd/distdata/ecosystems/TEI_Scanned_Maps/M02/M02-3813")</f>
        <v>http://www.env.gov.bc.ca/esd/distdata/ecosystems/TEI_Scanned_Maps/M02/M02-3813</v>
      </c>
      <c r="U2158" t="s">
        <v>269</v>
      </c>
      <c r="V2158" s="11" t="str">
        <f t="shared" si="150"/>
        <v>http://www.library.for.gov.bc.ca/#focus</v>
      </c>
      <c r="W2158" t="s">
        <v>58</v>
      </c>
      <c r="X2158" t="s">
        <v>58</v>
      </c>
      <c r="Y2158" t="s">
        <v>58</v>
      </c>
      <c r="Z2158" t="s">
        <v>58</v>
      </c>
      <c r="AA2158" t="s">
        <v>58</v>
      </c>
      <c r="AC2158" t="s">
        <v>58</v>
      </c>
      <c r="AE2158" t="s">
        <v>58</v>
      </c>
      <c r="AG2158" t="s">
        <v>63</v>
      </c>
      <c r="AH2158" s="11" t="str">
        <f t="shared" si="149"/>
        <v>mailto: soilterrain@victoria1.gov.bc.ca</v>
      </c>
    </row>
    <row r="2159" spans="1:34">
      <c r="A2159" t="s">
        <v>4985</v>
      </c>
      <c r="B2159" t="s">
        <v>56</v>
      </c>
      <c r="C2159" s="10" t="s">
        <v>4967</v>
      </c>
      <c r="D2159" t="s">
        <v>61</v>
      </c>
      <c r="E2159" t="s">
        <v>4964</v>
      </c>
      <c r="F2159" t="s">
        <v>4986</v>
      </c>
      <c r="G2159">
        <v>20000</v>
      </c>
      <c r="H2159" t="s">
        <v>187</v>
      </c>
      <c r="I2159" t="s">
        <v>58</v>
      </c>
      <c r="J2159" t="s">
        <v>61</v>
      </c>
      <c r="K2159" t="s">
        <v>58</v>
      </c>
      <c r="L2159" t="s">
        <v>58</v>
      </c>
      <c r="M2159" t="s">
        <v>58</v>
      </c>
      <c r="P2159" t="s">
        <v>61</v>
      </c>
      <c r="Q2159" t="s">
        <v>58</v>
      </c>
      <c r="R2159" s="11" t="str">
        <f>HYPERLINK("\\imagefiles.bcgov\imagery\scanned_maps\moe_terrain_maps\Scanned_T_maps_all\M02\M02-3814","\\imagefiles.bcgov\imagery\scanned_maps\moe_terrain_maps\Scanned_T_maps_all\M02\M02-3814")</f>
        <v>\\imagefiles.bcgov\imagery\scanned_maps\moe_terrain_maps\Scanned_T_maps_all\M02\M02-3814</v>
      </c>
      <c r="S2159" t="s">
        <v>62</v>
      </c>
      <c r="T2159" s="11" t="str">
        <f>HYPERLINK("http://www.env.gov.bc.ca/esd/distdata/ecosystems/TEI_Scanned_Maps/M02/M02-3814","http://www.env.gov.bc.ca/esd/distdata/ecosystems/TEI_Scanned_Maps/M02/M02-3814")</f>
        <v>http://www.env.gov.bc.ca/esd/distdata/ecosystems/TEI_Scanned_Maps/M02/M02-3814</v>
      </c>
      <c r="U2159" t="s">
        <v>269</v>
      </c>
      <c r="V2159" s="11" t="str">
        <f t="shared" si="150"/>
        <v>http://www.library.for.gov.bc.ca/#focus</v>
      </c>
      <c r="W2159" t="s">
        <v>58</v>
      </c>
      <c r="X2159" t="s">
        <v>58</v>
      </c>
      <c r="Y2159" t="s">
        <v>58</v>
      </c>
      <c r="Z2159" t="s">
        <v>58</v>
      </c>
      <c r="AA2159" t="s">
        <v>58</v>
      </c>
      <c r="AC2159" t="s">
        <v>58</v>
      </c>
      <c r="AE2159" t="s">
        <v>58</v>
      </c>
      <c r="AG2159" t="s">
        <v>63</v>
      </c>
      <c r="AH2159" s="11" t="str">
        <f t="shared" si="149"/>
        <v>mailto: soilterrain@victoria1.gov.bc.ca</v>
      </c>
    </row>
    <row r="2160" spans="1:34">
      <c r="A2160" t="s">
        <v>4987</v>
      </c>
      <c r="B2160" t="s">
        <v>56</v>
      </c>
      <c r="C2160" s="10" t="s">
        <v>4963</v>
      </c>
      <c r="D2160" t="s">
        <v>58</v>
      </c>
      <c r="E2160" t="s">
        <v>4964</v>
      </c>
      <c r="F2160" t="s">
        <v>4988</v>
      </c>
      <c r="G2160">
        <v>20000</v>
      </c>
      <c r="H2160" t="s">
        <v>187</v>
      </c>
      <c r="I2160" t="s">
        <v>58</v>
      </c>
      <c r="J2160" t="s">
        <v>61</v>
      </c>
      <c r="K2160" t="s">
        <v>58</v>
      </c>
      <c r="L2160" t="s">
        <v>58</v>
      </c>
      <c r="M2160" t="s">
        <v>58</v>
      </c>
      <c r="P2160" t="s">
        <v>61</v>
      </c>
      <c r="Q2160" t="s">
        <v>58</v>
      </c>
      <c r="R2160" s="11" t="str">
        <f>HYPERLINK("\\imagefiles.bcgov\imagery\scanned_maps\moe_terrain_maps\Scanned_T_maps_all\M02\M02-3815","\\imagefiles.bcgov\imagery\scanned_maps\moe_terrain_maps\Scanned_T_maps_all\M02\M02-3815")</f>
        <v>\\imagefiles.bcgov\imagery\scanned_maps\moe_terrain_maps\Scanned_T_maps_all\M02\M02-3815</v>
      </c>
      <c r="S2160" t="s">
        <v>62</v>
      </c>
      <c r="T2160" s="11" t="str">
        <f>HYPERLINK("http://www.env.gov.bc.ca/esd/distdata/ecosystems/TEI_Scanned_Maps/M02/M02-3815","http://www.env.gov.bc.ca/esd/distdata/ecosystems/TEI_Scanned_Maps/M02/M02-3815")</f>
        <v>http://www.env.gov.bc.ca/esd/distdata/ecosystems/TEI_Scanned_Maps/M02/M02-3815</v>
      </c>
      <c r="U2160" t="s">
        <v>269</v>
      </c>
      <c r="V2160" s="11" t="str">
        <f t="shared" si="150"/>
        <v>http://www.library.for.gov.bc.ca/#focus</v>
      </c>
      <c r="W2160" t="s">
        <v>58</v>
      </c>
      <c r="X2160" t="s">
        <v>58</v>
      </c>
      <c r="Y2160" t="s">
        <v>58</v>
      </c>
      <c r="Z2160" t="s">
        <v>58</v>
      </c>
      <c r="AA2160" t="s">
        <v>58</v>
      </c>
      <c r="AC2160" t="s">
        <v>58</v>
      </c>
      <c r="AE2160" t="s">
        <v>58</v>
      </c>
      <c r="AG2160" t="s">
        <v>63</v>
      </c>
      <c r="AH2160" s="11" t="str">
        <f t="shared" si="149"/>
        <v>mailto: soilterrain@victoria1.gov.bc.ca</v>
      </c>
    </row>
    <row r="2161" spans="1:34">
      <c r="A2161" t="s">
        <v>4989</v>
      </c>
      <c r="B2161" t="s">
        <v>56</v>
      </c>
      <c r="C2161" s="10" t="s">
        <v>4967</v>
      </c>
      <c r="D2161" t="s">
        <v>58</v>
      </c>
      <c r="E2161" t="s">
        <v>4964</v>
      </c>
      <c r="F2161" t="s">
        <v>4990</v>
      </c>
      <c r="G2161">
        <v>20000</v>
      </c>
      <c r="H2161" t="s">
        <v>187</v>
      </c>
      <c r="I2161" t="s">
        <v>58</v>
      </c>
      <c r="J2161" t="s">
        <v>61</v>
      </c>
      <c r="K2161" t="s">
        <v>58</v>
      </c>
      <c r="L2161" t="s">
        <v>58</v>
      </c>
      <c r="M2161" t="s">
        <v>58</v>
      </c>
      <c r="P2161" t="s">
        <v>61</v>
      </c>
      <c r="Q2161" t="s">
        <v>58</v>
      </c>
      <c r="R2161" s="11" t="str">
        <f>HYPERLINK("\\imagefiles.bcgov\imagery\scanned_maps\moe_terrain_maps\Scanned_T_maps_all\M02\M02-3816","\\imagefiles.bcgov\imagery\scanned_maps\moe_terrain_maps\Scanned_T_maps_all\M02\M02-3816")</f>
        <v>\\imagefiles.bcgov\imagery\scanned_maps\moe_terrain_maps\Scanned_T_maps_all\M02\M02-3816</v>
      </c>
      <c r="S2161" t="s">
        <v>62</v>
      </c>
      <c r="T2161" s="11" t="str">
        <f>HYPERLINK("http://www.env.gov.bc.ca/esd/distdata/ecosystems/TEI_Scanned_Maps/M02/M02-3816","http://www.env.gov.bc.ca/esd/distdata/ecosystems/TEI_Scanned_Maps/M02/M02-3816")</f>
        <v>http://www.env.gov.bc.ca/esd/distdata/ecosystems/TEI_Scanned_Maps/M02/M02-3816</v>
      </c>
      <c r="U2161" t="s">
        <v>269</v>
      </c>
      <c r="V2161" s="11" t="str">
        <f t="shared" si="150"/>
        <v>http://www.library.for.gov.bc.ca/#focus</v>
      </c>
      <c r="W2161" t="s">
        <v>58</v>
      </c>
      <c r="X2161" t="s">
        <v>58</v>
      </c>
      <c r="Y2161" t="s">
        <v>58</v>
      </c>
      <c r="Z2161" t="s">
        <v>58</v>
      </c>
      <c r="AA2161" t="s">
        <v>58</v>
      </c>
      <c r="AC2161" t="s">
        <v>58</v>
      </c>
      <c r="AE2161" t="s">
        <v>58</v>
      </c>
      <c r="AG2161" t="s">
        <v>63</v>
      </c>
      <c r="AH2161" s="11" t="str">
        <f t="shared" si="149"/>
        <v>mailto: soilterrain@victoria1.gov.bc.ca</v>
      </c>
    </row>
    <row r="2162" spans="1:34">
      <c r="A2162" t="s">
        <v>4991</v>
      </c>
      <c r="B2162" t="s">
        <v>56</v>
      </c>
      <c r="C2162" s="10" t="s">
        <v>4963</v>
      </c>
      <c r="D2162" t="s">
        <v>58</v>
      </c>
      <c r="E2162" t="s">
        <v>4964</v>
      </c>
      <c r="F2162" t="s">
        <v>4992</v>
      </c>
      <c r="G2162">
        <v>20000</v>
      </c>
      <c r="H2162" t="s">
        <v>187</v>
      </c>
      <c r="I2162" t="s">
        <v>58</v>
      </c>
      <c r="J2162" t="s">
        <v>61</v>
      </c>
      <c r="K2162" t="s">
        <v>58</v>
      </c>
      <c r="L2162" t="s">
        <v>58</v>
      </c>
      <c r="M2162" t="s">
        <v>58</v>
      </c>
      <c r="P2162" t="s">
        <v>61</v>
      </c>
      <c r="Q2162" t="s">
        <v>58</v>
      </c>
      <c r="R2162" s="11" t="str">
        <f>HYPERLINK("\\imagefiles.bcgov\imagery\scanned_maps\moe_terrain_maps\Scanned_T_maps_all\M02\M02-3817","\\imagefiles.bcgov\imagery\scanned_maps\moe_terrain_maps\Scanned_T_maps_all\M02\M02-3817")</f>
        <v>\\imagefiles.bcgov\imagery\scanned_maps\moe_terrain_maps\Scanned_T_maps_all\M02\M02-3817</v>
      </c>
      <c r="S2162" t="s">
        <v>62</v>
      </c>
      <c r="T2162" s="11" t="str">
        <f>HYPERLINK("http://www.env.gov.bc.ca/esd/distdata/ecosystems/TEI_Scanned_Maps/M02/M02-3817","http://www.env.gov.bc.ca/esd/distdata/ecosystems/TEI_Scanned_Maps/M02/M02-3817")</f>
        <v>http://www.env.gov.bc.ca/esd/distdata/ecosystems/TEI_Scanned_Maps/M02/M02-3817</v>
      </c>
      <c r="U2162" t="s">
        <v>269</v>
      </c>
      <c r="V2162" s="11" t="str">
        <f t="shared" si="150"/>
        <v>http://www.library.for.gov.bc.ca/#focus</v>
      </c>
      <c r="W2162" t="s">
        <v>58</v>
      </c>
      <c r="X2162" t="s">
        <v>58</v>
      </c>
      <c r="Y2162" t="s">
        <v>58</v>
      </c>
      <c r="Z2162" t="s">
        <v>58</v>
      </c>
      <c r="AA2162" t="s">
        <v>58</v>
      </c>
      <c r="AC2162" t="s">
        <v>58</v>
      </c>
      <c r="AE2162" t="s">
        <v>58</v>
      </c>
      <c r="AG2162" t="s">
        <v>63</v>
      </c>
      <c r="AH2162" s="11" t="str">
        <f t="shared" si="149"/>
        <v>mailto: soilterrain@victoria1.gov.bc.ca</v>
      </c>
    </row>
    <row r="2163" spans="1:34">
      <c r="A2163" t="s">
        <v>4993</v>
      </c>
      <c r="B2163" t="s">
        <v>56</v>
      </c>
      <c r="C2163" s="10" t="s">
        <v>4967</v>
      </c>
      <c r="D2163" t="s">
        <v>58</v>
      </c>
      <c r="E2163" t="s">
        <v>4964</v>
      </c>
      <c r="F2163" t="s">
        <v>4994</v>
      </c>
      <c r="G2163">
        <v>20000</v>
      </c>
      <c r="H2163" t="s">
        <v>187</v>
      </c>
      <c r="I2163" t="s">
        <v>58</v>
      </c>
      <c r="J2163" t="s">
        <v>61</v>
      </c>
      <c r="K2163" t="s">
        <v>58</v>
      </c>
      <c r="L2163" t="s">
        <v>58</v>
      </c>
      <c r="M2163" t="s">
        <v>58</v>
      </c>
      <c r="P2163" t="s">
        <v>61</v>
      </c>
      <c r="Q2163" t="s">
        <v>58</v>
      </c>
      <c r="R2163" s="11" t="str">
        <f>HYPERLINK("\\imagefiles.bcgov\imagery\scanned_maps\moe_terrain_maps\Scanned_T_maps_all\M02\M02-3818","\\imagefiles.bcgov\imagery\scanned_maps\moe_terrain_maps\Scanned_T_maps_all\M02\M02-3818")</f>
        <v>\\imagefiles.bcgov\imagery\scanned_maps\moe_terrain_maps\Scanned_T_maps_all\M02\M02-3818</v>
      </c>
      <c r="S2163" t="s">
        <v>62</v>
      </c>
      <c r="T2163" s="11" t="str">
        <f>HYPERLINK("http://www.env.gov.bc.ca/esd/distdata/ecosystems/TEI_Scanned_Maps/M02/M02-3818","http://www.env.gov.bc.ca/esd/distdata/ecosystems/TEI_Scanned_Maps/M02/M02-3818")</f>
        <v>http://www.env.gov.bc.ca/esd/distdata/ecosystems/TEI_Scanned_Maps/M02/M02-3818</v>
      </c>
      <c r="U2163" t="s">
        <v>269</v>
      </c>
      <c r="V2163" s="11" t="str">
        <f t="shared" si="150"/>
        <v>http://www.library.for.gov.bc.ca/#focus</v>
      </c>
      <c r="W2163" t="s">
        <v>58</v>
      </c>
      <c r="X2163" t="s">
        <v>58</v>
      </c>
      <c r="Y2163" t="s">
        <v>58</v>
      </c>
      <c r="Z2163" t="s">
        <v>58</v>
      </c>
      <c r="AA2163" t="s">
        <v>58</v>
      </c>
      <c r="AC2163" t="s">
        <v>58</v>
      </c>
      <c r="AE2163" t="s">
        <v>58</v>
      </c>
      <c r="AG2163" t="s">
        <v>63</v>
      </c>
      <c r="AH2163" s="11" t="str">
        <f t="shared" si="149"/>
        <v>mailto: soilterrain@victoria1.gov.bc.ca</v>
      </c>
    </row>
    <row r="2164" spans="1:34">
      <c r="A2164" t="s">
        <v>4995</v>
      </c>
      <c r="B2164" t="s">
        <v>56</v>
      </c>
      <c r="C2164" s="10" t="s">
        <v>4963</v>
      </c>
      <c r="D2164" t="s">
        <v>58</v>
      </c>
      <c r="E2164" t="s">
        <v>4964</v>
      </c>
      <c r="F2164" t="s">
        <v>4996</v>
      </c>
      <c r="G2164">
        <v>20000</v>
      </c>
      <c r="H2164" t="s">
        <v>187</v>
      </c>
      <c r="I2164" t="s">
        <v>58</v>
      </c>
      <c r="J2164" t="s">
        <v>61</v>
      </c>
      <c r="K2164" t="s">
        <v>58</v>
      </c>
      <c r="L2164" t="s">
        <v>58</v>
      </c>
      <c r="M2164" t="s">
        <v>58</v>
      </c>
      <c r="P2164" t="s">
        <v>61</v>
      </c>
      <c r="Q2164" t="s">
        <v>58</v>
      </c>
      <c r="R2164" s="11" t="str">
        <f>HYPERLINK("\\imagefiles.bcgov\imagery\scanned_maps\moe_terrain_maps\Scanned_T_maps_all\M02\M02-3819","\\imagefiles.bcgov\imagery\scanned_maps\moe_terrain_maps\Scanned_T_maps_all\M02\M02-3819")</f>
        <v>\\imagefiles.bcgov\imagery\scanned_maps\moe_terrain_maps\Scanned_T_maps_all\M02\M02-3819</v>
      </c>
      <c r="S2164" t="s">
        <v>62</v>
      </c>
      <c r="T2164" s="11" t="str">
        <f>HYPERLINK("http://www.env.gov.bc.ca/esd/distdata/ecosystems/TEI_Scanned_Maps/M02/M02-3819","http://www.env.gov.bc.ca/esd/distdata/ecosystems/TEI_Scanned_Maps/M02/M02-3819")</f>
        <v>http://www.env.gov.bc.ca/esd/distdata/ecosystems/TEI_Scanned_Maps/M02/M02-3819</v>
      </c>
      <c r="U2164" t="s">
        <v>269</v>
      </c>
      <c r="V2164" s="11" t="str">
        <f t="shared" si="150"/>
        <v>http://www.library.for.gov.bc.ca/#focus</v>
      </c>
      <c r="W2164" t="s">
        <v>58</v>
      </c>
      <c r="X2164" t="s">
        <v>58</v>
      </c>
      <c r="Y2164" t="s">
        <v>58</v>
      </c>
      <c r="Z2164" t="s">
        <v>58</v>
      </c>
      <c r="AA2164" t="s">
        <v>58</v>
      </c>
      <c r="AC2164" t="s">
        <v>58</v>
      </c>
      <c r="AE2164" t="s">
        <v>58</v>
      </c>
      <c r="AG2164" t="s">
        <v>63</v>
      </c>
      <c r="AH2164" s="11" t="str">
        <f t="shared" si="149"/>
        <v>mailto: soilterrain@victoria1.gov.bc.ca</v>
      </c>
    </row>
    <row r="2165" spans="1:34">
      <c r="A2165" t="s">
        <v>4997</v>
      </c>
      <c r="B2165" t="s">
        <v>56</v>
      </c>
      <c r="C2165" s="10" t="s">
        <v>4583</v>
      </c>
      <c r="D2165" t="s">
        <v>61</v>
      </c>
      <c r="E2165" t="s">
        <v>4998</v>
      </c>
      <c r="F2165" t="s">
        <v>4999</v>
      </c>
      <c r="G2165">
        <v>50000</v>
      </c>
      <c r="H2165" t="s">
        <v>187</v>
      </c>
      <c r="I2165" t="s">
        <v>4635</v>
      </c>
      <c r="J2165" t="s">
        <v>61</v>
      </c>
      <c r="K2165" t="s">
        <v>58</v>
      </c>
      <c r="L2165" t="s">
        <v>58</v>
      </c>
      <c r="M2165" t="s">
        <v>58</v>
      </c>
      <c r="P2165" t="s">
        <v>61</v>
      </c>
      <c r="Q2165" t="s">
        <v>132</v>
      </c>
      <c r="R2165" s="11" t="str">
        <f>HYPERLINK("\\imagefiles.bcgov\imagery\scanned_maps\moe_terrain_maps\Scanned_T_maps_all\M03\M03-3821","\\imagefiles.bcgov\imagery\scanned_maps\moe_terrain_maps\Scanned_T_maps_all\M03\M03-3821")</f>
        <v>\\imagefiles.bcgov\imagery\scanned_maps\moe_terrain_maps\Scanned_T_maps_all\M03\M03-3821</v>
      </c>
      <c r="S2165" t="s">
        <v>62</v>
      </c>
      <c r="T2165" s="11" t="str">
        <f>HYPERLINK("http://www.env.gov.bc.ca/esd/distdata/ecosystems/TEI_Scanned_Maps/M03/M03-3821","http://www.env.gov.bc.ca/esd/distdata/ecosystems/TEI_Scanned_Maps/M03/M03-3821")</f>
        <v>http://www.env.gov.bc.ca/esd/distdata/ecosystems/TEI_Scanned_Maps/M03/M03-3821</v>
      </c>
      <c r="U2165" t="s">
        <v>269</v>
      </c>
      <c r="V2165" s="11" t="str">
        <f t="shared" si="150"/>
        <v>http://www.library.for.gov.bc.ca/#focus</v>
      </c>
      <c r="W2165" t="s">
        <v>58</v>
      </c>
      <c r="X2165" t="s">
        <v>58</v>
      </c>
      <c r="Y2165" t="s">
        <v>58</v>
      </c>
      <c r="Z2165" t="s">
        <v>58</v>
      </c>
      <c r="AA2165" t="s">
        <v>58</v>
      </c>
      <c r="AC2165" t="s">
        <v>58</v>
      </c>
      <c r="AE2165" t="s">
        <v>58</v>
      </c>
      <c r="AG2165" t="s">
        <v>63</v>
      </c>
      <c r="AH2165" s="11" t="str">
        <f t="shared" si="149"/>
        <v>mailto: soilterrain@victoria1.gov.bc.ca</v>
      </c>
    </row>
    <row r="2166" spans="1:34">
      <c r="A2166" t="s">
        <v>5000</v>
      </c>
      <c r="B2166" t="s">
        <v>56</v>
      </c>
      <c r="C2166" s="10" t="s">
        <v>594</v>
      </c>
      <c r="D2166" t="s">
        <v>58</v>
      </c>
      <c r="E2166" t="s">
        <v>5001</v>
      </c>
      <c r="F2166" t="s">
        <v>5002</v>
      </c>
      <c r="G2166">
        <v>50000</v>
      </c>
      <c r="H2166" t="s">
        <v>187</v>
      </c>
      <c r="I2166" t="s">
        <v>4635</v>
      </c>
      <c r="J2166" t="s">
        <v>61</v>
      </c>
      <c r="K2166" t="s">
        <v>61</v>
      </c>
      <c r="L2166" t="s">
        <v>58</v>
      </c>
      <c r="M2166" t="s">
        <v>58</v>
      </c>
      <c r="Q2166" t="s">
        <v>58</v>
      </c>
      <c r="R2166" s="11" t="str">
        <f>HYPERLINK("\\imagefiles.bcgov\imagery\scanned_maps\moe_terrain_maps\Scanned_T_maps_all\M03\M03-3825","\\imagefiles.bcgov\imagery\scanned_maps\moe_terrain_maps\Scanned_T_maps_all\M03\M03-3825")</f>
        <v>\\imagefiles.bcgov\imagery\scanned_maps\moe_terrain_maps\Scanned_T_maps_all\M03\M03-3825</v>
      </c>
      <c r="S2166" t="s">
        <v>62</v>
      </c>
      <c r="T2166" s="11" t="str">
        <f>HYPERLINK("http://www.env.gov.bc.ca/esd/distdata/ecosystems/TEI_Scanned_Maps/M03/M03-3825","http://www.env.gov.bc.ca/esd/distdata/ecosystems/TEI_Scanned_Maps/M03/M03-3825")</f>
        <v>http://www.env.gov.bc.ca/esd/distdata/ecosystems/TEI_Scanned_Maps/M03/M03-3825</v>
      </c>
      <c r="U2166" t="s">
        <v>269</v>
      </c>
      <c r="V2166" s="11" t="str">
        <f t="shared" si="150"/>
        <v>http://www.library.for.gov.bc.ca/#focus</v>
      </c>
      <c r="W2166" t="s">
        <v>58</v>
      </c>
      <c r="X2166" t="s">
        <v>58</v>
      </c>
      <c r="Y2166" t="s">
        <v>58</v>
      </c>
      <c r="Z2166" t="s">
        <v>58</v>
      </c>
      <c r="AA2166" t="s">
        <v>58</v>
      </c>
      <c r="AC2166" t="s">
        <v>58</v>
      </c>
      <c r="AE2166" t="s">
        <v>58</v>
      </c>
      <c r="AG2166" t="s">
        <v>63</v>
      </c>
      <c r="AH2166" s="11" t="str">
        <f t="shared" si="149"/>
        <v>mailto: soilterrain@victoria1.gov.bc.ca</v>
      </c>
    </row>
    <row r="2167" spans="1:34">
      <c r="A2167" t="s">
        <v>5003</v>
      </c>
      <c r="B2167" t="s">
        <v>56</v>
      </c>
      <c r="C2167" s="10" t="s">
        <v>1238</v>
      </c>
      <c r="D2167" t="s">
        <v>58</v>
      </c>
      <c r="E2167" t="s">
        <v>5004</v>
      </c>
      <c r="F2167" t="s">
        <v>5005</v>
      </c>
      <c r="G2167">
        <v>50000</v>
      </c>
      <c r="H2167" t="s">
        <v>187</v>
      </c>
      <c r="I2167" t="s">
        <v>4635</v>
      </c>
      <c r="J2167" t="s">
        <v>61</v>
      </c>
      <c r="K2167" t="s">
        <v>61</v>
      </c>
      <c r="L2167" t="s">
        <v>58</v>
      </c>
      <c r="M2167" t="s">
        <v>58</v>
      </c>
      <c r="Q2167" t="s">
        <v>58</v>
      </c>
      <c r="R2167" s="11" t="str">
        <f>HYPERLINK("\\imagefiles.bcgov\imagery\scanned_maps\moe_terrain_maps\Scanned_T_maps_all\M03\M03-3840","\\imagefiles.bcgov\imagery\scanned_maps\moe_terrain_maps\Scanned_T_maps_all\M03\M03-3840")</f>
        <v>\\imagefiles.bcgov\imagery\scanned_maps\moe_terrain_maps\Scanned_T_maps_all\M03\M03-3840</v>
      </c>
      <c r="S2167" t="s">
        <v>62</v>
      </c>
      <c r="T2167" s="11" t="str">
        <f>HYPERLINK("http://www.env.gov.bc.ca/esd/distdata/ecosystems/TEI_Scanned_Maps/M03/M03-3840","http://www.env.gov.bc.ca/esd/distdata/ecosystems/TEI_Scanned_Maps/M03/M03-3840")</f>
        <v>http://www.env.gov.bc.ca/esd/distdata/ecosystems/TEI_Scanned_Maps/M03/M03-3840</v>
      </c>
      <c r="U2167" t="s">
        <v>269</v>
      </c>
      <c r="V2167" s="11" t="str">
        <f t="shared" si="150"/>
        <v>http://www.library.for.gov.bc.ca/#focus</v>
      </c>
      <c r="W2167" t="s">
        <v>58</v>
      </c>
      <c r="X2167" t="s">
        <v>58</v>
      </c>
      <c r="Y2167" t="s">
        <v>58</v>
      </c>
      <c r="Z2167" t="s">
        <v>58</v>
      </c>
      <c r="AA2167" t="s">
        <v>58</v>
      </c>
      <c r="AC2167" t="s">
        <v>58</v>
      </c>
      <c r="AE2167" t="s">
        <v>58</v>
      </c>
      <c r="AG2167" t="s">
        <v>63</v>
      </c>
      <c r="AH2167" s="11" t="str">
        <f t="shared" si="149"/>
        <v>mailto: soilterrain@victoria1.gov.bc.ca</v>
      </c>
    </row>
    <row r="2168" spans="1:34">
      <c r="A2168" t="s">
        <v>5006</v>
      </c>
      <c r="B2168" t="s">
        <v>56</v>
      </c>
      <c r="C2168" s="10" t="s">
        <v>653</v>
      </c>
      <c r="D2168" t="s">
        <v>58</v>
      </c>
      <c r="E2168" t="s">
        <v>5007</v>
      </c>
      <c r="F2168" t="s">
        <v>5008</v>
      </c>
      <c r="G2168">
        <v>50000</v>
      </c>
      <c r="H2168" t="s">
        <v>187</v>
      </c>
      <c r="I2168" t="s">
        <v>4635</v>
      </c>
      <c r="J2168" t="s">
        <v>61</v>
      </c>
      <c r="K2168" t="s">
        <v>61</v>
      </c>
      <c r="L2168" t="s">
        <v>58</v>
      </c>
      <c r="M2168" t="s">
        <v>58</v>
      </c>
      <c r="Q2168" t="s">
        <v>58</v>
      </c>
      <c r="R2168" s="11" t="str">
        <f>HYPERLINK("\\imagefiles.bcgov\imagery\scanned_maps\moe_terrain_maps\Scanned_T_maps_all\M03\M03-3851","\\imagefiles.bcgov\imagery\scanned_maps\moe_terrain_maps\Scanned_T_maps_all\M03\M03-3851")</f>
        <v>\\imagefiles.bcgov\imagery\scanned_maps\moe_terrain_maps\Scanned_T_maps_all\M03\M03-3851</v>
      </c>
      <c r="S2168" t="s">
        <v>62</v>
      </c>
      <c r="T2168" s="11" t="str">
        <f>HYPERLINK("http://www.env.gov.bc.ca/esd/distdata/ecosystems/TEI_Scanned_Maps/M03/M03-3851","http://www.env.gov.bc.ca/esd/distdata/ecosystems/TEI_Scanned_Maps/M03/M03-3851")</f>
        <v>http://www.env.gov.bc.ca/esd/distdata/ecosystems/TEI_Scanned_Maps/M03/M03-3851</v>
      </c>
      <c r="U2168" t="s">
        <v>269</v>
      </c>
      <c r="V2168" s="11" t="str">
        <f t="shared" si="150"/>
        <v>http://www.library.for.gov.bc.ca/#focus</v>
      </c>
      <c r="W2168" t="s">
        <v>58</v>
      </c>
      <c r="X2168" t="s">
        <v>58</v>
      </c>
      <c r="Y2168" t="s">
        <v>58</v>
      </c>
      <c r="Z2168" t="s">
        <v>58</v>
      </c>
      <c r="AA2168" t="s">
        <v>58</v>
      </c>
      <c r="AC2168" t="s">
        <v>58</v>
      </c>
      <c r="AE2168" t="s">
        <v>58</v>
      </c>
      <c r="AG2168" t="s">
        <v>63</v>
      </c>
      <c r="AH2168" s="11" t="str">
        <f t="shared" si="149"/>
        <v>mailto: soilterrain@victoria1.gov.bc.ca</v>
      </c>
    </row>
    <row r="2169" spans="1:34">
      <c r="A2169" t="s">
        <v>5009</v>
      </c>
      <c r="B2169" t="s">
        <v>56</v>
      </c>
      <c r="C2169" s="10" t="s">
        <v>653</v>
      </c>
      <c r="D2169" t="s">
        <v>58</v>
      </c>
      <c r="E2169" t="s">
        <v>5010</v>
      </c>
      <c r="F2169" t="s">
        <v>5011</v>
      </c>
      <c r="G2169">
        <v>50000</v>
      </c>
      <c r="H2169" t="s">
        <v>187</v>
      </c>
      <c r="I2169" t="s">
        <v>4635</v>
      </c>
      <c r="J2169" t="s">
        <v>61</v>
      </c>
      <c r="K2169" t="s">
        <v>61</v>
      </c>
      <c r="L2169" t="s">
        <v>58</v>
      </c>
      <c r="M2169" t="s">
        <v>58</v>
      </c>
      <c r="Q2169" t="s">
        <v>58</v>
      </c>
      <c r="R2169" s="11" t="str">
        <f>HYPERLINK("\\imagefiles.bcgov\imagery\scanned_maps\moe_terrain_maps\Scanned_T_maps_all\M03\M03-3870","\\imagefiles.bcgov\imagery\scanned_maps\moe_terrain_maps\Scanned_T_maps_all\M03\M03-3870")</f>
        <v>\\imagefiles.bcgov\imagery\scanned_maps\moe_terrain_maps\Scanned_T_maps_all\M03\M03-3870</v>
      </c>
      <c r="S2169" t="s">
        <v>62</v>
      </c>
      <c r="T2169" s="11" t="str">
        <f>HYPERLINK("http://www.env.gov.bc.ca/esd/distdata/ecosystems/TEI_Scanned_Maps/M03/M03-3870","http://www.env.gov.bc.ca/esd/distdata/ecosystems/TEI_Scanned_Maps/M03/M03-3870")</f>
        <v>http://www.env.gov.bc.ca/esd/distdata/ecosystems/TEI_Scanned_Maps/M03/M03-3870</v>
      </c>
      <c r="U2169" t="s">
        <v>269</v>
      </c>
      <c r="V2169" s="11" t="str">
        <f t="shared" si="150"/>
        <v>http://www.library.for.gov.bc.ca/#focus</v>
      </c>
      <c r="W2169" t="s">
        <v>58</v>
      </c>
      <c r="X2169" t="s">
        <v>58</v>
      </c>
      <c r="Y2169" t="s">
        <v>58</v>
      </c>
      <c r="Z2169" t="s">
        <v>58</v>
      </c>
      <c r="AA2169" t="s">
        <v>58</v>
      </c>
      <c r="AC2169" t="s">
        <v>58</v>
      </c>
      <c r="AE2169" t="s">
        <v>58</v>
      </c>
      <c r="AG2169" t="s">
        <v>63</v>
      </c>
      <c r="AH2169" s="11" t="str">
        <f t="shared" si="149"/>
        <v>mailto: soilterrain@victoria1.gov.bc.ca</v>
      </c>
    </row>
    <row r="2170" spans="1:34">
      <c r="A2170" t="s">
        <v>5012</v>
      </c>
      <c r="B2170" t="s">
        <v>56</v>
      </c>
      <c r="C2170" s="10" t="s">
        <v>1252</v>
      </c>
      <c r="D2170" t="s">
        <v>58</v>
      </c>
      <c r="E2170" t="s">
        <v>5013</v>
      </c>
      <c r="F2170" t="s">
        <v>5014</v>
      </c>
      <c r="G2170">
        <v>50000</v>
      </c>
      <c r="H2170" t="s">
        <v>187</v>
      </c>
      <c r="I2170" t="s">
        <v>4635</v>
      </c>
      <c r="J2170" t="s">
        <v>61</v>
      </c>
      <c r="K2170" t="s">
        <v>61</v>
      </c>
      <c r="L2170" t="s">
        <v>58</v>
      </c>
      <c r="M2170" t="s">
        <v>58</v>
      </c>
      <c r="Q2170" t="s">
        <v>58</v>
      </c>
      <c r="R2170" s="11" t="str">
        <f>HYPERLINK("\\imagefiles.bcgov\imagery\scanned_maps\moe_terrain_maps\Scanned_T_maps_all\M04\M04-3898","\\imagefiles.bcgov\imagery\scanned_maps\moe_terrain_maps\Scanned_T_maps_all\M04\M04-3898")</f>
        <v>\\imagefiles.bcgov\imagery\scanned_maps\moe_terrain_maps\Scanned_T_maps_all\M04\M04-3898</v>
      </c>
      <c r="S2170" t="s">
        <v>62</v>
      </c>
      <c r="T2170" s="11" t="str">
        <f>HYPERLINK("http://www.env.gov.bc.ca/esd/distdata/ecosystems/TEI_Scanned_Maps/M04/M04-3898","http://www.env.gov.bc.ca/esd/distdata/ecosystems/TEI_Scanned_Maps/M04/M04-3898")</f>
        <v>http://www.env.gov.bc.ca/esd/distdata/ecosystems/TEI_Scanned_Maps/M04/M04-3898</v>
      </c>
      <c r="U2170" t="s">
        <v>58</v>
      </c>
      <c r="V2170" t="s">
        <v>58</v>
      </c>
      <c r="W2170" t="s">
        <v>58</v>
      </c>
      <c r="X2170" t="s">
        <v>58</v>
      </c>
      <c r="Y2170" t="s">
        <v>58</v>
      </c>
      <c r="Z2170" t="s">
        <v>58</v>
      </c>
      <c r="AA2170" t="s">
        <v>58</v>
      </c>
      <c r="AC2170" t="s">
        <v>58</v>
      </c>
      <c r="AE2170" t="s">
        <v>58</v>
      </c>
      <c r="AG2170" t="s">
        <v>63</v>
      </c>
      <c r="AH2170" s="11" t="str">
        <f t="shared" si="149"/>
        <v>mailto: soilterrain@victoria1.gov.bc.ca</v>
      </c>
    </row>
    <row r="2171" spans="1:34">
      <c r="A2171" t="s">
        <v>5015</v>
      </c>
      <c r="B2171" t="s">
        <v>56</v>
      </c>
      <c r="C2171" s="10" t="s">
        <v>161</v>
      </c>
      <c r="D2171" t="s">
        <v>58</v>
      </c>
      <c r="E2171" t="s">
        <v>5016</v>
      </c>
      <c r="F2171" t="s">
        <v>5017</v>
      </c>
      <c r="G2171">
        <v>50000</v>
      </c>
      <c r="H2171" t="s">
        <v>187</v>
      </c>
      <c r="I2171" t="s">
        <v>4635</v>
      </c>
      <c r="J2171" t="s">
        <v>61</v>
      </c>
      <c r="K2171" t="s">
        <v>61</v>
      </c>
      <c r="L2171" t="s">
        <v>58</v>
      </c>
      <c r="M2171" t="s">
        <v>58</v>
      </c>
      <c r="Q2171" t="s">
        <v>58</v>
      </c>
      <c r="R2171" s="11" t="str">
        <f>HYPERLINK("\\imagefiles.bcgov\imagery\scanned_maps\moe_terrain_maps\Scanned_T_maps_all\M04\M04-3915","\\imagefiles.bcgov\imagery\scanned_maps\moe_terrain_maps\Scanned_T_maps_all\M04\M04-3915")</f>
        <v>\\imagefiles.bcgov\imagery\scanned_maps\moe_terrain_maps\Scanned_T_maps_all\M04\M04-3915</v>
      </c>
      <c r="S2171" t="s">
        <v>62</v>
      </c>
      <c r="T2171" s="11" t="str">
        <f>HYPERLINK("http://www.env.gov.bc.ca/esd/distdata/ecosystems/TEI_Scanned_Maps/M04/M04-3915","http://www.env.gov.bc.ca/esd/distdata/ecosystems/TEI_Scanned_Maps/M04/M04-3915")</f>
        <v>http://www.env.gov.bc.ca/esd/distdata/ecosystems/TEI_Scanned_Maps/M04/M04-3915</v>
      </c>
      <c r="U2171" t="s">
        <v>58</v>
      </c>
      <c r="V2171" t="s">
        <v>58</v>
      </c>
      <c r="W2171" t="s">
        <v>58</v>
      </c>
      <c r="X2171" t="s">
        <v>58</v>
      </c>
      <c r="Y2171" t="s">
        <v>58</v>
      </c>
      <c r="Z2171" t="s">
        <v>58</v>
      </c>
      <c r="AA2171" t="s">
        <v>58</v>
      </c>
      <c r="AC2171" t="s">
        <v>58</v>
      </c>
      <c r="AE2171" t="s">
        <v>58</v>
      </c>
      <c r="AG2171" t="s">
        <v>63</v>
      </c>
      <c r="AH2171" s="11" t="str">
        <f t="shared" si="149"/>
        <v>mailto: soilterrain@victoria1.gov.bc.ca</v>
      </c>
    </row>
    <row r="2172" spans="1:34">
      <c r="A2172" t="s">
        <v>5018</v>
      </c>
      <c r="B2172" t="s">
        <v>56</v>
      </c>
      <c r="C2172" s="10" t="s">
        <v>1252</v>
      </c>
      <c r="D2172" t="s">
        <v>58</v>
      </c>
      <c r="E2172" t="s">
        <v>5019</v>
      </c>
      <c r="F2172" t="s">
        <v>5020</v>
      </c>
      <c r="G2172">
        <v>50000</v>
      </c>
      <c r="H2172" t="s">
        <v>187</v>
      </c>
      <c r="I2172" t="s">
        <v>4635</v>
      </c>
      <c r="J2172" t="s">
        <v>61</v>
      </c>
      <c r="K2172" t="s">
        <v>61</v>
      </c>
      <c r="L2172" t="s">
        <v>58</v>
      </c>
      <c r="M2172" t="s">
        <v>58</v>
      </c>
      <c r="Q2172" t="s">
        <v>58</v>
      </c>
      <c r="R2172" s="11" t="str">
        <f>HYPERLINK("\\imagefiles.bcgov\imagery\scanned_maps\moe_terrain_maps\Scanned_T_maps_all\M04\M04-3932","\\imagefiles.bcgov\imagery\scanned_maps\moe_terrain_maps\Scanned_T_maps_all\M04\M04-3932")</f>
        <v>\\imagefiles.bcgov\imagery\scanned_maps\moe_terrain_maps\Scanned_T_maps_all\M04\M04-3932</v>
      </c>
      <c r="S2172" t="s">
        <v>62</v>
      </c>
      <c r="T2172" s="11" t="str">
        <f>HYPERLINK("http://www.env.gov.bc.ca/esd/distdata/ecosystems/TEI_Scanned_Maps/M04/M04-3932","http://www.env.gov.bc.ca/esd/distdata/ecosystems/TEI_Scanned_Maps/M04/M04-3932")</f>
        <v>http://www.env.gov.bc.ca/esd/distdata/ecosystems/TEI_Scanned_Maps/M04/M04-3932</v>
      </c>
      <c r="U2172" t="s">
        <v>58</v>
      </c>
      <c r="V2172" t="s">
        <v>58</v>
      </c>
      <c r="W2172" t="s">
        <v>58</v>
      </c>
      <c r="X2172" t="s">
        <v>58</v>
      </c>
      <c r="Y2172" t="s">
        <v>58</v>
      </c>
      <c r="Z2172" t="s">
        <v>58</v>
      </c>
      <c r="AA2172" t="s">
        <v>58</v>
      </c>
      <c r="AC2172" t="s">
        <v>58</v>
      </c>
      <c r="AE2172" t="s">
        <v>58</v>
      </c>
      <c r="AG2172" t="s">
        <v>63</v>
      </c>
      <c r="AH2172" s="11" t="str">
        <f t="shared" si="149"/>
        <v>mailto: soilterrain@victoria1.gov.bc.ca</v>
      </c>
    </row>
    <row r="2173" spans="1:34">
      <c r="A2173" t="s">
        <v>5021</v>
      </c>
      <c r="B2173" t="s">
        <v>56</v>
      </c>
      <c r="C2173" s="10" t="s">
        <v>5022</v>
      </c>
      <c r="D2173" t="s">
        <v>61</v>
      </c>
      <c r="E2173" t="s">
        <v>4633</v>
      </c>
      <c r="F2173" t="s">
        <v>5023</v>
      </c>
      <c r="G2173">
        <v>15840</v>
      </c>
      <c r="H2173">
        <v>1981</v>
      </c>
      <c r="I2173" t="s">
        <v>4635</v>
      </c>
      <c r="J2173" t="s">
        <v>61</v>
      </c>
      <c r="K2173" t="s">
        <v>58</v>
      </c>
      <c r="L2173" t="s">
        <v>58</v>
      </c>
      <c r="M2173" t="s">
        <v>58</v>
      </c>
      <c r="P2173" t="s">
        <v>61</v>
      </c>
      <c r="Q2173" t="s">
        <v>132</v>
      </c>
      <c r="R2173" s="11" t="str">
        <f>HYPERLINK("\\imagefiles.bcgov\imagery\scanned_maps\moe_terrain_maps\Scanned_T_maps_all\M05\M05-3947","\\imagefiles.bcgov\imagery\scanned_maps\moe_terrain_maps\Scanned_T_maps_all\M05\M05-3947")</f>
        <v>\\imagefiles.bcgov\imagery\scanned_maps\moe_terrain_maps\Scanned_T_maps_all\M05\M05-3947</v>
      </c>
      <c r="S2173" t="s">
        <v>62</v>
      </c>
      <c r="T2173" s="11" t="str">
        <f>HYPERLINK("http://www.env.gov.bc.ca/esd/distdata/ecosystems/TEI_Scanned_Maps/M05/M05-3947","http://www.env.gov.bc.ca/esd/distdata/ecosystems/TEI_Scanned_Maps/M05/M05-3947")</f>
        <v>http://www.env.gov.bc.ca/esd/distdata/ecosystems/TEI_Scanned_Maps/M05/M05-3947</v>
      </c>
      <c r="U2173" t="s">
        <v>269</v>
      </c>
      <c r="V2173" s="11" t="str">
        <f t="shared" ref="V2173:V2185" si="151">HYPERLINK("http://www.library.for.gov.bc.ca/#focus","http://www.library.for.gov.bc.ca/#focus")</f>
        <v>http://www.library.for.gov.bc.ca/#focus</v>
      </c>
      <c r="W2173" t="s">
        <v>58</v>
      </c>
      <c r="X2173" t="s">
        <v>58</v>
      </c>
      <c r="Y2173" t="s">
        <v>58</v>
      </c>
      <c r="Z2173" t="s">
        <v>58</v>
      </c>
      <c r="AA2173" t="s">
        <v>58</v>
      </c>
      <c r="AC2173" t="s">
        <v>58</v>
      </c>
      <c r="AE2173" t="s">
        <v>58</v>
      </c>
      <c r="AG2173" t="s">
        <v>63</v>
      </c>
      <c r="AH2173" s="11" t="str">
        <f t="shared" si="149"/>
        <v>mailto: soilterrain@victoria1.gov.bc.ca</v>
      </c>
    </row>
    <row r="2174" spans="1:34">
      <c r="A2174" t="s">
        <v>5024</v>
      </c>
      <c r="B2174" t="s">
        <v>56</v>
      </c>
      <c r="C2174" s="10" t="s">
        <v>2987</v>
      </c>
      <c r="D2174" t="s">
        <v>61</v>
      </c>
      <c r="E2174" t="s">
        <v>4633</v>
      </c>
      <c r="F2174" t="s">
        <v>5025</v>
      </c>
      <c r="G2174">
        <v>15840</v>
      </c>
      <c r="H2174">
        <v>1981</v>
      </c>
      <c r="I2174" t="s">
        <v>4635</v>
      </c>
      <c r="J2174" t="s">
        <v>61</v>
      </c>
      <c r="K2174" t="s">
        <v>58</v>
      </c>
      <c r="L2174" t="s">
        <v>58</v>
      </c>
      <c r="M2174" t="s">
        <v>58</v>
      </c>
      <c r="P2174" t="s">
        <v>61</v>
      </c>
      <c r="Q2174" t="s">
        <v>132</v>
      </c>
      <c r="R2174" s="11" t="str">
        <f>HYPERLINK("\\imagefiles.bcgov\imagery\scanned_maps\moe_terrain_maps\Scanned_T_maps_all\M05\M05-3948","\\imagefiles.bcgov\imagery\scanned_maps\moe_terrain_maps\Scanned_T_maps_all\M05\M05-3948")</f>
        <v>\\imagefiles.bcgov\imagery\scanned_maps\moe_terrain_maps\Scanned_T_maps_all\M05\M05-3948</v>
      </c>
      <c r="S2174" t="s">
        <v>62</v>
      </c>
      <c r="T2174" s="11" t="str">
        <f>HYPERLINK("http://www.env.gov.bc.ca/esd/distdata/ecosystems/TEI_Scanned_Maps/M05/M05-3948","http://www.env.gov.bc.ca/esd/distdata/ecosystems/TEI_Scanned_Maps/M05/M05-3948")</f>
        <v>http://www.env.gov.bc.ca/esd/distdata/ecosystems/TEI_Scanned_Maps/M05/M05-3948</v>
      </c>
      <c r="U2174" t="s">
        <v>269</v>
      </c>
      <c r="V2174" s="11" t="str">
        <f t="shared" si="151"/>
        <v>http://www.library.for.gov.bc.ca/#focus</v>
      </c>
      <c r="W2174" t="s">
        <v>58</v>
      </c>
      <c r="X2174" t="s">
        <v>58</v>
      </c>
      <c r="Y2174" t="s">
        <v>58</v>
      </c>
      <c r="Z2174" t="s">
        <v>58</v>
      </c>
      <c r="AA2174" t="s">
        <v>58</v>
      </c>
      <c r="AC2174" t="s">
        <v>58</v>
      </c>
      <c r="AE2174" t="s">
        <v>58</v>
      </c>
      <c r="AG2174" t="s">
        <v>63</v>
      </c>
      <c r="AH2174" s="11" t="str">
        <f t="shared" si="149"/>
        <v>mailto: soilterrain@victoria1.gov.bc.ca</v>
      </c>
    </row>
    <row r="2175" spans="1:34">
      <c r="A2175" t="s">
        <v>5026</v>
      </c>
      <c r="B2175" t="s">
        <v>56</v>
      </c>
      <c r="C2175" s="10" t="s">
        <v>5027</v>
      </c>
      <c r="D2175" t="s">
        <v>61</v>
      </c>
      <c r="E2175" t="s">
        <v>4633</v>
      </c>
      <c r="F2175" t="s">
        <v>5028</v>
      </c>
      <c r="G2175">
        <v>15840</v>
      </c>
      <c r="H2175">
        <v>1981</v>
      </c>
      <c r="I2175" t="s">
        <v>4635</v>
      </c>
      <c r="J2175" t="s">
        <v>61</v>
      </c>
      <c r="K2175" t="s">
        <v>58</v>
      </c>
      <c r="L2175" t="s">
        <v>58</v>
      </c>
      <c r="M2175" t="s">
        <v>58</v>
      </c>
      <c r="P2175" t="s">
        <v>61</v>
      </c>
      <c r="Q2175" t="s">
        <v>132</v>
      </c>
      <c r="R2175" s="11" t="str">
        <f>HYPERLINK("\\imagefiles.bcgov\imagery\scanned_maps\moe_terrain_maps\Scanned_T_maps_all\M05\M05-3949","\\imagefiles.bcgov\imagery\scanned_maps\moe_terrain_maps\Scanned_T_maps_all\M05\M05-3949")</f>
        <v>\\imagefiles.bcgov\imagery\scanned_maps\moe_terrain_maps\Scanned_T_maps_all\M05\M05-3949</v>
      </c>
      <c r="S2175" t="s">
        <v>62</v>
      </c>
      <c r="T2175" s="11" t="str">
        <f>HYPERLINK("http://www.env.gov.bc.ca/esd/distdata/ecosystems/TEI_Scanned_Maps/M05/M05-3949","http://www.env.gov.bc.ca/esd/distdata/ecosystems/TEI_Scanned_Maps/M05/M05-3949")</f>
        <v>http://www.env.gov.bc.ca/esd/distdata/ecosystems/TEI_Scanned_Maps/M05/M05-3949</v>
      </c>
      <c r="U2175" t="s">
        <v>269</v>
      </c>
      <c r="V2175" s="11" t="str">
        <f t="shared" si="151"/>
        <v>http://www.library.for.gov.bc.ca/#focus</v>
      </c>
      <c r="W2175" t="s">
        <v>58</v>
      </c>
      <c r="X2175" t="s">
        <v>58</v>
      </c>
      <c r="Y2175" t="s">
        <v>58</v>
      </c>
      <c r="Z2175" t="s">
        <v>58</v>
      </c>
      <c r="AA2175" t="s">
        <v>58</v>
      </c>
      <c r="AC2175" t="s">
        <v>58</v>
      </c>
      <c r="AE2175" t="s">
        <v>58</v>
      </c>
      <c r="AG2175" t="s">
        <v>63</v>
      </c>
      <c r="AH2175" s="11" t="str">
        <f t="shared" si="149"/>
        <v>mailto: soilterrain@victoria1.gov.bc.ca</v>
      </c>
    </row>
    <row r="2176" spans="1:34">
      <c r="A2176" t="s">
        <v>5029</v>
      </c>
      <c r="B2176" t="s">
        <v>56</v>
      </c>
      <c r="C2176" s="10" t="s">
        <v>5030</v>
      </c>
      <c r="D2176" t="s">
        <v>61</v>
      </c>
      <c r="E2176" t="s">
        <v>4633</v>
      </c>
      <c r="F2176" t="s">
        <v>5031</v>
      </c>
      <c r="G2176">
        <v>15840</v>
      </c>
      <c r="H2176">
        <v>1981</v>
      </c>
      <c r="I2176" t="s">
        <v>4635</v>
      </c>
      <c r="J2176" t="s">
        <v>61</v>
      </c>
      <c r="K2176" t="s">
        <v>58</v>
      </c>
      <c r="L2176" t="s">
        <v>58</v>
      </c>
      <c r="M2176" t="s">
        <v>58</v>
      </c>
      <c r="P2176" t="s">
        <v>61</v>
      </c>
      <c r="Q2176" t="s">
        <v>132</v>
      </c>
      <c r="R2176" s="11" t="str">
        <f>HYPERLINK("\\imagefiles.bcgov\imagery\scanned_maps\moe_terrain_maps\Scanned_T_maps_all\M05\M05-3950","\\imagefiles.bcgov\imagery\scanned_maps\moe_terrain_maps\Scanned_T_maps_all\M05\M05-3950")</f>
        <v>\\imagefiles.bcgov\imagery\scanned_maps\moe_terrain_maps\Scanned_T_maps_all\M05\M05-3950</v>
      </c>
      <c r="S2176" t="s">
        <v>62</v>
      </c>
      <c r="T2176" s="11" t="str">
        <f>HYPERLINK("http://www.env.gov.bc.ca/esd/distdata/ecosystems/TEI_Scanned_Maps/M05/M05-3950","http://www.env.gov.bc.ca/esd/distdata/ecosystems/TEI_Scanned_Maps/M05/M05-3950")</f>
        <v>http://www.env.gov.bc.ca/esd/distdata/ecosystems/TEI_Scanned_Maps/M05/M05-3950</v>
      </c>
      <c r="U2176" t="s">
        <v>269</v>
      </c>
      <c r="V2176" s="11" t="str">
        <f t="shared" si="151"/>
        <v>http://www.library.for.gov.bc.ca/#focus</v>
      </c>
      <c r="W2176" t="s">
        <v>58</v>
      </c>
      <c r="X2176" t="s">
        <v>58</v>
      </c>
      <c r="Y2176" t="s">
        <v>58</v>
      </c>
      <c r="Z2176" t="s">
        <v>58</v>
      </c>
      <c r="AA2176" t="s">
        <v>58</v>
      </c>
      <c r="AC2176" t="s">
        <v>58</v>
      </c>
      <c r="AE2176" t="s">
        <v>58</v>
      </c>
      <c r="AG2176" t="s">
        <v>63</v>
      </c>
      <c r="AH2176" s="11" t="str">
        <f t="shared" si="149"/>
        <v>mailto: soilterrain@victoria1.gov.bc.ca</v>
      </c>
    </row>
    <row r="2177" spans="1:34">
      <c r="A2177" t="s">
        <v>5032</v>
      </c>
      <c r="B2177" t="s">
        <v>56</v>
      </c>
      <c r="C2177" s="10" t="s">
        <v>5033</v>
      </c>
      <c r="D2177" t="s">
        <v>61</v>
      </c>
      <c r="E2177" t="s">
        <v>4633</v>
      </c>
      <c r="F2177" t="s">
        <v>5034</v>
      </c>
      <c r="G2177">
        <v>15840</v>
      </c>
      <c r="H2177">
        <v>1981</v>
      </c>
      <c r="I2177" t="s">
        <v>4635</v>
      </c>
      <c r="J2177" t="s">
        <v>61</v>
      </c>
      <c r="K2177" t="s">
        <v>58</v>
      </c>
      <c r="L2177" t="s">
        <v>58</v>
      </c>
      <c r="M2177" t="s">
        <v>58</v>
      </c>
      <c r="P2177" t="s">
        <v>61</v>
      </c>
      <c r="Q2177" t="s">
        <v>132</v>
      </c>
      <c r="R2177" s="11" t="str">
        <f>HYPERLINK("\\imagefiles.bcgov\imagery\scanned_maps\moe_terrain_maps\Scanned_T_maps_all\M05\M05-3951","\\imagefiles.bcgov\imagery\scanned_maps\moe_terrain_maps\Scanned_T_maps_all\M05\M05-3951")</f>
        <v>\\imagefiles.bcgov\imagery\scanned_maps\moe_terrain_maps\Scanned_T_maps_all\M05\M05-3951</v>
      </c>
      <c r="S2177" t="s">
        <v>62</v>
      </c>
      <c r="T2177" s="11" t="str">
        <f>HYPERLINK("http://www.env.gov.bc.ca/esd/distdata/ecosystems/TEI_Scanned_Maps/M05/M05-3951","http://www.env.gov.bc.ca/esd/distdata/ecosystems/TEI_Scanned_Maps/M05/M05-3951")</f>
        <v>http://www.env.gov.bc.ca/esd/distdata/ecosystems/TEI_Scanned_Maps/M05/M05-3951</v>
      </c>
      <c r="U2177" t="s">
        <v>269</v>
      </c>
      <c r="V2177" s="11" t="str">
        <f t="shared" si="151"/>
        <v>http://www.library.for.gov.bc.ca/#focus</v>
      </c>
      <c r="W2177" t="s">
        <v>58</v>
      </c>
      <c r="X2177" t="s">
        <v>58</v>
      </c>
      <c r="Y2177" t="s">
        <v>58</v>
      </c>
      <c r="Z2177" t="s">
        <v>58</v>
      </c>
      <c r="AA2177" t="s">
        <v>58</v>
      </c>
      <c r="AC2177" t="s">
        <v>58</v>
      </c>
      <c r="AE2177" t="s">
        <v>58</v>
      </c>
      <c r="AG2177" t="s">
        <v>63</v>
      </c>
      <c r="AH2177" s="11" t="str">
        <f t="shared" si="149"/>
        <v>mailto: soilterrain@victoria1.gov.bc.ca</v>
      </c>
    </row>
    <row r="2178" spans="1:34">
      <c r="A2178" t="s">
        <v>5035</v>
      </c>
      <c r="B2178" t="s">
        <v>56</v>
      </c>
      <c r="C2178" s="10" t="s">
        <v>1218</v>
      </c>
      <c r="D2178" t="s">
        <v>58</v>
      </c>
      <c r="E2178" t="s">
        <v>5036</v>
      </c>
      <c r="F2178" t="s">
        <v>5037</v>
      </c>
      <c r="G2178">
        <v>50000</v>
      </c>
      <c r="H2178" t="s">
        <v>187</v>
      </c>
      <c r="I2178" t="s">
        <v>4635</v>
      </c>
      <c r="J2178" t="s">
        <v>61</v>
      </c>
      <c r="K2178" t="s">
        <v>61</v>
      </c>
      <c r="L2178" t="s">
        <v>58</v>
      </c>
      <c r="M2178" t="s">
        <v>58</v>
      </c>
      <c r="Q2178" t="s">
        <v>58</v>
      </c>
      <c r="R2178" s="11" t="str">
        <f>HYPERLINK("\\imagefiles.bcgov\imagery\scanned_maps\moe_terrain_maps\Scanned_T_maps_all\M05\M05-3975","\\imagefiles.bcgov\imagery\scanned_maps\moe_terrain_maps\Scanned_T_maps_all\M05\M05-3975")</f>
        <v>\\imagefiles.bcgov\imagery\scanned_maps\moe_terrain_maps\Scanned_T_maps_all\M05\M05-3975</v>
      </c>
      <c r="S2178" t="s">
        <v>62</v>
      </c>
      <c r="T2178" s="11" t="str">
        <f>HYPERLINK("http://www.env.gov.bc.ca/esd/distdata/ecosystems/TEI_Scanned_Maps/M05/M05-3975","http://www.env.gov.bc.ca/esd/distdata/ecosystems/TEI_Scanned_Maps/M05/M05-3975")</f>
        <v>http://www.env.gov.bc.ca/esd/distdata/ecosystems/TEI_Scanned_Maps/M05/M05-3975</v>
      </c>
      <c r="U2178" t="s">
        <v>269</v>
      </c>
      <c r="V2178" s="11" t="str">
        <f t="shared" si="151"/>
        <v>http://www.library.for.gov.bc.ca/#focus</v>
      </c>
      <c r="W2178" t="s">
        <v>58</v>
      </c>
      <c r="X2178" t="s">
        <v>58</v>
      </c>
      <c r="Y2178" t="s">
        <v>58</v>
      </c>
      <c r="Z2178" t="s">
        <v>58</v>
      </c>
      <c r="AA2178" t="s">
        <v>58</v>
      </c>
      <c r="AC2178" t="s">
        <v>58</v>
      </c>
      <c r="AE2178" t="s">
        <v>58</v>
      </c>
      <c r="AG2178" t="s">
        <v>63</v>
      </c>
      <c r="AH2178" s="11" t="str">
        <f t="shared" ref="AH2178:AH2241" si="152">HYPERLINK("mailto: soilterrain@victoria1.gov.bc.ca","mailto: soilterrain@victoria1.gov.bc.ca")</f>
        <v>mailto: soilterrain@victoria1.gov.bc.ca</v>
      </c>
    </row>
    <row r="2179" spans="1:34">
      <c r="A2179" t="s">
        <v>5038</v>
      </c>
      <c r="B2179" t="s">
        <v>56</v>
      </c>
      <c r="C2179" s="10" t="s">
        <v>1220</v>
      </c>
      <c r="D2179" t="s">
        <v>58</v>
      </c>
      <c r="E2179" t="s">
        <v>5039</v>
      </c>
      <c r="F2179" t="s">
        <v>5040</v>
      </c>
      <c r="G2179">
        <v>50000</v>
      </c>
      <c r="H2179" t="s">
        <v>187</v>
      </c>
      <c r="I2179" t="s">
        <v>4635</v>
      </c>
      <c r="J2179" t="s">
        <v>61</v>
      </c>
      <c r="K2179" t="s">
        <v>61</v>
      </c>
      <c r="L2179" t="s">
        <v>58</v>
      </c>
      <c r="M2179" t="s">
        <v>58</v>
      </c>
      <c r="Q2179" t="s">
        <v>58</v>
      </c>
      <c r="R2179" s="11" t="str">
        <f>HYPERLINK("\\imagefiles.bcgov\imagery\scanned_maps\moe_terrain_maps\Scanned_T_maps_all\M05\M05-3992","\\imagefiles.bcgov\imagery\scanned_maps\moe_terrain_maps\Scanned_T_maps_all\M05\M05-3992")</f>
        <v>\\imagefiles.bcgov\imagery\scanned_maps\moe_terrain_maps\Scanned_T_maps_all\M05\M05-3992</v>
      </c>
      <c r="S2179" t="s">
        <v>62</v>
      </c>
      <c r="T2179" s="11" t="str">
        <f>HYPERLINK("http://www.env.gov.bc.ca/esd/distdata/ecosystems/TEI_Scanned_Maps/M05/M05-3992","http://www.env.gov.bc.ca/esd/distdata/ecosystems/TEI_Scanned_Maps/M05/M05-3992")</f>
        <v>http://www.env.gov.bc.ca/esd/distdata/ecosystems/TEI_Scanned_Maps/M05/M05-3992</v>
      </c>
      <c r="U2179" t="s">
        <v>269</v>
      </c>
      <c r="V2179" s="11" t="str">
        <f t="shared" si="151"/>
        <v>http://www.library.for.gov.bc.ca/#focus</v>
      </c>
      <c r="W2179" t="s">
        <v>58</v>
      </c>
      <c r="X2179" t="s">
        <v>58</v>
      </c>
      <c r="Y2179" t="s">
        <v>58</v>
      </c>
      <c r="Z2179" t="s">
        <v>58</v>
      </c>
      <c r="AA2179" t="s">
        <v>58</v>
      </c>
      <c r="AC2179" t="s">
        <v>58</v>
      </c>
      <c r="AE2179" t="s">
        <v>58</v>
      </c>
      <c r="AG2179" t="s">
        <v>63</v>
      </c>
      <c r="AH2179" s="11" t="str">
        <f t="shared" si="152"/>
        <v>mailto: soilterrain@victoria1.gov.bc.ca</v>
      </c>
    </row>
    <row r="2180" spans="1:34">
      <c r="A2180" t="s">
        <v>5041</v>
      </c>
      <c r="B2180" t="s">
        <v>56</v>
      </c>
      <c r="C2180" s="10" t="s">
        <v>1215</v>
      </c>
      <c r="D2180" t="s">
        <v>58</v>
      </c>
      <c r="E2180" t="s">
        <v>5042</v>
      </c>
      <c r="F2180" t="s">
        <v>5043</v>
      </c>
      <c r="G2180">
        <v>50000</v>
      </c>
      <c r="H2180" t="s">
        <v>187</v>
      </c>
      <c r="I2180" t="s">
        <v>4635</v>
      </c>
      <c r="J2180" t="s">
        <v>61</v>
      </c>
      <c r="K2180" t="s">
        <v>61</v>
      </c>
      <c r="L2180" t="s">
        <v>58</v>
      </c>
      <c r="M2180" t="s">
        <v>58</v>
      </c>
      <c r="Q2180" t="s">
        <v>58</v>
      </c>
      <c r="R2180" s="11" t="str">
        <f>HYPERLINK("\\imagefiles.bcgov\imagery\scanned_maps\moe_terrain_maps\Scanned_T_maps_all\M06\M06-4007","\\imagefiles.bcgov\imagery\scanned_maps\moe_terrain_maps\Scanned_T_maps_all\M06\M06-4007")</f>
        <v>\\imagefiles.bcgov\imagery\scanned_maps\moe_terrain_maps\Scanned_T_maps_all\M06\M06-4007</v>
      </c>
      <c r="S2180" t="s">
        <v>62</v>
      </c>
      <c r="T2180" s="11" t="str">
        <f>HYPERLINK("http://www.env.gov.bc.ca/esd/distdata/ecosystems/TEI_Scanned_Maps/M06/M06-4007","http://www.env.gov.bc.ca/esd/distdata/ecosystems/TEI_Scanned_Maps/M06/M06-4007")</f>
        <v>http://www.env.gov.bc.ca/esd/distdata/ecosystems/TEI_Scanned_Maps/M06/M06-4007</v>
      </c>
      <c r="U2180" t="s">
        <v>269</v>
      </c>
      <c r="V2180" s="11" t="str">
        <f t="shared" si="151"/>
        <v>http://www.library.for.gov.bc.ca/#focus</v>
      </c>
      <c r="W2180" t="s">
        <v>58</v>
      </c>
      <c r="X2180" t="s">
        <v>58</v>
      </c>
      <c r="Y2180" t="s">
        <v>58</v>
      </c>
      <c r="Z2180" t="s">
        <v>58</v>
      </c>
      <c r="AA2180" t="s">
        <v>58</v>
      </c>
      <c r="AC2180" t="s">
        <v>58</v>
      </c>
      <c r="AE2180" t="s">
        <v>58</v>
      </c>
      <c r="AG2180" t="s">
        <v>63</v>
      </c>
      <c r="AH2180" s="11" t="str">
        <f t="shared" si="152"/>
        <v>mailto: soilterrain@victoria1.gov.bc.ca</v>
      </c>
    </row>
    <row r="2181" spans="1:34">
      <c r="A2181" t="s">
        <v>5044</v>
      </c>
      <c r="B2181" t="s">
        <v>56</v>
      </c>
      <c r="C2181" s="10" t="s">
        <v>2204</v>
      </c>
      <c r="D2181" t="s">
        <v>58</v>
      </c>
      <c r="E2181" t="s">
        <v>5045</v>
      </c>
      <c r="F2181" t="s">
        <v>5046</v>
      </c>
      <c r="G2181">
        <v>50000</v>
      </c>
      <c r="H2181" t="s">
        <v>187</v>
      </c>
      <c r="I2181" t="s">
        <v>4635</v>
      </c>
      <c r="J2181" t="s">
        <v>61</v>
      </c>
      <c r="K2181" t="s">
        <v>61</v>
      </c>
      <c r="L2181" t="s">
        <v>58</v>
      </c>
      <c r="M2181" t="s">
        <v>58</v>
      </c>
      <c r="Q2181" t="s">
        <v>58</v>
      </c>
      <c r="R2181" s="11" t="str">
        <f>HYPERLINK("\\imagefiles.bcgov\imagery\scanned_maps\moe_terrain_maps\Scanned_T_maps_all\M06\M06-4023","\\imagefiles.bcgov\imagery\scanned_maps\moe_terrain_maps\Scanned_T_maps_all\M06\M06-4023")</f>
        <v>\\imagefiles.bcgov\imagery\scanned_maps\moe_terrain_maps\Scanned_T_maps_all\M06\M06-4023</v>
      </c>
      <c r="S2181" t="s">
        <v>62</v>
      </c>
      <c r="T2181" s="11" t="str">
        <f>HYPERLINK("http://www.env.gov.bc.ca/esd/distdata/ecosystems/TEI_Scanned_Maps/M06/M06-4023","http://www.env.gov.bc.ca/esd/distdata/ecosystems/TEI_Scanned_Maps/M06/M06-4023")</f>
        <v>http://www.env.gov.bc.ca/esd/distdata/ecosystems/TEI_Scanned_Maps/M06/M06-4023</v>
      </c>
      <c r="U2181" t="s">
        <v>269</v>
      </c>
      <c r="V2181" s="11" t="str">
        <f t="shared" si="151"/>
        <v>http://www.library.for.gov.bc.ca/#focus</v>
      </c>
      <c r="W2181" t="s">
        <v>58</v>
      </c>
      <c r="X2181" t="s">
        <v>58</v>
      </c>
      <c r="Y2181" t="s">
        <v>58</v>
      </c>
      <c r="Z2181" t="s">
        <v>58</v>
      </c>
      <c r="AA2181" t="s">
        <v>58</v>
      </c>
      <c r="AC2181" t="s">
        <v>58</v>
      </c>
      <c r="AE2181" t="s">
        <v>58</v>
      </c>
      <c r="AG2181" t="s">
        <v>63</v>
      </c>
      <c r="AH2181" s="11" t="str">
        <f t="shared" si="152"/>
        <v>mailto: soilterrain@victoria1.gov.bc.ca</v>
      </c>
    </row>
    <row r="2182" spans="1:34">
      <c r="A2182" t="s">
        <v>5047</v>
      </c>
      <c r="B2182" t="s">
        <v>56</v>
      </c>
      <c r="C2182" s="10" t="s">
        <v>1222</v>
      </c>
      <c r="D2182" t="s">
        <v>58</v>
      </c>
      <c r="E2182" t="s">
        <v>5048</v>
      </c>
      <c r="F2182" t="s">
        <v>5049</v>
      </c>
      <c r="G2182">
        <v>50000</v>
      </c>
      <c r="H2182" t="s">
        <v>187</v>
      </c>
      <c r="I2182" t="s">
        <v>4635</v>
      </c>
      <c r="J2182" t="s">
        <v>61</v>
      </c>
      <c r="K2182" t="s">
        <v>61</v>
      </c>
      <c r="L2182" t="s">
        <v>58</v>
      </c>
      <c r="M2182" t="s">
        <v>58</v>
      </c>
      <c r="Q2182" t="s">
        <v>58</v>
      </c>
      <c r="R2182" s="11" t="str">
        <f>HYPERLINK("\\imagefiles.bcgov\imagery\scanned_maps\moe_terrain_maps\Scanned_T_maps_all\M06\M06-4040","\\imagefiles.bcgov\imagery\scanned_maps\moe_terrain_maps\Scanned_T_maps_all\M06\M06-4040")</f>
        <v>\\imagefiles.bcgov\imagery\scanned_maps\moe_terrain_maps\Scanned_T_maps_all\M06\M06-4040</v>
      </c>
      <c r="S2182" t="s">
        <v>62</v>
      </c>
      <c r="T2182" s="11" t="str">
        <f>HYPERLINK("http://www.env.gov.bc.ca/esd/distdata/ecosystems/TEI_Scanned_Maps/M06/M06-4040","http://www.env.gov.bc.ca/esd/distdata/ecosystems/TEI_Scanned_Maps/M06/M06-4040")</f>
        <v>http://www.env.gov.bc.ca/esd/distdata/ecosystems/TEI_Scanned_Maps/M06/M06-4040</v>
      </c>
      <c r="U2182" t="s">
        <v>269</v>
      </c>
      <c r="V2182" s="11" t="str">
        <f t="shared" si="151"/>
        <v>http://www.library.for.gov.bc.ca/#focus</v>
      </c>
      <c r="W2182" t="s">
        <v>58</v>
      </c>
      <c r="X2182" t="s">
        <v>58</v>
      </c>
      <c r="Y2182" t="s">
        <v>58</v>
      </c>
      <c r="Z2182" t="s">
        <v>58</v>
      </c>
      <c r="AA2182" t="s">
        <v>58</v>
      </c>
      <c r="AC2182" t="s">
        <v>58</v>
      </c>
      <c r="AE2182" t="s">
        <v>58</v>
      </c>
      <c r="AG2182" t="s">
        <v>63</v>
      </c>
      <c r="AH2182" s="11" t="str">
        <f t="shared" si="152"/>
        <v>mailto: soilterrain@victoria1.gov.bc.ca</v>
      </c>
    </row>
    <row r="2183" spans="1:34">
      <c r="A2183" t="s">
        <v>5050</v>
      </c>
      <c r="B2183" t="s">
        <v>56</v>
      </c>
      <c r="C2183" s="10" t="s">
        <v>145</v>
      </c>
      <c r="D2183" t="s">
        <v>58</v>
      </c>
      <c r="E2183" t="s">
        <v>5051</v>
      </c>
      <c r="F2183" t="s">
        <v>5052</v>
      </c>
      <c r="G2183">
        <v>50000</v>
      </c>
      <c r="H2183" t="s">
        <v>187</v>
      </c>
      <c r="I2183" t="s">
        <v>4635</v>
      </c>
      <c r="J2183" t="s">
        <v>61</v>
      </c>
      <c r="K2183" t="s">
        <v>61</v>
      </c>
      <c r="L2183" t="s">
        <v>58</v>
      </c>
      <c r="M2183" t="s">
        <v>58</v>
      </c>
      <c r="Q2183" t="s">
        <v>58</v>
      </c>
      <c r="R2183" s="11" t="str">
        <f>HYPERLINK("\\imagefiles.bcgov\imagery\scanned_maps\moe_terrain_maps\Scanned_T_maps_all\M08\M08-4167","\\imagefiles.bcgov\imagery\scanned_maps\moe_terrain_maps\Scanned_T_maps_all\M08\M08-4167")</f>
        <v>\\imagefiles.bcgov\imagery\scanned_maps\moe_terrain_maps\Scanned_T_maps_all\M08\M08-4167</v>
      </c>
      <c r="S2183" t="s">
        <v>62</v>
      </c>
      <c r="T2183" s="11" t="str">
        <f>HYPERLINK("http://www.env.gov.bc.ca/esd/distdata/ecosystems/TEI_Scanned_Maps/M08/M08-4167","http://www.env.gov.bc.ca/esd/distdata/ecosystems/TEI_Scanned_Maps/M08/M08-4167")</f>
        <v>http://www.env.gov.bc.ca/esd/distdata/ecosystems/TEI_Scanned_Maps/M08/M08-4167</v>
      </c>
      <c r="U2183" t="s">
        <v>269</v>
      </c>
      <c r="V2183" s="11" t="str">
        <f t="shared" si="151"/>
        <v>http://www.library.for.gov.bc.ca/#focus</v>
      </c>
      <c r="W2183" t="s">
        <v>58</v>
      </c>
      <c r="X2183" t="s">
        <v>58</v>
      </c>
      <c r="Y2183" t="s">
        <v>58</v>
      </c>
      <c r="Z2183" t="s">
        <v>58</v>
      </c>
      <c r="AA2183" t="s">
        <v>58</v>
      </c>
      <c r="AC2183" t="s">
        <v>58</v>
      </c>
      <c r="AE2183" t="s">
        <v>58</v>
      </c>
      <c r="AG2183" t="s">
        <v>63</v>
      </c>
      <c r="AH2183" s="11" t="str">
        <f t="shared" si="152"/>
        <v>mailto: soilterrain@victoria1.gov.bc.ca</v>
      </c>
    </row>
    <row r="2184" spans="1:34">
      <c r="A2184" t="s">
        <v>5053</v>
      </c>
      <c r="B2184" t="s">
        <v>56</v>
      </c>
      <c r="C2184" s="10" t="s">
        <v>1233</v>
      </c>
      <c r="D2184" t="s">
        <v>58</v>
      </c>
      <c r="E2184" t="s">
        <v>5054</v>
      </c>
      <c r="F2184" t="s">
        <v>5055</v>
      </c>
      <c r="G2184">
        <v>50000</v>
      </c>
      <c r="H2184" t="s">
        <v>187</v>
      </c>
      <c r="I2184" t="s">
        <v>4635</v>
      </c>
      <c r="J2184" t="s">
        <v>61</v>
      </c>
      <c r="K2184" t="s">
        <v>61</v>
      </c>
      <c r="L2184" t="s">
        <v>58</v>
      </c>
      <c r="M2184" t="s">
        <v>58</v>
      </c>
      <c r="Q2184" t="s">
        <v>58</v>
      </c>
      <c r="R2184" s="11" t="str">
        <f>HYPERLINK("\\imagefiles.bcgov\imagery\scanned_maps\moe_terrain_maps\Scanned_T_maps_all\M08\M08-4181","\\imagefiles.bcgov\imagery\scanned_maps\moe_terrain_maps\Scanned_T_maps_all\M08\M08-4181")</f>
        <v>\\imagefiles.bcgov\imagery\scanned_maps\moe_terrain_maps\Scanned_T_maps_all\M08\M08-4181</v>
      </c>
      <c r="S2184" t="s">
        <v>62</v>
      </c>
      <c r="T2184" s="11" t="str">
        <f>HYPERLINK("http://www.env.gov.bc.ca/esd/distdata/ecosystems/TEI_Scanned_Maps/M08/M08-4181","http://www.env.gov.bc.ca/esd/distdata/ecosystems/TEI_Scanned_Maps/M08/M08-4181")</f>
        <v>http://www.env.gov.bc.ca/esd/distdata/ecosystems/TEI_Scanned_Maps/M08/M08-4181</v>
      </c>
      <c r="U2184" t="s">
        <v>269</v>
      </c>
      <c r="V2184" s="11" t="str">
        <f t="shared" si="151"/>
        <v>http://www.library.for.gov.bc.ca/#focus</v>
      </c>
      <c r="W2184" t="s">
        <v>58</v>
      </c>
      <c r="X2184" t="s">
        <v>58</v>
      </c>
      <c r="Y2184" t="s">
        <v>58</v>
      </c>
      <c r="Z2184" t="s">
        <v>58</v>
      </c>
      <c r="AA2184" t="s">
        <v>58</v>
      </c>
      <c r="AC2184" t="s">
        <v>58</v>
      </c>
      <c r="AE2184" t="s">
        <v>58</v>
      </c>
      <c r="AG2184" t="s">
        <v>63</v>
      </c>
      <c r="AH2184" s="11" t="str">
        <f t="shared" si="152"/>
        <v>mailto: soilterrain@victoria1.gov.bc.ca</v>
      </c>
    </row>
    <row r="2185" spans="1:34">
      <c r="A2185" t="s">
        <v>5056</v>
      </c>
      <c r="B2185" t="s">
        <v>56</v>
      </c>
      <c r="C2185" s="10" t="s">
        <v>5057</v>
      </c>
      <c r="D2185" t="s">
        <v>58</v>
      </c>
      <c r="E2185" t="s">
        <v>5058</v>
      </c>
      <c r="F2185" t="s">
        <v>5059</v>
      </c>
      <c r="G2185">
        <v>500000</v>
      </c>
      <c r="H2185" t="s">
        <v>187</v>
      </c>
      <c r="I2185" t="s">
        <v>4635</v>
      </c>
      <c r="J2185" t="s">
        <v>61</v>
      </c>
      <c r="K2185" t="s">
        <v>61</v>
      </c>
      <c r="L2185" t="s">
        <v>58</v>
      </c>
      <c r="M2185" t="s">
        <v>58</v>
      </c>
      <c r="Q2185" t="s">
        <v>58</v>
      </c>
      <c r="R2185" s="11" t="str">
        <f>HYPERLINK("\\imagefiles.bcgov\imagery\scanned_maps\moe_terrain_maps\Scanned_T_maps_all\M09\M09-4202","\\imagefiles.bcgov\imagery\scanned_maps\moe_terrain_maps\Scanned_T_maps_all\M09\M09-4202")</f>
        <v>\\imagefiles.bcgov\imagery\scanned_maps\moe_terrain_maps\Scanned_T_maps_all\M09\M09-4202</v>
      </c>
      <c r="S2185" t="s">
        <v>62</v>
      </c>
      <c r="T2185" s="11" t="str">
        <f>HYPERLINK("http://www.env.gov.bc.ca/esd/distdata/ecosystems/TEI_Scanned_Maps/M09/M09-4202","http://www.env.gov.bc.ca/esd/distdata/ecosystems/TEI_Scanned_Maps/M09/M09-4202")</f>
        <v>http://www.env.gov.bc.ca/esd/distdata/ecosystems/TEI_Scanned_Maps/M09/M09-4202</v>
      </c>
      <c r="U2185" t="s">
        <v>269</v>
      </c>
      <c r="V2185" s="11" t="str">
        <f t="shared" si="151"/>
        <v>http://www.library.for.gov.bc.ca/#focus</v>
      </c>
      <c r="W2185" t="s">
        <v>58</v>
      </c>
      <c r="X2185" t="s">
        <v>58</v>
      </c>
      <c r="Y2185" t="s">
        <v>58</v>
      </c>
      <c r="Z2185" t="s">
        <v>58</v>
      </c>
      <c r="AA2185" t="s">
        <v>58</v>
      </c>
      <c r="AC2185" t="s">
        <v>58</v>
      </c>
      <c r="AE2185" t="s">
        <v>58</v>
      </c>
      <c r="AG2185" t="s">
        <v>63</v>
      </c>
      <c r="AH2185" s="11" t="str">
        <f t="shared" si="152"/>
        <v>mailto: soilterrain@victoria1.gov.bc.ca</v>
      </c>
    </row>
    <row r="2186" spans="1:34">
      <c r="A2186" t="s">
        <v>5060</v>
      </c>
      <c r="B2186" t="s">
        <v>56</v>
      </c>
      <c r="C2186" s="10" t="s">
        <v>5061</v>
      </c>
      <c r="D2186" t="s">
        <v>58</v>
      </c>
      <c r="E2186" t="s">
        <v>5062</v>
      </c>
      <c r="F2186" t="s">
        <v>5063</v>
      </c>
      <c r="G2186">
        <v>50000</v>
      </c>
      <c r="H2186" t="s">
        <v>187</v>
      </c>
      <c r="I2186" t="s">
        <v>5064</v>
      </c>
      <c r="J2186" t="s">
        <v>61</v>
      </c>
      <c r="K2186" t="s">
        <v>58</v>
      </c>
      <c r="L2186" t="s">
        <v>61</v>
      </c>
      <c r="M2186" t="s">
        <v>58</v>
      </c>
      <c r="Q2186" t="s">
        <v>58</v>
      </c>
      <c r="R2186" s="11" t="str">
        <f>HYPERLINK("\\imagefiles.bcgov\imagery\scanned_maps\moe_terrain_maps\Scanned_T_maps_all\M10\M10-1649","\\imagefiles.bcgov\imagery\scanned_maps\moe_terrain_maps\Scanned_T_maps_all\M10\M10-1649")</f>
        <v>\\imagefiles.bcgov\imagery\scanned_maps\moe_terrain_maps\Scanned_T_maps_all\M10\M10-1649</v>
      </c>
      <c r="S2186" t="s">
        <v>62</v>
      </c>
      <c r="T2186" s="11" t="str">
        <f>HYPERLINK("http://www.env.gov.bc.ca/esd/distdata/ecosystems/TEI_Scanned_Maps/M10/M10-1649","http://www.env.gov.bc.ca/esd/distdata/ecosystems/TEI_Scanned_Maps/M10/M10-1649")</f>
        <v>http://www.env.gov.bc.ca/esd/distdata/ecosystems/TEI_Scanned_Maps/M10/M10-1649</v>
      </c>
      <c r="U2186" t="s">
        <v>58</v>
      </c>
      <c r="V2186" t="s">
        <v>58</v>
      </c>
      <c r="W2186" t="s">
        <v>58</v>
      </c>
      <c r="X2186" t="s">
        <v>58</v>
      </c>
      <c r="Y2186" t="s">
        <v>58</v>
      </c>
      <c r="Z2186" t="s">
        <v>58</v>
      </c>
      <c r="AA2186" t="s">
        <v>58</v>
      </c>
      <c r="AC2186" t="s">
        <v>58</v>
      </c>
      <c r="AE2186" t="s">
        <v>58</v>
      </c>
      <c r="AG2186" t="s">
        <v>63</v>
      </c>
      <c r="AH2186" s="11" t="str">
        <f t="shared" si="152"/>
        <v>mailto: soilterrain@victoria1.gov.bc.ca</v>
      </c>
    </row>
    <row r="2187" spans="1:34">
      <c r="A2187" t="s">
        <v>5065</v>
      </c>
      <c r="B2187" t="s">
        <v>56</v>
      </c>
      <c r="C2187" s="10" t="s">
        <v>5061</v>
      </c>
      <c r="D2187" t="s">
        <v>58</v>
      </c>
      <c r="E2187" t="s">
        <v>5062</v>
      </c>
      <c r="F2187" t="s">
        <v>5066</v>
      </c>
      <c r="G2187">
        <v>50000</v>
      </c>
      <c r="H2187" t="s">
        <v>187</v>
      </c>
      <c r="I2187" t="s">
        <v>58</v>
      </c>
      <c r="J2187" t="s">
        <v>61</v>
      </c>
      <c r="K2187" t="s">
        <v>61</v>
      </c>
      <c r="L2187" t="s">
        <v>58</v>
      </c>
      <c r="M2187" t="s">
        <v>58</v>
      </c>
      <c r="Q2187" t="s">
        <v>58</v>
      </c>
      <c r="R2187" s="11" t="str">
        <f>HYPERLINK("\\imagefiles.bcgov\imagery\scanned_maps\moe_terrain_maps\Scanned_T_maps_all\M10\M10-1650","\\imagefiles.bcgov\imagery\scanned_maps\moe_terrain_maps\Scanned_T_maps_all\M10\M10-1650")</f>
        <v>\\imagefiles.bcgov\imagery\scanned_maps\moe_terrain_maps\Scanned_T_maps_all\M10\M10-1650</v>
      </c>
      <c r="S2187" t="s">
        <v>62</v>
      </c>
      <c r="T2187" s="11" t="str">
        <f>HYPERLINK("http://www.env.gov.bc.ca/esd/distdata/ecosystems/TEI_Scanned_Maps/M10/M10-1650","http://www.env.gov.bc.ca/esd/distdata/ecosystems/TEI_Scanned_Maps/M10/M10-1650")</f>
        <v>http://www.env.gov.bc.ca/esd/distdata/ecosystems/TEI_Scanned_Maps/M10/M10-1650</v>
      </c>
      <c r="U2187" t="s">
        <v>58</v>
      </c>
      <c r="V2187" t="s">
        <v>58</v>
      </c>
      <c r="W2187" t="s">
        <v>58</v>
      </c>
      <c r="X2187" t="s">
        <v>58</v>
      </c>
      <c r="Y2187" t="s">
        <v>58</v>
      </c>
      <c r="Z2187" t="s">
        <v>58</v>
      </c>
      <c r="AA2187" t="s">
        <v>58</v>
      </c>
      <c r="AC2187" t="s">
        <v>58</v>
      </c>
      <c r="AE2187" t="s">
        <v>58</v>
      </c>
      <c r="AG2187" t="s">
        <v>63</v>
      </c>
      <c r="AH2187" s="11" t="str">
        <f t="shared" si="152"/>
        <v>mailto: soilterrain@victoria1.gov.bc.ca</v>
      </c>
    </row>
    <row r="2188" spans="1:34">
      <c r="A2188" t="s">
        <v>5067</v>
      </c>
      <c r="B2188" t="s">
        <v>56</v>
      </c>
      <c r="C2188" s="10" t="s">
        <v>5068</v>
      </c>
      <c r="D2188" t="s">
        <v>58</v>
      </c>
      <c r="E2188" t="s">
        <v>5069</v>
      </c>
      <c r="F2188" t="s">
        <v>5070</v>
      </c>
      <c r="G2188">
        <v>20000</v>
      </c>
      <c r="H2188">
        <v>1979</v>
      </c>
      <c r="I2188" t="s">
        <v>5071</v>
      </c>
      <c r="J2188" t="s">
        <v>61</v>
      </c>
      <c r="K2188" t="s">
        <v>61</v>
      </c>
      <c r="L2188" t="s">
        <v>58</v>
      </c>
      <c r="M2188" t="s">
        <v>58</v>
      </c>
      <c r="Q2188" t="s">
        <v>58</v>
      </c>
      <c r="R2188" s="11" t="str">
        <f>HYPERLINK("\\imagefiles.bcgov\imagery\scanned_maps\moe_terrain_maps\Scanned_T_maps_all\M13\M13-1978","\\imagefiles.bcgov\imagery\scanned_maps\moe_terrain_maps\Scanned_T_maps_all\M13\M13-1978")</f>
        <v>\\imagefiles.bcgov\imagery\scanned_maps\moe_terrain_maps\Scanned_T_maps_all\M13\M13-1978</v>
      </c>
      <c r="S2188" t="s">
        <v>62</v>
      </c>
      <c r="T2188" s="11" t="str">
        <f>HYPERLINK("http://www.env.gov.bc.ca/esd/distdata/ecosystems/TEI_Scanned_Maps/M13/M13-1978","http://www.env.gov.bc.ca/esd/distdata/ecosystems/TEI_Scanned_Maps/M13/M13-1978")</f>
        <v>http://www.env.gov.bc.ca/esd/distdata/ecosystems/TEI_Scanned_Maps/M13/M13-1978</v>
      </c>
      <c r="U2188" t="s">
        <v>269</v>
      </c>
      <c r="V2188" s="11" t="str">
        <f>HYPERLINK("http://www.library.for.gov.bc.ca/#focus","http://www.library.for.gov.bc.ca/#focus")</f>
        <v>http://www.library.for.gov.bc.ca/#focus</v>
      </c>
      <c r="W2188" t="s">
        <v>58</v>
      </c>
      <c r="X2188" t="s">
        <v>58</v>
      </c>
      <c r="Y2188" t="s">
        <v>58</v>
      </c>
      <c r="Z2188" t="s">
        <v>58</v>
      </c>
      <c r="AA2188" t="s">
        <v>58</v>
      </c>
      <c r="AC2188" t="s">
        <v>58</v>
      </c>
      <c r="AE2188" t="s">
        <v>58</v>
      </c>
      <c r="AG2188" t="s">
        <v>63</v>
      </c>
      <c r="AH2188" s="11" t="str">
        <f t="shared" si="152"/>
        <v>mailto: soilterrain@victoria1.gov.bc.ca</v>
      </c>
    </row>
    <row r="2189" spans="1:34">
      <c r="A2189" t="s">
        <v>5072</v>
      </c>
      <c r="B2189" t="s">
        <v>56</v>
      </c>
      <c r="C2189" s="10" t="s">
        <v>5068</v>
      </c>
      <c r="D2189" t="s">
        <v>58</v>
      </c>
      <c r="E2189" t="s">
        <v>5069</v>
      </c>
      <c r="F2189" t="s">
        <v>5073</v>
      </c>
      <c r="G2189">
        <v>20000</v>
      </c>
      <c r="H2189">
        <v>1978</v>
      </c>
      <c r="I2189" t="s">
        <v>5071</v>
      </c>
      <c r="J2189" t="s">
        <v>61</v>
      </c>
      <c r="K2189" t="s">
        <v>58</v>
      </c>
      <c r="L2189" t="s">
        <v>61</v>
      </c>
      <c r="M2189" t="s">
        <v>58</v>
      </c>
      <c r="Q2189" t="s">
        <v>58</v>
      </c>
      <c r="R2189" s="11" t="str">
        <f>HYPERLINK("\\imagefiles.bcgov\imagery\scanned_maps\moe_terrain_maps\Scanned_T_maps_all\M13\M13-1979","\\imagefiles.bcgov\imagery\scanned_maps\moe_terrain_maps\Scanned_T_maps_all\M13\M13-1979")</f>
        <v>\\imagefiles.bcgov\imagery\scanned_maps\moe_terrain_maps\Scanned_T_maps_all\M13\M13-1979</v>
      </c>
      <c r="S2189" t="s">
        <v>62</v>
      </c>
      <c r="T2189" s="11" t="str">
        <f>HYPERLINK("http://www.env.gov.bc.ca/esd/distdata/ecosystems/TEI_Scanned_Maps/M13/M13-1979","http://www.env.gov.bc.ca/esd/distdata/ecosystems/TEI_Scanned_Maps/M13/M13-1979")</f>
        <v>http://www.env.gov.bc.ca/esd/distdata/ecosystems/TEI_Scanned_Maps/M13/M13-1979</v>
      </c>
      <c r="U2189" t="s">
        <v>269</v>
      </c>
      <c r="V2189" s="11" t="str">
        <f>HYPERLINK("http://www.library.for.gov.bc.ca/#focus","http://www.library.for.gov.bc.ca/#focus")</f>
        <v>http://www.library.for.gov.bc.ca/#focus</v>
      </c>
      <c r="W2189" t="s">
        <v>58</v>
      </c>
      <c r="X2189" t="s">
        <v>58</v>
      </c>
      <c r="Y2189" t="s">
        <v>58</v>
      </c>
      <c r="Z2189" t="s">
        <v>58</v>
      </c>
      <c r="AA2189" t="s">
        <v>58</v>
      </c>
      <c r="AC2189" t="s">
        <v>58</v>
      </c>
      <c r="AE2189" t="s">
        <v>58</v>
      </c>
      <c r="AG2189" t="s">
        <v>63</v>
      </c>
      <c r="AH2189" s="11" t="str">
        <f t="shared" si="152"/>
        <v>mailto: soilterrain@victoria1.gov.bc.ca</v>
      </c>
    </row>
    <row r="2190" spans="1:34">
      <c r="A2190" t="s">
        <v>5074</v>
      </c>
      <c r="B2190" t="s">
        <v>56</v>
      </c>
      <c r="C2190" s="10" t="s">
        <v>5075</v>
      </c>
      <c r="D2190" t="s">
        <v>61</v>
      </c>
      <c r="E2190" t="s">
        <v>5076</v>
      </c>
      <c r="F2190" t="s">
        <v>5077</v>
      </c>
      <c r="G2190">
        <v>20000</v>
      </c>
      <c r="H2190">
        <v>1979</v>
      </c>
      <c r="I2190" t="s">
        <v>58</v>
      </c>
      <c r="J2190" t="s">
        <v>61</v>
      </c>
      <c r="K2190" t="s">
        <v>58</v>
      </c>
      <c r="L2190" t="s">
        <v>58</v>
      </c>
      <c r="M2190" t="s">
        <v>61</v>
      </c>
      <c r="Q2190" t="s">
        <v>58</v>
      </c>
      <c r="R2190" s="11" t="str">
        <f>HYPERLINK("\\imagefiles.bcgov\imagery\scanned_maps\moe_terrain_maps\Scanned_T_maps_all\M18\M18-4453","\\imagefiles.bcgov\imagery\scanned_maps\moe_terrain_maps\Scanned_T_maps_all\M18\M18-4453")</f>
        <v>\\imagefiles.bcgov\imagery\scanned_maps\moe_terrain_maps\Scanned_T_maps_all\M18\M18-4453</v>
      </c>
      <c r="S2190" t="s">
        <v>62</v>
      </c>
      <c r="T2190" s="11" t="str">
        <f>HYPERLINK("http://www.env.gov.bc.ca/esd/distdata/ecosystems/TEI_Scanned_Maps/M18/M18-4453","http://www.env.gov.bc.ca/esd/distdata/ecosystems/TEI_Scanned_Maps/M18/M18-4453")</f>
        <v>http://www.env.gov.bc.ca/esd/distdata/ecosystems/TEI_Scanned_Maps/M18/M18-4453</v>
      </c>
      <c r="U2190" t="s">
        <v>58</v>
      </c>
      <c r="V2190" t="s">
        <v>58</v>
      </c>
      <c r="W2190" t="s">
        <v>58</v>
      </c>
      <c r="X2190" t="s">
        <v>58</v>
      </c>
      <c r="Y2190" t="s">
        <v>58</v>
      </c>
      <c r="Z2190" t="s">
        <v>58</v>
      </c>
      <c r="AA2190" t="s">
        <v>58</v>
      </c>
      <c r="AC2190" t="s">
        <v>58</v>
      </c>
      <c r="AE2190" t="s">
        <v>58</v>
      </c>
      <c r="AG2190" t="s">
        <v>63</v>
      </c>
      <c r="AH2190" s="11" t="str">
        <f t="shared" si="152"/>
        <v>mailto: soilterrain@victoria1.gov.bc.ca</v>
      </c>
    </row>
    <row r="2191" spans="1:34">
      <c r="A2191" t="s">
        <v>5078</v>
      </c>
      <c r="B2191" t="s">
        <v>56</v>
      </c>
      <c r="C2191" s="10" t="s">
        <v>4583</v>
      </c>
      <c r="D2191" t="s">
        <v>61</v>
      </c>
      <c r="E2191" t="s">
        <v>5076</v>
      </c>
      <c r="F2191" t="s">
        <v>5079</v>
      </c>
      <c r="G2191">
        <v>250000</v>
      </c>
      <c r="H2191">
        <v>1979</v>
      </c>
      <c r="I2191" t="s">
        <v>58</v>
      </c>
      <c r="J2191" t="s">
        <v>61</v>
      </c>
      <c r="K2191" t="s">
        <v>58</v>
      </c>
      <c r="L2191" t="s">
        <v>58</v>
      </c>
      <c r="M2191" t="s">
        <v>58</v>
      </c>
      <c r="O2191" t="s">
        <v>61</v>
      </c>
      <c r="Q2191" t="s">
        <v>58</v>
      </c>
      <c r="R2191" s="11" t="str">
        <f>HYPERLINK("\\imagefiles.bcgov\imagery\scanned_maps\moe_terrain_maps\Scanned_T_maps_all\M18\M18-927","\\imagefiles.bcgov\imagery\scanned_maps\moe_terrain_maps\Scanned_T_maps_all\M18\M18-927")</f>
        <v>\\imagefiles.bcgov\imagery\scanned_maps\moe_terrain_maps\Scanned_T_maps_all\M18\M18-927</v>
      </c>
      <c r="S2191" t="s">
        <v>62</v>
      </c>
      <c r="T2191" s="11" t="str">
        <f>HYPERLINK("http://www.env.gov.bc.ca/esd/distdata/ecosystems/TEI_Scanned_Maps/M18/M18-927","http://www.env.gov.bc.ca/esd/distdata/ecosystems/TEI_Scanned_Maps/M18/M18-927")</f>
        <v>http://www.env.gov.bc.ca/esd/distdata/ecosystems/TEI_Scanned_Maps/M18/M18-927</v>
      </c>
      <c r="U2191" t="s">
        <v>58</v>
      </c>
      <c r="V2191" t="s">
        <v>58</v>
      </c>
      <c r="W2191" t="s">
        <v>58</v>
      </c>
      <c r="X2191" t="s">
        <v>58</v>
      </c>
      <c r="Y2191" t="s">
        <v>58</v>
      </c>
      <c r="Z2191" t="s">
        <v>58</v>
      </c>
      <c r="AA2191" t="s">
        <v>58</v>
      </c>
      <c r="AC2191" t="s">
        <v>58</v>
      </c>
      <c r="AE2191" t="s">
        <v>58</v>
      </c>
      <c r="AG2191" t="s">
        <v>63</v>
      </c>
      <c r="AH2191" s="11" t="str">
        <f t="shared" si="152"/>
        <v>mailto: soilterrain@victoria1.gov.bc.ca</v>
      </c>
    </row>
    <row r="2192" spans="1:34">
      <c r="A2192" t="s">
        <v>5080</v>
      </c>
      <c r="B2192" t="s">
        <v>56</v>
      </c>
      <c r="C2192" s="10" t="s">
        <v>4583</v>
      </c>
      <c r="D2192" t="s">
        <v>61</v>
      </c>
      <c r="E2192" t="s">
        <v>5076</v>
      </c>
      <c r="F2192" t="s">
        <v>5081</v>
      </c>
      <c r="G2192">
        <v>250000</v>
      </c>
      <c r="H2192">
        <v>1983</v>
      </c>
      <c r="I2192" t="s">
        <v>58</v>
      </c>
      <c r="J2192" t="s">
        <v>61</v>
      </c>
      <c r="K2192" t="s">
        <v>58</v>
      </c>
      <c r="L2192" t="s">
        <v>58</v>
      </c>
      <c r="M2192" t="s">
        <v>58</v>
      </c>
      <c r="O2192" t="s">
        <v>61</v>
      </c>
      <c r="Q2192" t="s">
        <v>58</v>
      </c>
      <c r="R2192" s="11" t="str">
        <f>HYPERLINK("\\imagefiles.bcgov\imagery\scanned_maps\moe_terrain_maps\Scanned_T_maps_all\M18\M18-928","\\imagefiles.bcgov\imagery\scanned_maps\moe_terrain_maps\Scanned_T_maps_all\M18\M18-928")</f>
        <v>\\imagefiles.bcgov\imagery\scanned_maps\moe_terrain_maps\Scanned_T_maps_all\M18\M18-928</v>
      </c>
      <c r="S2192" t="s">
        <v>62</v>
      </c>
      <c r="T2192" s="11" t="str">
        <f>HYPERLINK("http://www.env.gov.bc.ca/esd/distdata/ecosystems/TEI_Scanned_Maps/M18/M18-928","http://www.env.gov.bc.ca/esd/distdata/ecosystems/TEI_Scanned_Maps/M18/M18-928")</f>
        <v>http://www.env.gov.bc.ca/esd/distdata/ecosystems/TEI_Scanned_Maps/M18/M18-928</v>
      </c>
      <c r="U2192" t="s">
        <v>58</v>
      </c>
      <c r="V2192" t="s">
        <v>58</v>
      </c>
      <c r="W2192" t="s">
        <v>58</v>
      </c>
      <c r="X2192" t="s">
        <v>58</v>
      </c>
      <c r="Y2192" t="s">
        <v>58</v>
      </c>
      <c r="Z2192" t="s">
        <v>58</v>
      </c>
      <c r="AA2192" t="s">
        <v>58</v>
      </c>
      <c r="AC2192" t="s">
        <v>58</v>
      </c>
      <c r="AE2192" t="s">
        <v>58</v>
      </c>
      <c r="AG2192" t="s">
        <v>63</v>
      </c>
      <c r="AH2192" s="11" t="str">
        <f t="shared" si="152"/>
        <v>mailto: soilterrain@victoria1.gov.bc.ca</v>
      </c>
    </row>
    <row r="2193" spans="1:34">
      <c r="A2193" t="s">
        <v>5082</v>
      </c>
      <c r="B2193" t="s">
        <v>56</v>
      </c>
      <c r="C2193" s="10" t="s">
        <v>390</v>
      </c>
      <c r="D2193" t="s">
        <v>58</v>
      </c>
      <c r="E2193" t="s">
        <v>478</v>
      </c>
      <c r="F2193" t="s">
        <v>5083</v>
      </c>
      <c r="G2193">
        <v>20000</v>
      </c>
      <c r="H2193" t="s">
        <v>187</v>
      </c>
      <c r="I2193" t="s">
        <v>58</v>
      </c>
      <c r="J2193" t="s">
        <v>61</v>
      </c>
      <c r="K2193" t="s">
        <v>61</v>
      </c>
      <c r="L2193" t="s">
        <v>58</v>
      </c>
      <c r="M2193" t="s">
        <v>58</v>
      </c>
      <c r="Q2193" t="s">
        <v>58</v>
      </c>
      <c r="R2193" s="11" t="str">
        <f>HYPERLINK("\\imagefiles.bcgov\imagery\scanned_maps\moe_terrain_maps\Scanned_T_maps_all\M10\M10-1376","\\imagefiles.bcgov\imagery\scanned_maps\moe_terrain_maps\Scanned_T_maps_all\M10\M10-1376")</f>
        <v>\\imagefiles.bcgov\imagery\scanned_maps\moe_terrain_maps\Scanned_T_maps_all\M10\M10-1376</v>
      </c>
      <c r="S2193" t="s">
        <v>62</v>
      </c>
      <c r="T2193" s="11" t="str">
        <f>HYPERLINK("http://www.env.gov.bc.ca/esd/distdata/ecosystems/TEI_Scanned_Maps/M10/M10-1376","http://www.env.gov.bc.ca/esd/distdata/ecosystems/TEI_Scanned_Maps/M10/M10-1376")</f>
        <v>http://www.env.gov.bc.ca/esd/distdata/ecosystems/TEI_Scanned_Maps/M10/M10-1376</v>
      </c>
      <c r="U2193" t="s">
        <v>58</v>
      </c>
      <c r="V2193" t="s">
        <v>58</v>
      </c>
      <c r="W2193" t="s">
        <v>58</v>
      </c>
      <c r="X2193" t="s">
        <v>58</v>
      </c>
      <c r="Y2193" t="s">
        <v>58</v>
      </c>
      <c r="Z2193" t="s">
        <v>58</v>
      </c>
      <c r="AA2193" t="s">
        <v>58</v>
      </c>
      <c r="AC2193" t="s">
        <v>58</v>
      </c>
      <c r="AE2193" t="s">
        <v>58</v>
      </c>
      <c r="AG2193" t="s">
        <v>63</v>
      </c>
      <c r="AH2193" s="11" t="str">
        <f t="shared" si="152"/>
        <v>mailto: soilterrain@victoria1.gov.bc.ca</v>
      </c>
    </row>
    <row r="2194" spans="1:34">
      <c r="A2194" t="s">
        <v>5084</v>
      </c>
      <c r="B2194" t="s">
        <v>56</v>
      </c>
      <c r="C2194" s="10" t="s">
        <v>390</v>
      </c>
      <c r="D2194" t="s">
        <v>58</v>
      </c>
      <c r="E2194" t="s">
        <v>478</v>
      </c>
      <c r="F2194" t="s">
        <v>5085</v>
      </c>
      <c r="G2194">
        <v>20000</v>
      </c>
      <c r="H2194" t="s">
        <v>187</v>
      </c>
      <c r="I2194" t="s">
        <v>58</v>
      </c>
      <c r="J2194" t="s">
        <v>61</v>
      </c>
      <c r="K2194" t="s">
        <v>61</v>
      </c>
      <c r="L2194" t="s">
        <v>58</v>
      </c>
      <c r="M2194" t="s">
        <v>58</v>
      </c>
      <c r="Q2194" t="s">
        <v>58</v>
      </c>
      <c r="R2194" s="11" t="str">
        <f>HYPERLINK("\\imagefiles.bcgov\imagery\scanned_maps\moe_terrain_maps\Scanned_T_maps_all\M10\M10-1379","\\imagefiles.bcgov\imagery\scanned_maps\moe_terrain_maps\Scanned_T_maps_all\M10\M10-1379")</f>
        <v>\\imagefiles.bcgov\imagery\scanned_maps\moe_terrain_maps\Scanned_T_maps_all\M10\M10-1379</v>
      </c>
      <c r="S2194" t="s">
        <v>62</v>
      </c>
      <c r="T2194" s="11" t="str">
        <f>HYPERLINK("http://www.env.gov.bc.ca/esd/distdata/ecosystems/TEI_Scanned_Maps/M10/M10-1379","http://www.env.gov.bc.ca/esd/distdata/ecosystems/TEI_Scanned_Maps/M10/M10-1379")</f>
        <v>http://www.env.gov.bc.ca/esd/distdata/ecosystems/TEI_Scanned_Maps/M10/M10-1379</v>
      </c>
      <c r="U2194" t="s">
        <v>58</v>
      </c>
      <c r="V2194" t="s">
        <v>58</v>
      </c>
      <c r="W2194" t="s">
        <v>58</v>
      </c>
      <c r="X2194" t="s">
        <v>58</v>
      </c>
      <c r="Y2194" t="s">
        <v>58</v>
      </c>
      <c r="Z2194" t="s">
        <v>58</v>
      </c>
      <c r="AA2194" t="s">
        <v>58</v>
      </c>
      <c r="AC2194" t="s">
        <v>58</v>
      </c>
      <c r="AE2194" t="s">
        <v>58</v>
      </c>
      <c r="AG2194" t="s">
        <v>63</v>
      </c>
      <c r="AH2194" s="11" t="str">
        <f t="shared" si="152"/>
        <v>mailto: soilterrain@victoria1.gov.bc.ca</v>
      </c>
    </row>
    <row r="2195" spans="1:34">
      <c r="A2195" t="s">
        <v>5086</v>
      </c>
      <c r="B2195" t="s">
        <v>56</v>
      </c>
      <c r="C2195" s="10" t="s">
        <v>390</v>
      </c>
      <c r="D2195" t="s">
        <v>58</v>
      </c>
      <c r="E2195" t="s">
        <v>478</v>
      </c>
      <c r="F2195" t="s">
        <v>5087</v>
      </c>
      <c r="G2195">
        <v>20000</v>
      </c>
      <c r="H2195" t="s">
        <v>187</v>
      </c>
      <c r="I2195" t="s">
        <v>58</v>
      </c>
      <c r="J2195" t="s">
        <v>61</v>
      </c>
      <c r="K2195" t="s">
        <v>61</v>
      </c>
      <c r="L2195" t="s">
        <v>58</v>
      </c>
      <c r="M2195" t="s">
        <v>58</v>
      </c>
      <c r="Q2195" t="s">
        <v>58</v>
      </c>
      <c r="R2195" s="11" t="str">
        <f>HYPERLINK("\\imagefiles.bcgov\imagery\scanned_maps\moe_terrain_maps\Scanned_T_maps_all\M10\M10-1380","\\imagefiles.bcgov\imagery\scanned_maps\moe_terrain_maps\Scanned_T_maps_all\M10\M10-1380")</f>
        <v>\\imagefiles.bcgov\imagery\scanned_maps\moe_terrain_maps\Scanned_T_maps_all\M10\M10-1380</v>
      </c>
      <c r="S2195" t="s">
        <v>62</v>
      </c>
      <c r="T2195" s="11" t="str">
        <f>HYPERLINK("http://www.env.gov.bc.ca/esd/distdata/ecosystems/TEI_Scanned_Maps/M10/M10-1380","http://www.env.gov.bc.ca/esd/distdata/ecosystems/TEI_Scanned_Maps/M10/M10-1380")</f>
        <v>http://www.env.gov.bc.ca/esd/distdata/ecosystems/TEI_Scanned_Maps/M10/M10-1380</v>
      </c>
      <c r="U2195" t="s">
        <v>58</v>
      </c>
      <c r="V2195" t="s">
        <v>58</v>
      </c>
      <c r="W2195" t="s">
        <v>58</v>
      </c>
      <c r="X2195" t="s">
        <v>58</v>
      </c>
      <c r="Y2195" t="s">
        <v>58</v>
      </c>
      <c r="Z2195" t="s">
        <v>58</v>
      </c>
      <c r="AA2195" t="s">
        <v>58</v>
      </c>
      <c r="AC2195" t="s">
        <v>58</v>
      </c>
      <c r="AE2195" t="s">
        <v>58</v>
      </c>
      <c r="AG2195" t="s">
        <v>63</v>
      </c>
      <c r="AH2195" s="11" t="str">
        <f t="shared" si="152"/>
        <v>mailto: soilterrain@victoria1.gov.bc.ca</v>
      </c>
    </row>
    <row r="2196" spans="1:34">
      <c r="A2196" t="s">
        <v>5088</v>
      </c>
      <c r="B2196" t="s">
        <v>56</v>
      </c>
      <c r="C2196" s="10" t="s">
        <v>390</v>
      </c>
      <c r="D2196" t="s">
        <v>58</v>
      </c>
      <c r="E2196" t="s">
        <v>478</v>
      </c>
      <c r="F2196" t="s">
        <v>5089</v>
      </c>
      <c r="G2196">
        <v>20000</v>
      </c>
      <c r="H2196" t="s">
        <v>187</v>
      </c>
      <c r="I2196" t="s">
        <v>58</v>
      </c>
      <c r="J2196" t="s">
        <v>61</v>
      </c>
      <c r="K2196" t="s">
        <v>58</v>
      </c>
      <c r="L2196" t="s">
        <v>58</v>
      </c>
      <c r="M2196" t="s">
        <v>58</v>
      </c>
      <c r="P2196" t="s">
        <v>61</v>
      </c>
      <c r="Q2196" t="s">
        <v>58</v>
      </c>
      <c r="R2196" s="11" t="str">
        <f>HYPERLINK("\\imagefiles.bcgov\imagery\scanned_maps\moe_terrain_maps\Scanned_T_maps_all\M10\M10-1381","\\imagefiles.bcgov\imagery\scanned_maps\moe_terrain_maps\Scanned_T_maps_all\M10\M10-1381")</f>
        <v>\\imagefiles.bcgov\imagery\scanned_maps\moe_terrain_maps\Scanned_T_maps_all\M10\M10-1381</v>
      </c>
      <c r="S2196" t="s">
        <v>62</v>
      </c>
      <c r="T2196" s="11" t="str">
        <f>HYPERLINK("http://www.env.gov.bc.ca/esd/distdata/ecosystems/TEI_Scanned_Maps/M10/M10-1381","http://www.env.gov.bc.ca/esd/distdata/ecosystems/TEI_Scanned_Maps/M10/M10-1381")</f>
        <v>http://www.env.gov.bc.ca/esd/distdata/ecosystems/TEI_Scanned_Maps/M10/M10-1381</v>
      </c>
      <c r="U2196" t="s">
        <v>58</v>
      </c>
      <c r="V2196" t="s">
        <v>58</v>
      </c>
      <c r="W2196" t="s">
        <v>58</v>
      </c>
      <c r="X2196" t="s">
        <v>58</v>
      </c>
      <c r="Y2196" t="s">
        <v>58</v>
      </c>
      <c r="Z2196" t="s">
        <v>58</v>
      </c>
      <c r="AA2196" t="s">
        <v>58</v>
      </c>
      <c r="AC2196" t="s">
        <v>58</v>
      </c>
      <c r="AE2196" t="s">
        <v>58</v>
      </c>
      <c r="AG2196" t="s">
        <v>63</v>
      </c>
      <c r="AH2196" s="11" t="str">
        <f t="shared" si="152"/>
        <v>mailto: soilterrain@victoria1.gov.bc.ca</v>
      </c>
    </row>
    <row r="2197" spans="1:34">
      <c r="A2197" t="s">
        <v>5090</v>
      </c>
      <c r="B2197" t="s">
        <v>56</v>
      </c>
      <c r="C2197" s="10" t="s">
        <v>390</v>
      </c>
      <c r="D2197" t="s">
        <v>58</v>
      </c>
      <c r="E2197" t="s">
        <v>478</v>
      </c>
      <c r="F2197" t="s">
        <v>5091</v>
      </c>
      <c r="G2197">
        <v>0</v>
      </c>
      <c r="H2197" t="s">
        <v>187</v>
      </c>
      <c r="I2197" t="s">
        <v>58</v>
      </c>
      <c r="J2197" t="s">
        <v>61</v>
      </c>
      <c r="K2197" t="s">
        <v>58</v>
      </c>
      <c r="L2197" t="s">
        <v>58</v>
      </c>
      <c r="M2197" t="s">
        <v>58</v>
      </c>
      <c r="O2197" t="s">
        <v>61</v>
      </c>
      <c r="Q2197" t="s">
        <v>58</v>
      </c>
      <c r="R2197" s="11" t="str">
        <f>HYPERLINK("\\imagefiles.bcgov\imagery\scanned_maps\moe_terrain_maps\Scanned_T_maps_all\M10\M10-4217","\\imagefiles.bcgov\imagery\scanned_maps\moe_terrain_maps\Scanned_T_maps_all\M10\M10-4217")</f>
        <v>\\imagefiles.bcgov\imagery\scanned_maps\moe_terrain_maps\Scanned_T_maps_all\M10\M10-4217</v>
      </c>
      <c r="S2197" t="s">
        <v>62</v>
      </c>
      <c r="T2197" s="11" t="str">
        <f>HYPERLINK("http://www.env.gov.bc.ca/esd/distdata/ecosystems/TEI_Scanned_Maps/M10/M10-4217","http://www.env.gov.bc.ca/esd/distdata/ecosystems/TEI_Scanned_Maps/M10/M10-4217")</f>
        <v>http://www.env.gov.bc.ca/esd/distdata/ecosystems/TEI_Scanned_Maps/M10/M10-4217</v>
      </c>
      <c r="U2197" t="s">
        <v>269</v>
      </c>
      <c r="V2197" s="11" t="str">
        <f>HYPERLINK("http://www.library.for.gov.bc.ca/#focus","http://www.library.for.gov.bc.ca/#focus")</f>
        <v>http://www.library.for.gov.bc.ca/#focus</v>
      </c>
      <c r="W2197" t="s">
        <v>58</v>
      </c>
      <c r="X2197" t="s">
        <v>58</v>
      </c>
      <c r="Y2197" t="s">
        <v>58</v>
      </c>
      <c r="Z2197" t="s">
        <v>58</v>
      </c>
      <c r="AA2197" t="s">
        <v>58</v>
      </c>
      <c r="AC2197" t="s">
        <v>58</v>
      </c>
      <c r="AE2197" t="s">
        <v>58</v>
      </c>
      <c r="AG2197" t="s">
        <v>63</v>
      </c>
      <c r="AH2197" s="11" t="str">
        <f t="shared" si="152"/>
        <v>mailto: soilterrain@victoria1.gov.bc.ca</v>
      </c>
    </row>
    <row r="2198" spans="1:34">
      <c r="A2198" t="s">
        <v>5092</v>
      </c>
      <c r="B2198" t="s">
        <v>56</v>
      </c>
      <c r="C2198" s="10" t="s">
        <v>2987</v>
      </c>
      <c r="D2198" t="s">
        <v>58</v>
      </c>
      <c r="E2198" t="s">
        <v>5093</v>
      </c>
      <c r="F2198" t="s">
        <v>5094</v>
      </c>
      <c r="G2198">
        <v>50000</v>
      </c>
      <c r="H2198" t="s">
        <v>187</v>
      </c>
      <c r="I2198" t="s">
        <v>58</v>
      </c>
      <c r="J2198" t="s">
        <v>61</v>
      </c>
      <c r="K2198" t="s">
        <v>58</v>
      </c>
      <c r="L2198" t="s">
        <v>58</v>
      </c>
      <c r="M2198" t="s">
        <v>58</v>
      </c>
      <c r="N2198" t="s">
        <v>61</v>
      </c>
      <c r="Q2198" t="s">
        <v>58</v>
      </c>
      <c r="R2198" s="11" t="str">
        <f>HYPERLINK("\\imagefiles.bcgov\imagery\scanned_maps\moe_terrain_maps\Scanned_T_maps_all\M10\M10-4220","\\imagefiles.bcgov\imagery\scanned_maps\moe_terrain_maps\Scanned_T_maps_all\M10\M10-4220")</f>
        <v>\\imagefiles.bcgov\imagery\scanned_maps\moe_terrain_maps\Scanned_T_maps_all\M10\M10-4220</v>
      </c>
      <c r="S2198" t="s">
        <v>62</v>
      </c>
      <c r="T2198" s="11" t="str">
        <f>HYPERLINK("http://www.env.gov.bc.ca/esd/distdata/ecosystems/TEI_Scanned_Maps/M10/M10-4220","http://www.env.gov.bc.ca/esd/distdata/ecosystems/TEI_Scanned_Maps/M10/M10-4220")</f>
        <v>http://www.env.gov.bc.ca/esd/distdata/ecosystems/TEI_Scanned_Maps/M10/M10-4220</v>
      </c>
      <c r="U2198" t="s">
        <v>269</v>
      </c>
      <c r="V2198" s="11" t="str">
        <f>HYPERLINK("http://www.library.for.gov.bc.ca/#focus","http://www.library.for.gov.bc.ca/#focus")</f>
        <v>http://www.library.for.gov.bc.ca/#focus</v>
      </c>
      <c r="W2198" t="s">
        <v>58</v>
      </c>
      <c r="X2198" t="s">
        <v>58</v>
      </c>
      <c r="Y2198" t="s">
        <v>58</v>
      </c>
      <c r="Z2198" t="s">
        <v>58</v>
      </c>
      <c r="AA2198" t="s">
        <v>58</v>
      </c>
      <c r="AC2198" t="s">
        <v>58</v>
      </c>
      <c r="AE2198" t="s">
        <v>58</v>
      </c>
      <c r="AG2198" t="s">
        <v>63</v>
      </c>
      <c r="AH2198" s="11" t="str">
        <f t="shared" si="152"/>
        <v>mailto: soilterrain@victoria1.gov.bc.ca</v>
      </c>
    </row>
    <row r="2199" spans="1:34">
      <c r="A2199" t="s">
        <v>5095</v>
      </c>
      <c r="B2199" t="s">
        <v>56</v>
      </c>
      <c r="C2199" s="10" t="s">
        <v>5096</v>
      </c>
      <c r="D2199" t="s">
        <v>58</v>
      </c>
      <c r="E2199" t="s">
        <v>5097</v>
      </c>
      <c r="F2199" t="s">
        <v>5098</v>
      </c>
      <c r="G2199">
        <v>50000</v>
      </c>
      <c r="H2199" t="s">
        <v>187</v>
      </c>
      <c r="I2199" t="s">
        <v>5099</v>
      </c>
      <c r="J2199" t="s">
        <v>61</v>
      </c>
      <c r="K2199" t="s">
        <v>58</v>
      </c>
      <c r="L2199" t="s">
        <v>58</v>
      </c>
      <c r="M2199" t="s">
        <v>58</v>
      </c>
      <c r="O2199" t="s">
        <v>61</v>
      </c>
      <c r="Q2199" t="s">
        <v>58</v>
      </c>
      <c r="R2199" s="11" t="str">
        <f>HYPERLINK("\\imagefiles.bcgov\imagery\scanned_maps\moe_terrain_maps\Scanned_T_maps_all\M10\M10-4222","\\imagefiles.bcgov\imagery\scanned_maps\moe_terrain_maps\Scanned_T_maps_all\M10\M10-4222")</f>
        <v>\\imagefiles.bcgov\imagery\scanned_maps\moe_terrain_maps\Scanned_T_maps_all\M10\M10-4222</v>
      </c>
      <c r="S2199" t="s">
        <v>62</v>
      </c>
      <c r="T2199" s="11" t="str">
        <f>HYPERLINK("http://www.env.gov.bc.ca/esd/distdata/ecosystems/TEI_Scanned_Maps/M10/M10-4222","http://www.env.gov.bc.ca/esd/distdata/ecosystems/TEI_Scanned_Maps/M10/M10-4222")</f>
        <v>http://www.env.gov.bc.ca/esd/distdata/ecosystems/TEI_Scanned_Maps/M10/M10-4222</v>
      </c>
      <c r="U2199" t="s">
        <v>269</v>
      </c>
      <c r="V2199" s="11" t="str">
        <f t="shared" ref="V2199:V2220" si="153">HYPERLINK("http://www.for.gov.bc.ca/hfd/library/documents/bib56465.pdf","http://www.for.gov.bc.ca/hfd/library/documents/bib56465.pdf")</f>
        <v>http://www.for.gov.bc.ca/hfd/library/documents/bib56465.pdf</v>
      </c>
      <c r="W2199" t="s">
        <v>58</v>
      </c>
      <c r="X2199" t="s">
        <v>58</v>
      </c>
      <c r="Y2199" t="s">
        <v>58</v>
      </c>
      <c r="Z2199" t="s">
        <v>58</v>
      </c>
      <c r="AA2199" t="s">
        <v>58</v>
      </c>
      <c r="AC2199" t="s">
        <v>58</v>
      </c>
      <c r="AE2199" t="s">
        <v>58</v>
      </c>
      <c r="AG2199" t="s">
        <v>63</v>
      </c>
      <c r="AH2199" s="11" t="str">
        <f t="shared" si="152"/>
        <v>mailto: soilterrain@victoria1.gov.bc.ca</v>
      </c>
    </row>
    <row r="2200" spans="1:34">
      <c r="A2200" t="s">
        <v>5100</v>
      </c>
      <c r="B2200" t="s">
        <v>56</v>
      </c>
      <c r="C2200" s="10" t="s">
        <v>1215</v>
      </c>
      <c r="D2200" t="s">
        <v>58</v>
      </c>
      <c r="E2200" t="s">
        <v>5097</v>
      </c>
      <c r="F2200" t="s">
        <v>5101</v>
      </c>
      <c r="G2200">
        <v>50000</v>
      </c>
      <c r="H2200" t="s">
        <v>187</v>
      </c>
      <c r="I2200" t="s">
        <v>5099</v>
      </c>
      <c r="J2200" t="s">
        <v>61</v>
      </c>
      <c r="K2200" t="s">
        <v>61</v>
      </c>
      <c r="L2200" t="s">
        <v>58</v>
      </c>
      <c r="M2200" t="s">
        <v>58</v>
      </c>
      <c r="Q2200" t="s">
        <v>58</v>
      </c>
      <c r="R2200" s="11" t="str">
        <f>HYPERLINK("\\imagefiles.bcgov\imagery\scanned_maps\moe_terrain_maps\Scanned_T_maps_all\M10\M10-4223","\\imagefiles.bcgov\imagery\scanned_maps\moe_terrain_maps\Scanned_T_maps_all\M10\M10-4223")</f>
        <v>\\imagefiles.bcgov\imagery\scanned_maps\moe_terrain_maps\Scanned_T_maps_all\M10\M10-4223</v>
      </c>
      <c r="S2200" t="s">
        <v>62</v>
      </c>
      <c r="T2200" s="11" t="str">
        <f>HYPERLINK("http://www.env.gov.bc.ca/esd/distdata/ecosystems/TEI_Scanned_Maps/M10/M10-4223","http://www.env.gov.bc.ca/esd/distdata/ecosystems/TEI_Scanned_Maps/M10/M10-4223")</f>
        <v>http://www.env.gov.bc.ca/esd/distdata/ecosystems/TEI_Scanned_Maps/M10/M10-4223</v>
      </c>
      <c r="U2200" t="s">
        <v>269</v>
      </c>
      <c r="V2200" s="11" t="str">
        <f t="shared" si="153"/>
        <v>http://www.for.gov.bc.ca/hfd/library/documents/bib56465.pdf</v>
      </c>
      <c r="W2200" t="s">
        <v>58</v>
      </c>
      <c r="X2200" t="s">
        <v>58</v>
      </c>
      <c r="Y2200" t="s">
        <v>58</v>
      </c>
      <c r="Z2200" t="s">
        <v>58</v>
      </c>
      <c r="AA2200" t="s">
        <v>58</v>
      </c>
      <c r="AC2200" t="s">
        <v>58</v>
      </c>
      <c r="AE2200" t="s">
        <v>58</v>
      </c>
      <c r="AG2200" t="s">
        <v>63</v>
      </c>
      <c r="AH2200" s="11" t="str">
        <f t="shared" si="152"/>
        <v>mailto: soilterrain@victoria1.gov.bc.ca</v>
      </c>
    </row>
    <row r="2201" spans="1:34">
      <c r="A2201" t="s">
        <v>5102</v>
      </c>
      <c r="B2201" t="s">
        <v>56</v>
      </c>
      <c r="C2201" s="10" t="s">
        <v>1215</v>
      </c>
      <c r="D2201" t="s">
        <v>58</v>
      </c>
      <c r="E2201" t="s">
        <v>5097</v>
      </c>
      <c r="F2201" t="s">
        <v>5103</v>
      </c>
      <c r="G2201">
        <v>50000</v>
      </c>
      <c r="H2201" t="s">
        <v>187</v>
      </c>
      <c r="I2201" t="s">
        <v>5099</v>
      </c>
      <c r="J2201" t="s">
        <v>61</v>
      </c>
      <c r="K2201" t="s">
        <v>58</v>
      </c>
      <c r="L2201" t="s">
        <v>58</v>
      </c>
      <c r="M2201" t="s">
        <v>58</v>
      </c>
      <c r="P2201" t="s">
        <v>61</v>
      </c>
      <c r="Q2201" t="s">
        <v>58</v>
      </c>
      <c r="R2201" s="11" t="str">
        <f>HYPERLINK("\\imagefiles.bcgov\imagery\scanned_maps\moe_terrain_maps\Scanned_T_maps_all\M10\M10-4224","\\imagefiles.bcgov\imagery\scanned_maps\moe_terrain_maps\Scanned_T_maps_all\M10\M10-4224")</f>
        <v>\\imagefiles.bcgov\imagery\scanned_maps\moe_terrain_maps\Scanned_T_maps_all\M10\M10-4224</v>
      </c>
      <c r="S2201" t="s">
        <v>62</v>
      </c>
      <c r="T2201" s="11" t="str">
        <f>HYPERLINK("http://www.env.gov.bc.ca/esd/distdata/ecosystems/TEI_Scanned_Maps/M10/M10-4224","http://www.env.gov.bc.ca/esd/distdata/ecosystems/TEI_Scanned_Maps/M10/M10-4224")</f>
        <v>http://www.env.gov.bc.ca/esd/distdata/ecosystems/TEI_Scanned_Maps/M10/M10-4224</v>
      </c>
      <c r="U2201" t="s">
        <v>269</v>
      </c>
      <c r="V2201" s="11" t="str">
        <f t="shared" si="153"/>
        <v>http://www.for.gov.bc.ca/hfd/library/documents/bib56465.pdf</v>
      </c>
      <c r="W2201" t="s">
        <v>58</v>
      </c>
      <c r="X2201" t="s">
        <v>58</v>
      </c>
      <c r="Y2201" t="s">
        <v>58</v>
      </c>
      <c r="Z2201" t="s">
        <v>58</v>
      </c>
      <c r="AA2201" t="s">
        <v>58</v>
      </c>
      <c r="AC2201" t="s">
        <v>58</v>
      </c>
      <c r="AE2201" t="s">
        <v>58</v>
      </c>
      <c r="AG2201" t="s">
        <v>63</v>
      </c>
      <c r="AH2201" s="11" t="str">
        <f t="shared" si="152"/>
        <v>mailto: soilterrain@victoria1.gov.bc.ca</v>
      </c>
    </row>
    <row r="2202" spans="1:34">
      <c r="A2202" t="s">
        <v>5104</v>
      </c>
      <c r="B2202" t="s">
        <v>56</v>
      </c>
      <c r="C2202" s="10" t="s">
        <v>1215</v>
      </c>
      <c r="D2202" t="s">
        <v>58</v>
      </c>
      <c r="E2202" t="s">
        <v>5097</v>
      </c>
      <c r="F2202" t="s">
        <v>5105</v>
      </c>
      <c r="G2202">
        <v>50000</v>
      </c>
      <c r="H2202" t="s">
        <v>187</v>
      </c>
      <c r="I2202" t="s">
        <v>5099</v>
      </c>
      <c r="J2202" t="s">
        <v>61</v>
      </c>
      <c r="K2202" t="s">
        <v>58</v>
      </c>
      <c r="L2202" t="s">
        <v>58</v>
      </c>
      <c r="M2202" t="s">
        <v>58</v>
      </c>
      <c r="P2202" t="s">
        <v>61</v>
      </c>
      <c r="Q2202" t="s">
        <v>58</v>
      </c>
      <c r="R2202" s="11" t="str">
        <f>HYPERLINK("\\imagefiles.bcgov\imagery\scanned_maps\moe_terrain_maps\Scanned_T_maps_all\M10\M10-4225","\\imagefiles.bcgov\imagery\scanned_maps\moe_terrain_maps\Scanned_T_maps_all\M10\M10-4225")</f>
        <v>\\imagefiles.bcgov\imagery\scanned_maps\moe_terrain_maps\Scanned_T_maps_all\M10\M10-4225</v>
      </c>
      <c r="S2202" t="s">
        <v>62</v>
      </c>
      <c r="T2202" s="11" t="str">
        <f>HYPERLINK("http://www.env.gov.bc.ca/esd/distdata/ecosystems/TEI_Scanned_Maps/M10/M10-4225","http://www.env.gov.bc.ca/esd/distdata/ecosystems/TEI_Scanned_Maps/M10/M10-4225")</f>
        <v>http://www.env.gov.bc.ca/esd/distdata/ecosystems/TEI_Scanned_Maps/M10/M10-4225</v>
      </c>
      <c r="U2202" t="s">
        <v>269</v>
      </c>
      <c r="V2202" s="11" t="str">
        <f t="shared" si="153"/>
        <v>http://www.for.gov.bc.ca/hfd/library/documents/bib56465.pdf</v>
      </c>
      <c r="W2202" t="s">
        <v>58</v>
      </c>
      <c r="X2202" t="s">
        <v>58</v>
      </c>
      <c r="Y2202" t="s">
        <v>58</v>
      </c>
      <c r="Z2202" t="s">
        <v>58</v>
      </c>
      <c r="AA2202" t="s">
        <v>58</v>
      </c>
      <c r="AC2202" t="s">
        <v>58</v>
      </c>
      <c r="AE2202" t="s">
        <v>58</v>
      </c>
      <c r="AG2202" t="s">
        <v>63</v>
      </c>
      <c r="AH2202" s="11" t="str">
        <f t="shared" si="152"/>
        <v>mailto: soilterrain@victoria1.gov.bc.ca</v>
      </c>
    </row>
    <row r="2203" spans="1:34">
      <c r="A2203" t="s">
        <v>5106</v>
      </c>
      <c r="B2203" t="s">
        <v>56</v>
      </c>
      <c r="C2203" s="10" t="s">
        <v>1215</v>
      </c>
      <c r="D2203" t="s">
        <v>58</v>
      </c>
      <c r="E2203" t="s">
        <v>5097</v>
      </c>
      <c r="F2203" t="s">
        <v>5107</v>
      </c>
      <c r="G2203">
        <v>50000</v>
      </c>
      <c r="H2203" t="s">
        <v>187</v>
      </c>
      <c r="I2203" t="s">
        <v>5099</v>
      </c>
      <c r="J2203" t="s">
        <v>61</v>
      </c>
      <c r="K2203" t="s">
        <v>58</v>
      </c>
      <c r="L2203" t="s">
        <v>58</v>
      </c>
      <c r="M2203" t="s">
        <v>58</v>
      </c>
      <c r="P2203" t="s">
        <v>61</v>
      </c>
      <c r="Q2203" t="s">
        <v>58</v>
      </c>
      <c r="R2203" s="11" t="str">
        <f>HYPERLINK("\\imagefiles.bcgov\imagery\scanned_maps\moe_terrain_maps\Scanned_T_maps_all\M10\M10-4226","\\imagefiles.bcgov\imagery\scanned_maps\moe_terrain_maps\Scanned_T_maps_all\M10\M10-4226")</f>
        <v>\\imagefiles.bcgov\imagery\scanned_maps\moe_terrain_maps\Scanned_T_maps_all\M10\M10-4226</v>
      </c>
      <c r="S2203" t="s">
        <v>62</v>
      </c>
      <c r="T2203" s="11" t="str">
        <f>HYPERLINK("http://www.env.gov.bc.ca/esd/distdata/ecosystems/TEI_Scanned_Maps/M10/M10-4226","http://www.env.gov.bc.ca/esd/distdata/ecosystems/TEI_Scanned_Maps/M10/M10-4226")</f>
        <v>http://www.env.gov.bc.ca/esd/distdata/ecosystems/TEI_Scanned_Maps/M10/M10-4226</v>
      </c>
      <c r="U2203" t="s">
        <v>269</v>
      </c>
      <c r="V2203" s="11" t="str">
        <f t="shared" si="153"/>
        <v>http://www.for.gov.bc.ca/hfd/library/documents/bib56465.pdf</v>
      </c>
      <c r="W2203" t="s">
        <v>58</v>
      </c>
      <c r="X2203" t="s">
        <v>58</v>
      </c>
      <c r="Y2203" t="s">
        <v>58</v>
      </c>
      <c r="Z2203" t="s">
        <v>58</v>
      </c>
      <c r="AA2203" t="s">
        <v>58</v>
      </c>
      <c r="AC2203" t="s">
        <v>58</v>
      </c>
      <c r="AE2203" t="s">
        <v>58</v>
      </c>
      <c r="AG2203" t="s">
        <v>63</v>
      </c>
      <c r="AH2203" s="11" t="str">
        <f t="shared" si="152"/>
        <v>mailto: soilterrain@victoria1.gov.bc.ca</v>
      </c>
    </row>
    <row r="2204" spans="1:34">
      <c r="A2204" t="s">
        <v>5108</v>
      </c>
      <c r="B2204" t="s">
        <v>56</v>
      </c>
      <c r="C2204" s="10" t="s">
        <v>1215</v>
      </c>
      <c r="D2204" t="s">
        <v>58</v>
      </c>
      <c r="E2204" t="s">
        <v>5097</v>
      </c>
      <c r="F2204" t="s">
        <v>5109</v>
      </c>
      <c r="G2204">
        <v>50000</v>
      </c>
      <c r="H2204" t="s">
        <v>187</v>
      </c>
      <c r="I2204" t="s">
        <v>5099</v>
      </c>
      <c r="J2204" t="s">
        <v>61</v>
      </c>
      <c r="K2204" t="s">
        <v>58</v>
      </c>
      <c r="L2204" t="s">
        <v>58</v>
      </c>
      <c r="M2204" t="s">
        <v>58</v>
      </c>
      <c r="P2204" t="s">
        <v>61</v>
      </c>
      <c r="Q2204" t="s">
        <v>58</v>
      </c>
      <c r="R2204" s="11" t="str">
        <f>HYPERLINK("\\imagefiles.bcgov\imagery\scanned_maps\moe_terrain_maps\Scanned_T_maps_all\M10\M10-4227","\\imagefiles.bcgov\imagery\scanned_maps\moe_terrain_maps\Scanned_T_maps_all\M10\M10-4227")</f>
        <v>\\imagefiles.bcgov\imagery\scanned_maps\moe_terrain_maps\Scanned_T_maps_all\M10\M10-4227</v>
      </c>
      <c r="S2204" t="s">
        <v>62</v>
      </c>
      <c r="T2204" s="11" t="str">
        <f>HYPERLINK("http://www.env.gov.bc.ca/esd/distdata/ecosystems/TEI_Scanned_Maps/M10/M10-4227","http://www.env.gov.bc.ca/esd/distdata/ecosystems/TEI_Scanned_Maps/M10/M10-4227")</f>
        <v>http://www.env.gov.bc.ca/esd/distdata/ecosystems/TEI_Scanned_Maps/M10/M10-4227</v>
      </c>
      <c r="U2204" t="s">
        <v>269</v>
      </c>
      <c r="V2204" s="11" t="str">
        <f t="shared" si="153"/>
        <v>http://www.for.gov.bc.ca/hfd/library/documents/bib56465.pdf</v>
      </c>
      <c r="W2204" t="s">
        <v>58</v>
      </c>
      <c r="X2204" t="s">
        <v>58</v>
      </c>
      <c r="Y2204" t="s">
        <v>58</v>
      </c>
      <c r="Z2204" t="s">
        <v>58</v>
      </c>
      <c r="AA2204" t="s">
        <v>58</v>
      </c>
      <c r="AC2204" t="s">
        <v>58</v>
      </c>
      <c r="AE2204" t="s">
        <v>58</v>
      </c>
      <c r="AG2204" t="s">
        <v>63</v>
      </c>
      <c r="AH2204" s="11" t="str">
        <f t="shared" si="152"/>
        <v>mailto: soilterrain@victoria1.gov.bc.ca</v>
      </c>
    </row>
    <row r="2205" spans="1:34">
      <c r="A2205" t="s">
        <v>5110</v>
      </c>
      <c r="B2205" t="s">
        <v>56</v>
      </c>
      <c r="C2205" s="10" t="s">
        <v>1215</v>
      </c>
      <c r="D2205" t="s">
        <v>58</v>
      </c>
      <c r="E2205" t="s">
        <v>5097</v>
      </c>
      <c r="F2205" t="s">
        <v>5111</v>
      </c>
      <c r="G2205">
        <v>50000</v>
      </c>
      <c r="H2205" t="s">
        <v>187</v>
      </c>
      <c r="I2205" t="s">
        <v>5099</v>
      </c>
      <c r="J2205" t="s">
        <v>61</v>
      </c>
      <c r="K2205" t="s">
        <v>58</v>
      </c>
      <c r="L2205" t="s">
        <v>58</v>
      </c>
      <c r="M2205" t="s">
        <v>58</v>
      </c>
      <c r="N2205" t="s">
        <v>61</v>
      </c>
      <c r="Q2205" t="s">
        <v>58</v>
      </c>
      <c r="R2205" s="11" t="str">
        <f>HYPERLINK("\\imagefiles.bcgov\imagery\scanned_maps\moe_terrain_maps\Scanned_T_maps_all\M10\M10-4228","\\imagefiles.bcgov\imagery\scanned_maps\moe_terrain_maps\Scanned_T_maps_all\M10\M10-4228")</f>
        <v>\\imagefiles.bcgov\imagery\scanned_maps\moe_terrain_maps\Scanned_T_maps_all\M10\M10-4228</v>
      </c>
      <c r="S2205" t="s">
        <v>62</v>
      </c>
      <c r="T2205" s="11" t="str">
        <f>HYPERLINK("http://www.env.gov.bc.ca/esd/distdata/ecosystems/TEI_Scanned_Maps/M10/M10-4228","http://www.env.gov.bc.ca/esd/distdata/ecosystems/TEI_Scanned_Maps/M10/M10-4228")</f>
        <v>http://www.env.gov.bc.ca/esd/distdata/ecosystems/TEI_Scanned_Maps/M10/M10-4228</v>
      </c>
      <c r="U2205" t="s">
        <v>269</v>
      </c>
      <c r="V2205" s="11" t="str">
        <f t="shared" si="153"/>
        <v>http://www.for.gov.bc.ca/hfd/library/documents/bib56465.pdf</v>
      </c>
      <c r="W2205" t="s">
        <v>58</v>
      </c>
      <c r="X2205" t="s">
        <v>58</v>
      </c>
      <c r="Y2205" t="s">
        <v>58</v>
      </c>
      <c r="Z2205" t="s">
        <v>58</v>
      </c>
      <c r="AA2205" t="s">
        <v>58</v>
      </c>
      <c r="AC2205" t="s">
        <v>58</v>
      </c>
      <c r="AE2205" t="s">
        <v>58</v>
      </c>
      <c r="AG2205" t="s">
        <v>63</v>
      </c>
      <c r="AH2205" s="11" t="str">
        <f t="shared" si="152"/>
        <v>mailto: soilterrain@victoria1.gov.bc.ca</v>
      </c>
    </row>
    <row r="2206" spans="1:34">
      <c r="A2206" t="s">
        <v>5112</v>
      </c>
      <c r="B2206" t="s">
        <v>56</v>
      </c>
      <c r="C2206" s="10" t="s">
        <v>1215</v>
      </c>
      <c r="D2206" t="s">
        <v>58</v>
      </c>
      <c r="E2206" t="s">
        <v>5097</v>
      </c>
      <c r="F2206" t="s">
        <v>5113</v>
      </c>
      <c r="G2206">
        <v>50000</v>
      </c>
      <c r="H2206" t="s">
        <v>187</v>
      </c>
      <c r="I2206" t="s">
        <v>5099</v>
      </c>
      <c r="J2206" t="s">
        <v>61</v>
      </c>
      <c r="K2206" t="s">
        <v>58</v>
      </c>
      <c r="L2206" t="s">
        <v>58</v>
      </c>
      <c r="M2206" t="s">
        <v>58</v>
      </c>
      <c r="O2206" t="s">
        <v>61</v>
      </c>
      <c r="Q2206" t="s">
        <v>58</v>
      </c>
      <c r="R2206" s="11" t="str">
        <f>HYPERLINK("\\imagefiles.bcgov\imagery\scanned_maps\moe_terrain_maps\Scanned_T_maps_all\M10\M10-4232","\\imagefiles.bcgov\imagery\scanned_maps\moe_terrain_maps\Scanned_T_maps_all\M10\M10-4232")</f>
        <v>\\imagefiles.bcgov\imagery\scanned_maps\moe_terrain_maps\Scanned_T_maps_all\M10\M10-4232</v>
      </c>
      <c r="S2206" t="s">
        <v>62</v>
      </c>
      <c r="T2206" s="11" t="str">
        <f>HYPERLINK("http://www.env.gov.bc.ca/esd/distdata/ecosystems/TEI_Scanned_Maps/M10/M10-4232","http://www.env.gov.bc.ca/esd/distdata/ecosystems/TEI_Scanned_Maps/M10/M10-4232")</f>
        <v>http://www.env.gov.bc.ca/esd/distdata/ecosystems/TEI_Scanned_Maps/M10/M10-4232</v>
      </c>
      <c r="U2206" t="s">
        <v>269</v>
      </c>
      <c r="V2206" s="11" t="str">
        <f t="shared" si="153"/>
        <v>http://www.for.gov.bc.ca/hfd/library/documents/bib56465.pdf</v>
      </c>
      <c r="W2206" t="s">
        <v>58</v>
      </c>
      <c r="X2206" t="s">
        <v>58</v>
      </c>
      <c r="Y2206" t="s">
        <v>58</v>
      </c>
      <c r="Z2206" t="s">
        <v>58</v>
      </c>
      <c r="AA2206" t="s">
        <v>58</v>
      </c>
      <c r="AC2206" t="s">
        <v>58</v>
      </c>
      <c r="AE2206" t="s">
        <v>58</v>
      </c>
      <c r="AG2206" t="s">
        <v>63</v>
      </c>
      <c r="AH2206" s="11" t="str">
        <f t="shared" si="152"/>
        <v>mailto: soilterrain@victoria1.gov.bc.ca</v>
      </c>
    </row>
    <row r="2207" spans="1:34">
      <c r="A2207" t="s">
        <v>5114</v>
      </c>
      <c r="B2207" t="s">
        <v>56</v>
      </c>
      <c r="C2207" s="10" t="s">
        <v>1215</v>
      </c>
      <c r="D2207" t="s">
        <v>58</v>
      </c>
      <c r="E2207" t="s">
        <v>5097</v>
      </c>
      <c r="F2207" t="s">
        <v>5115</v>
      </c>
      <c r="G2207">
        <v>50000</v>
      </c>
      <c r="H2207" t="s">
        <v>187</v>
      </c>
      <c r="I2207" t="s">
        <v>5099</v>
      </c>
      <c r="J2207" t="s">
        <v>61</v>
      </c>
      <c r="K2207" t="s">
        <v>58</v>
      </c>
      <c r="L2207" t="s">
        <v>58</v>
      </c>
      <c r="M2207" t="s">
        <v>58</v>
      </c>
      <c r="P2207" t="s">
        <v>61</v>
      </c>
      <c r="Q2207" t="s">
        <v>58</v>
      </c>
      <c r="R2207" s="11" t="str">
        <f>HYPERLINK("\\imagefiles.bcgov\imagery\scanned_maps\moe_terrain_maps\Scanned_T_maps_all\M10\M10-4234","\\imagefiles.bcgov\imagery\scanned_maps\moe_terrain_maps\Scanned_T_maps_all\M10\M10-4234")</f>
        <v>\\imagefiles.bcgov\imagery\scanned_maps\moe_terrain_maps\Scanned_T_maps_all\M10\M10-4234</v>
      </c>
      <c r="S2207" t="s">
        <v>62</v>
      </c>
      <c r="T2207" s="11" t="str">
        <f>HYPERLINK("http://www.env.gov.bc.ca/esd/distdata/ecosystems/TEI_Scanned_Maps/M10/M10-4234","http://www.env.gov.bc.ca/esd/distdata/ecosystems/TEI_Scanned_Maps/M10/M10-4234")</f>
        <v>http://www.env.gov.bc.ca/esd/distdata/ecosystems/TEI_Scanned_Maps/M10/M10-4234</v>
      </c>
      <c r="U2207" t="s">
        <v>269</v>
      </c>
      <c r="V2207" s="11" t="str">
        <f t="shared" si="153"/>
        <v>http://www.for.gov.bc.ca/hfd/library/documents/bib56465.pdf</v>
      </c>
      <c r="W2207" t="s">
        <v>58</v>
      </c>
      <c r="X2207" t="s">
        <v>58</v>
      </c>
      <c r="Y2207" t="s">
        <v>58</v>
      </c>
      <c r="Z2207" t="s">
        <v>58</v>
      </c>
      <c r="AA2207" t="s">
        <v>58</v>
      </c>
      <c r="AC2207" t="s">
        <v>58</v>
      </c>
      <c r="AE2207" t="s">
        <v>58</v>
      </c>
      <c r="AG2207" t="s">
        <v>63</v>
      </c>
      <c r="AH2207" s="11" t="str">
        <f t="shared" si="152"/>
        <v>mailto: soilterrain@victoria1.gov.bc.ca</v>
      </c>
    </row>
    <row r="2208" spans="1:34">
      <c r="A2208" t="s">
        <v>5116</v>
      </c>
      <c r="B2208" t="s">
        <v>56</v>
      </c>
      <c r="C2208" s="10" t="s">
        <v>1215</v>
      </c>
      <c r="D2208" t="s">
        <v>58</v>
      </c>
      <c r="E2208" t="s">
        <v>5097</v>
      </c>
      <c r="F2208" t="s">
        <v>5117</v>
      </c>
      <c r="G2208">
        <v>50000</v>
      </c>
      <c r="H2208" t="s">
        <v>187</v>
      </c>
      <c r="I2208" t="s">
        <v>5099</v>
      </c>
      <c r="J2208" t="s">
        <v>61</v>
      </c>
      <c r="K2208" t="s">
        <v>58</v>
      </c>
      <c r="L2208" t="s">
        <v>58</v>
      </c>
      <c r="M2208" t="s">
        <v>58</v>
      </c>
      <c r="P2208" t="s">
        <v>61</v>
      </c>
      <c r="Q2208" t="s">
        <v>58</v>
      </c>
      <c r="R2208" s="11" t="str">
        <f>HYPERLINK("\\imagefiles.bcgov\imagery\scanned_maps\moe_terrain_maps\Scanned_T_maps_all\M10\M10-4235","\\imagefiles.bcgov\imagery\scanned_maps\moe_terrain_maps\Scanned_T_maps_all\M10\M10-4235")</f>
        <v>\\imagefiles.bcgov\imagery\scanned_maps\moe_terrain_maps\Scanned_T_maps_all\M10\M10-4235</v>
      </c>
      <c r="S2208" t="s">
        <v>62</v>
      </c>
      <c r="T2208" s="11" t="str">
        <f>HYPERLINK("http://www.env.gov.bc.ca/esd/distdata/ecosystems/TEI_Scanned_Maps/M10/M10-4235","http://www.env.gov.bc.ca/esd/distdata/ecosystems/TEI_Scanned_Maps/M10/M10-4235")</f>
        <v>http://www.env.gov.bc.ca/esd/distdata/ecosystems/TEI_Scanned_Maps/M10/M10-4235</v>
      </c>
      <c r="U2208" t="s">
        <v>269</v>
      </c>
      <c r="V2208" s="11" t="str">
        <f t="shared" si="153"/>
        <v>http://www.for.gov.bc.ca/hfd/library/documents/bib56465.pdf</v>
      </c>
      <c r="W2208" t="s">
        <v>58</v>
      </c>
      <c r="X2208" t="s">
        <v>58</v>
      </c>
      <c r="Y2208" t="s">
        <v>58</v>
      </c>
      <c r="Z2208" t="s">
        <v>58</v>
      </c>
      <c r="AA2208" t="s">
        <v>58</v>
      </c>
      <c r="AC2208" t="s">
        <v>58</v>
      </c>
      <c r="AE2208" t="s">
        <v>58</v>
      </c>
      <c r="AG2208" t="s">
        <v>63</v>
      </c>
      <c r="AH2208" s="11" t="str">
        <f t="shared" si="152"/>
        <v>mailto: soilterrain@victoria1.gov.bc.ca</v>
      </c>
    </row>
    <row r="2209" spans="1:34">
      <c r="A2209" t="s">
        <v>5118</v>
      </c>
      <c r="B2209" t="s">
        <v>56</v>
      </c>
      <c r="C2209" s="10" t="s">
        <v>1215</v>
      </c>
      <c r="D2209" t="s">
        <v>58</v>
      </c>
      <c r="E2209" t="s">
        <v>5097</v>
      </c>
      <c r="F2209" t="s">
        <v>5119</v>
      </c>
      <c r="G2209">
        <v>50000</v>
      </c>
      <c r="H2209" t="s">
        <v>187</v>
      </c>
      <c r="I2209" t="s">
        <v>5099</v>
      </c>
      <c r="J2209" t="s">
        <v>61</v>
      </c>
      <c r="K2209" t="s">
        <v>58</v>
      </c>
      <c r="L2209" t="s">
        <v>58</v>
      </c>
      <c r="M2209" t="s">
        <v>58</v>
      </c>
      <c r="O2209" t="s">
        <v>61</v>
      </c>
      <c r="Q2209" t="s">
        <v>58</v>
      </c>
      <c r="R2209" s="11" t="str">
        <f>HYPERLINK("\\imagefiles.bcgov\imagery\scanned_maps\moe_terrain_maps\Scanned_T_maps_all\M10\M10-4236","\\imagefiles.bcgov\imagery\scanned_maps\moe_terrain_maps\Scanned_T_maps_all\M10\M10-4236")</f>
        <v>\\imagefiles.bcgov\imagery\scanned_maps\moe_terrain_maps\Scanned_T_maps_all\M10\M10-4236</v>
      </c>
      <c r="S2209" t="s">
        <v>62</v>
      </c>
      <c r="T2209" s="11" t="str">
        <f>HYPERLINK("http://www.env.gov.bc.ca/esd/distdata/ecosystems/TEI_Scanned_Maps/M10/M10-4236","http://www.env.gov.bc.ca/esd/distdata/ecosystems/TEI_Scanned_Maps/M10/M10-4236")</f>
        <v>http://www.env.gov.bc.ca/esd/distdata/ecosystems/TEI_Scanned_Maps/M10/M10-4236</v>
      </c>
      <c r="U2209" t="s">
        <v>269</v>
      </c>
      <c r="V2209" s="11" t="str">
        <f t="shared" si="153"/>
        <v>http://www.for.gov.bc.ca/hfd/library/documents/bib56465.pdf</v>
      </c>
      <c r="W2209" t="s">
        <v>58</v>
      </c>
      <c r="X2209" t="s">
        <v>58</v>
      </c>
      <c r="Y2209" t="s">
        <v>58</v>
      </c>
      <c r="Z2209" t="s">
        <v>58</v>
      </c>
      <c r="AA2209" t="s">
        <v>58</v>
      </c>
      <c r="AC2209" t="s">
        <v>58</v>
      </c>
      <c r="AE2209" t="s">
        <v>58</v>
      </c>
      <c r="AG2209" t="s">
        <v>63</v>
      </c>
      <c r="AH2209" s="11" t="str">
        <f t="shared" si="152"/>
        <v>mailto: soilterrain@victoria1.gov.bc.ca</v>
      </c>
    </row>
    <row r="2210" spans="1:34">
      <c r="A2210" t="s">
        <v>5120</v>
      </c>
      <c r="B2210" t="s">
        <v>56</v>
      </c>
      <c r="C2210" s="10" t="s">
        <v>1215</v>
      </c>
      <c r="D2210" t="s">
        <v>58</v>
      </c>
      <c r="E2210" t="s">
        <v>5097</v>
      </c>
      <c r="F2210" t="s">
        <v>5121</v>
      </c>
      <c r="G2210">
        <v>50000</v>
      </c>
      <c r="H2210" t="s">
        <v>187</v>
      </c>
      <c r="I2210" t="s">
        <v>5099</v>
      </c>
      <c r="J2210" t="s">
        <v>61</v>
      </c>
      <c r="K2210" t="s">
        <v>61</v>
      </c>
      <c r="L2210" t="s">
        <v>58</v>
      </c>
      <c r="M2210" t="s">
        <v>58</v>
      </c>
      <c r="Q2210" t="s">
        <v>58</v>
      </c>
      <c r="R2210" s="11" t="str">
        <f>HYPERLINK("\\imagefiles.bcgov\imagery\scanned_maps\moe_terrain_maps\Scanned_T_maps_all\M10\M10-4238","\\imagefiles.bcgov\imagery\scanned_maps\moe_terrain_maps\Scanned_T_maps_all\M10\M10-4238")</f>
        <v>\\imagefiles.bcgov\imagery\scanned_maps\moe_terrain_maps\Scanned_T_maps_all\M10\M10-4238</v>
      </c>
      <c r="S2210" t="s">
        <v>62</v>
      </c>
      <c r="T2210" s="11" t="str">
        <f>HYPERLINK("http://www.env.gov.bc.ca/esd/distdata/ecosystems/TEI_Scanned_Maps/M10/M10-4238","http://www.env.gov.bc.ca/esd/distdata/ecosystems/TEI_Scanned_Maps/M10/M10-4238")</f>
        <v>http://www.env.gov.bc.ca/esd/distdata/ecosystems/TEI_Scanned_Maps/M10/M10-4238</v>
      </c>
      <c r="U2210" t="s">
        <v>269</v>
      </c>
      <c r="V2210" s="11" t="str">
        <f t="shared" si="153"/>
        <v>http://www.for.gov.bc.ca/hfd/library/documents/bib56465.pdf</v>
      </c>
      <c r="W2210" t="s">
        <v>58</v>
      </c>
      <c r="X2210" t="s">
        <v>58</v>
      </c>
      <c r="Y2210" t="s">
        <v>58</v>
      </c>
      <c r="Z2210" t="s">
        <v>58</v>
      </c>
      <c r="AA2210" t="s">
        <v>58</v>
      </c>
      <c r="AC2210" t="s">
        <v>58</v>
      </c>
      <c r="AE2210" t="s">
        <v>58</v>
      </c>
      <c r="AG2210" t="s">
        <v>63</v>
      </c>
      <c r="AH2210" s="11" t="str">
        <f t="shared" si="152"/>
        <v>mailto: soilterrain@victoria1.gov.bc.ca</v>
      </c>
    </row>
    <row r="2211" spans="1:34">
      <c r="A2211" t="s">
        <v>5122</v>
      </c>
      <c r="B2211" t="s">
        <v>56</v>
      </c>
      <c r="C2211" s="10" t="s">
        <v>1215</v>
      </c>
      <c r="D2211" t="s">
        <v>58</v>
      </c>
      <c r="E2211" t="s">
        <v>5097</v>
      </c>
      <c r="F2211" t="s">
        <v>5123</v>
      </c>
      <c r="G2211">
        <v>50000</v>
      </c>
      <c r="H2211" t="s">
        <v>187</v>
      </c>
      <c r="I2211" t="s">
        <v>5099</v>
      </c>
      <c r="J2211" t="s">
        <v>61</v>
      </c>
      <c r="K2211" t="s">
        <v>58</v>
      </c>
      <c r="L2211" t="s">
        <v>58</v>
      </c>
      <c r="M2211" t="s">
        <v>61</v>
      </c>
      <c r="Q2211" t="s">
        <v>58</v>
      </c>
      <c r="R2211" s="11" t="str">
        <f>HYPERLINK("\\imagefiles.bcgov\imagery\scanned_maps\moe_terrain_maps\Scanned_T_maps_all\M10\M10-4240","\\imagefiles.bcgov\imagery\scanned_maps\moe_terrain_maps\Scanned_T_maps_all\M10\M10-4240")</f>
        <v>\\imagefiles.bcgov\imagery\scanned_maps\moe_terrain_maps\Scanned_T_maps_all\M10\M10-4240</v>
      </c>
      <c r="S2211" t="s">
        <v>62</v>
      </c>
      <c r="T2211" s="11" t="str">
        <f>HYPERLINK("http://www.env.gov.bc.ca/esd/distdata/ecosystems/TEI_Scanned_Maps/M10/M10-4240","http://www.env.gov.bc.ca/esd/distdata/ecosystems/TEI_Scanned_Maps/M10/M10-4240")</f>
        <v>http://www.env.gov.bc.ca/esd/distdata/ecosystems/TEI_Scanned_Maps/M10/M10-4240</v>
      </c>
      <c r="U2211" t="s">
        <v>269</v>
      </c>
      <c r="V2211" s="11" t="str">
        <f t="shared" si="153"/>
        <v>http://www.for.gov.bc.ca/hfd/library/documents/bib56465.pdf</v>
      </c>
      <c r="W2211" t="s">
        <v>58</v>
      </c>
      <c r="X2211" t="s">
        <v>58</v>
      </c>
      <c r="Y2211" t="s">
        <v>58</v>
      </c>
      <c r="Z2211" t="s">
        <v>58</v>
      </c>
      <c r="AA2211" t="s">
        <v>58</v>
      </c>
      <c r="AC2211" t="s">
        <v>58</v>
      </c>
      <c r="AE2211" t="s">
        <v>58</v>
      </c>
      <c r="AG2211" t="s">
        <v>63</v>
      </c>
      <c r="AH2211" s="11" t="str">
        <f t="shared" si="152"/>
        <v>mailto: soilterrain@victoria1.gov.bc.ca</v>
      </c>
    </row>
    <row r="2212" spans="1:34">
      <c r="A2212" t="s">
        <v>5124</v>
      </c>
      <c r="B2212" t="s">
        <v>56</v>
      </c>
      <c r="C2212" s="10" t="s">
        <v>1213</v>
      </c>
      <c r="D2212" t="s">
        <v>58</v>
      </c>
      <c r="E2212" t="s">
        <v>5097</v>
      </c>
      <c r="F2212" t="s">
        <v>5125</v>
      </c>
      <c r="G2212">
        <v>50000</v>
      </c>
      <c r="H2212" t="s">
        <v>187</v>
      </c>
      <c r="I2212" t="s">
        <v>5099</v>
      </c>
      <c r="J2212" t="s">
        <v>61</v>
      </c>
      <c r="K2212" t="s">
        <v>58</v>
      </c>
      <c r="L2212" t="s">
        <v>58</v>
      </c>
      <c r="M2212" t="s">
        <v>58</v>
      </c>
      <c r="O2212" t="s">
        <v>61</v>
      </c>
      <c r="Q2212" t="s">
        <v>58</v>
      </c>
      <c r="R2212" s="11" t="str">
        <f>HYPERLINK("\\imagefiles.bcgov\imagery\scanned_maps\moe_terrain_maps\Scanned_T_maps_all\M10\M10-5115","\\imagefiles.bcgov\imagery\scanned_maps\moe_terrain_maps\Scanned_T_maps_all\M10\M10-5115")</f>
        <v>\\imagefiles.bcgov\imagery\scanned_maps\moe_terrain_maps\Scanned_T_maps_all\M10\M10-5115</v>
      </c>
      <c r="S2212" t="s">
        <v>62</v>
      </c>
      <c r="T2212" s="11" t="str">
        <f>HYPERLINK("http://www.env.gov.bc.ca/esd/distdata/ecosystems/TEI_Scanned_Maps/M10/M10-5115","http://www.env.gov.bc.ca/esd/distdata/ecosystems/TEI_Scanned_Maps/M10/M10-5115")</f>
        <v>http://www.env.gov.bc.ca/esd/distdata/ecosystems/TEI_Scanned_Maps/M10/M10-5115</v>
      </c>
      <c r="U2212" t="s">
        <v>269</v>
      </c>
      <c r="V2212" s="11" t="str">
        <f t="shared" si="153"/>
        <v>http://www.for.gov.bc.ca/hfd/library/documents/bib56465.pdf</v>
      </c>
      <c r="W2212" t="s">
        <v>58</v>
      </c>
      <c r="X2212" t="s">
        <v>58</v>
      </c>
      <c r="Y2212" t="s">
        <v>58</v>
      </c>
      <c r="Z2212" t="s">
        <v>58</v>
      </c>
      <c r="AA2212" t="s">
        <v>58</v>
      </c>
      <c r="AC2212" t="s">
        <v>58</v>
      </c>
      <c r="AE2212" t="s">
        <v>58</v>
      </c>
      <c r="AG2212" t="s">
        <v>63</v>
      </c>
      <c r="AH2212" s="11" t="str">
        <f t="shared" si="152"/>
        <v>mailto: soilterrain@victoria1.gov.bc.ca</v>
      </c>
    </row>
    <row r="2213" spans="1:34">
      <c r="A2213" t="s">
        <v>5126</v>
      </c>
      <c r="B2213" t="s">
        <v>56</v>
      </c>
      <c r="C2213" s="10" t="s">
        <v>1213</v>
      </c>
      <c r="D2213" t="s">
        <v>58</v>
      </c>
      <c r="E2213" t="s">
        <v>5097</v>
      </c>
      <c r="F2213" t="s">
        <v>5127</v>
      </c>
      <c r="G2213">
        <v>50000</v>
      </c>
      <c r="H2213" t="s">
        <v>187</v>
      </c>
      <c r="I2213" t="s">
        <v>5099</v>
      </c>
      <c r="J2213" t="s">
        <v>61</v>
      </c>
      <c r="K2213" t="s">
        <v>58</v>
      </c>
      <c r="L2213" t="s">
        <v>58</v>
      </c>
      <c r="M2213" t="s">
        <v>58</v>
      </c>
      <c r="O2213" t="s">
        <v>61</v>
      </c>
      <c r="Q2213" t="s">
        <v>58</v>
      </c>
      <c r="R2213" s="11" t="str">
        <f>HYPERLINK("\\imagefiles.bcgov\imagery\scanned_maps\moe_terrain_maps\Scanned_T_maps_all\M10\M10-5116","\\imagefiles.bcgov\imagery\scanned_maps\moe_terrain_maps\Scanned_T_maps_all\M10\M10-5116")</f>
        <v>\\imagefiles.bcgov\imagery\scanned_maps\moe_terrain_maps\Scanned_T_maps_all\M10\M10-5116</v>
      </c>
      <c r="S2213" t="s">
        <v>62</v>
      </c>
      <c r="T2213" s="11" t="str">
        <f>HYPERLINK("http://www.env.gov.bc.ca/esd/distdata/ecosystems/TEI_Scanned_Maps/M10/M10-5116","http://www.env.gov.bc.ca/esd/distdata/ecosystems/TEI_Scanned_Maps/M10/M10-5116")</f>
        <v>http://www.env.gov.bc.ca/esd/distdata/ecosystems/TEI_Scanned_Maps/M10/M10-5116</v>
      </c>
      <c r="U2213" t="s">
        <v>269</v>
      </c>
      <c r="V2213" s="11" t="str">
        <f t="shared" si="153"/>
        <v>http://www.for.gov.bc.ca/hfd/library/documents/bib56465.pdf</v>
      </c>
      <c r="W2213" t="s">
        <v>58</v>
      </c>
      <c r="X2213" t="s">
        <v>58</v>
      </c>
      <c r="Y2213" t="s">
        <v>58</v>
      </c>
      <c r="Z2213" t="s">
        <v>58</v>
      </c>
      <c r="AA2213" t="s">
        <v>58</v>
      </c>
      <c r="AC2213" t="s">
        <v>58</v>
      </c>
      <c r="AE2213" t="s">
        <v>58</v>
      </c>
      <c r="AG2213" t="s">
        <v>63</v>
      </c>
      <c r="AH2213" s="11" t="str">
        <f t="shared" si="152"/>
        <v>mailto: soilterrain@victoria1.gov.bc.ca</v>
      </c>
    </row>
    <row r="2214" spans="1:34">
      <c r="A2214" t="s">
        <v>5128</v>
      </c>
      <c r="B2214" t="s">
        <v>56</v>
      </c>
      <c r="C2214" s="10" t="s">
        <v>1213</v>
      </c>
      <c r="D2214" t="s">
        <v>58</v>
      </c>
      <c r="E2214" t="s">
        <v>5097</v>
      </c>
      <c r="F2214" t="s">
        <v>5129</v>
      </c>
      <c r="G2214">
        <v>50000</v>
      </c>
      <c r="H2214">
        <v>1985</v>
      </c>
      <c r="I2214" t="s">
        <v>5099</v>
      </c>
      <c r="J2214" t="s">
        <v>61</v>
      </c>
      <c r="K2214" t="s">
        <v>58</v>
      </c>
      <c r="L2214" t="s">
        <v>58</v>
      </c>
      <c r="M2214" t="s">
        <v>58</v>
      </c>
      <c r="O2214" t="s">
        <v>61</v>
      </c>
      <c r="Q2214" t="s">
        <v>58</v>
      </c>
      <c r="R2214" s="11" t="str">
        <f>HYPERLINK("\\imagefiles.bcgov\imagery\scanned_maps\moe_terrain_maps\Scanned_T_maps_all\M10\M10-5117","\\imagefiles.bcgov\imagery\scanned_maps\moe_terrain_maps\Scanned_T_maps_all\M10\M10-5117")</f>
        <v>\\imagefiles.bcgov\imagery\scanned_maps\moe_terrain_maps\Scanned_T_maps_all\M10\M10-5117</v>
      </c>
      <c r="S2214" t="s">
        <v>62</v>
      </c>
      <c r="T2214" s="11" t="str">
        <f>HYPERLINK("http://www.env.gov.bc.ca/esd/distdata/ecosystems/TEI_Scanned_Maps/M10/M10-5117","http://www.env.gov.bc.ca/esd/distdata/ecosystems/TEI_Scanned_Maps/M10/M10-5117")</f>
        <v>http://www.env.gov.bc.ca/esd/distdata/ecosystems/TEI_Scanned_Maps/M10/M10-5117</v>
      </c>
      <c r="U2214" t="s">
        <v>269</v>
      </c>
      <c r="V2214" s="11" t="str">
        <f t="shared" si="153"/>
        <v>http://www.for.gov.bc.ca/hfd/library/documents/bib56465.pdf</v>
      </c>
      <c r="W2214" t="s">
        <v>58</v>
      </c>
      <c r="X2214" t="s">
        <v>58</v>
      </c>
      <c r="Y2214" t="s">
        <v>58</v>
      </c>
      <c r="Z2214" t="s">
        <v>58</v>
      </c>
      <c r="AA2214" t="s">
        <v>58</v>
      </c>
      <c r="AC2214" t="s">
        <v>58</v>
      </c>
      <c r="AE2214" t="s">
        <v>58</v>
      </c>
      <c r="AG2214" t="s">
        <v>63</v>
      </c>
      <c r="AH2214" s="11" t="str">
        <f t="shared" si="152"/>
        <v>mailto: soilterrain@victoria1.gov.bc.ca</v>
      </c>
    </row>
    <row r="2215" spans="1:34">
      <c r="A2215" t="s">
        <v>5130</v>
      </c>
      <c r="B2215" t="s">
        <v>56</v>
      </c>
      <c r="C2215" s="10" t="s">
        <v>1213</v>
      </c>
      <c r="D2215" t="s">
        <v>58</v>
      </c>
      <c r="E2215" t="s">
        <v>5097</v>
      </c>
      <c r="F2215" t="s">
        <v>5131</v>
      </c>
      <c r="G2215">
        <v>50000</v>
      </c>
      <c r="H2215" t="s">
        <v>187</v>
      </c>
      <c r="I2215" t="s">
        <v>5099</v>
      </c>
      <c r="J2215" t="s">
        <v>61</v>
      </c>
      <c r="K2215" t="s">
        <v>61</v>
      </c>
      <c r="L2215" t="s">
        <v>58</v>
      </c>
      <c r="M2215" t="s">
        <v>58</v>
      </c>
      <c r="Q2215" t="s">
        <v>58</v>
      </c>
      <c r="R2215" s="11" t="str">
        <f>HYPERLINK("\\imagefiles.bcgov\imagery\scanned_maps\moe_terrain_maps\Scanned_T_maps_all\M10\M10-5118","\\imagefiles.bcgov\imagery\scanned_maps\moe_terrain_maps\Scanned_T_maps_all\M10\M10-5118")</f>
        <v>\\imagefiles.bcgov\imagery\scanned_maps\moe_terrain_maps\Scanned_T_maps_all\M10\M10-5118</v>
      </c>
      <c r="S2215" t="s">
        <v>62</v>
      </c>
      <c r="T2215" s="11" t="str">
        <f>HYPERLINK("http://www.env.gov.bc.ca/esd/distdata/ecosystems/TEI_Scanned_Maps/M10/M10-5118","http://www.env.gov.bc.ca/esd/distdata/ecosystems/TEI_Scanned_Maps/M10/M10-5118")</f>
        <v>http://www.env.gov.bc.ca/esd/distdata/ecosystems/TEI_Scanned_Maps/M10/M10-5118</v>
      </c>
      <c r="U2215" t="s">
        <v>269</v>
      </c>
      <c r="V2215" s="11" t="str">
        <f t="shared" si="153"/>
        <v>http://www.for.gov.bc.ca/hfd/library/documents/bib56465.pdf</v>
      </c>
      <c r="W2215" t="s">
        <v>58</v>
      </c>
      <c r="X2215" t="s">
        <v>58</v>
      </c>
      <c r="Y2215" t="s">
        <v>58</v>
      </c>
      <c r="Z2215" t="s">
        <v>58</v>
      </c>
      <c r="AA2215" t="s">
        <v>58</v>
      </c>
      <c r="AC2215" t="s">
        <v>58</v>
      </c>
      <c r="AE2215" t="s">
        <v>58</v>
      </c>
      <c r="AG2215" t="s">
        <v>63</v>
      </c>
      <c r="AH2215" s="11" t="str">
        <f t="shared" si="152"/>
        <v>mailto: soilterrain@victoria1.gov.bc.ca</v>
      </c>
    </row>
    <row r="2216" spans="1:34">
      <c r="A2216" t="s">
        <v>5132</v>
      </c>
      <c r="B2216" t="s">
        <v>56</v>
      </c>
      <c r="C2216" s="10" t="s">
        <v>1213</v>
      </c>
      <c r="D2216" t="s">
        <v>58</v>
      </c>
      <c r="E2216" t="s">
        <v>5097</v>
      </c>
      <c r="F2216" t="s">
        <v>5133</v>
      </c>
      <c r="G2216">
        <v>50000</v>
      </c>
      <c r="H2216" t="s">
        <v>187</v>
      </c>
      <c r="I2216" t="s">
        <v>5099</v>
      </c>
      <c r="J2216" t="s">
        <v>61</v>
      </c>
      <c r="K2216" t="s">
        <v>58</v>
      </c>
      <c r="L2216" t="s">
        <v>58</v>
      </c>
      <c r="M2216" t="s">
        <v>58</v>
      </c>
      <c r="P2216" t="s">
        <v>61</v>
      </c>
      <c r="Q2216" t="s">
        <v>58</v>
      </c>
      <c r="R2216" s="11" t="str">
        <f>HYPERLINK("\\imagefiles.bcgov\imagery\scanned_maps\moe_terrain_maps\Scanned_T_maps_all\M10\M10-5120","\\imagefiles.bcgov\imagery\scanned_maps\moe_terrain_maps\Scanned_T_maps_all\M10\M10-5120")</f>
        <v>\\imagefiles.bcgov\imagery\scanned_maps\moe_terrain_maps\Scanned_T_maps_all\M10\M10-5120</v>
      </c>
      <c r="S2216" t="s">
        <v>62</v>
      </c>
      <c r="T2216" s="11" t="str">
        <f>HYPERLINK("http://www.env.gov.bc.ca/esd/distdata/ecosystems/TEI_Scanned_Maps/M10/M10-5120","http://www.env.gov.bc.ca/esd/distdata/ecosystems/TEI_Scanned_Maps/M10/M10-5120")</f>
        <v>http://www.env.gov.bc.ca/esd/distdata/ecosystems/TEI_Scanned_Maps/M10/M10-5120</v>
      </c>
      <c r="U2216" t="s">
        <v>269</v>
      </c>
      <c r="V2216" s="11" t="str">
        <f t="shared" si="153"/>
        <v>http://www.for.gov.bc.ca/hfd/library/documents/bib56465.pdf</v>
      </c>
      <c r="W2216" t="s">
        <v>58</v>
      </c>
      <c r="X2216" t="s">
        <v>58</v>
      </c>
      <c r="Y2216" t="s">
        <v>58</v>
      </c>
      <c r="Z2216" t="s">
        <v>58</v>
      </c>
      <c r="AA2216" t="s">
        <v>58</v>
      </c>
      <c r="AC2216" t="s">
        <v>58</v>
      </c>
      <c r="AE2216" t="s">
        <v>58</v>
      </c>
      <c r="AG2216" t="s">
        <v>63</v>
      </c>
      <c r="AH2216" s="11" t="str">
        <f t="shared" si="152"/>
        <v>mailto: soilterrain@victoria1.gov.bc.ca</v>
      </c>
    </row>
    <row r="2217" spans="1:34">
      <c r="A2217" t="s">
        <v>5134</v>
      </c>
      <c r="B2217" t="s">
        <v>56</v>
      </c>
      <c r="C2217" s="10" t="s">
        <v>1213</v>
      </c>
      <c r="D2217" t="s">
        <v>58</v>
      </c>
      <c r="E2217" t="s">
        <v>5097</v>
      </c>
      <c r="F2217" t="s">
        <v>5135</v>
      </c>
      <c r="G2217">
        <v>50000</v>
      </c>
      <c r="H2217" t="s">
        <v>187</v>
      </c>
      <c r="I2217" t="s">
        <v>5099</v>
      </c>
      <c r="J2217" t="s">
        <v>61</v>
      </c>
      <c r="K2217" t="s">
        <v>58</v>
      </c>
      <c r="L2217" t="s">
        <v>58</v>
      </c>
      <c r="M2217" t="s">
        <v>58</v>
      </c>
      <c r="P2217" t="s">
        <v>61</v>
      </c>
      <c r="Q2217" t="s">
        <v>58</v>
      </c>
      <c r="R2217" s="11" t="str">
        <f>HYPERLINK("\\imagefiles.bcgov\imagery\scanned_maps\moe_terrain_maps\Scanned_T_maps_all\M10\M10-5121","\\imagefiles.bcgov\imagery\scanned_maps\moe_terrain_maps\Scanned_T_maps_all\M10\M10-5121")</f>
        <v>\\imagefiles.bcgov\imagery\scanned_maps\moe_terrain_maps\Scanned_T_maps_all\M10\M10-5121</v>
      </c>
      <c r="S2217" t="s">
        <v>62</v>
      </c>
      <c r="T2217" s="11" t="str">
        <f>HYPERLINK("http://www.env.gov.bc.ca/esd/distdata/ecosystems/TEI_Scanned_Maps/M10/M10-5121","http://www.env.gov.bc.ca/esd/distdata/ecosystems/TEI_Scanned_Maps/M10/M10-5121")</f>
        <v>http://www.env.gov.bc.ca/esd/distdata/ecosystems/TEI_Scanned_Maps/M10/M10-5121</v>
      </c>
      <c r="U2217" t="s">
        <v>269</v>
      </c>
      <c r="V2217" s="11" t="str">
        <f t="shared" si="153"/>
        <v>http://www.for.gov.bc.ca/hfd/library/documents/bib56465.pdf</v>
      </c>
      <c r="W2217" t="s">
        <v>58</v>
      </c>
      <c r="X2217" t="s">
        <v>58</v>
      </c>
      <c r="Y2217" t="s">
        <v>58</v>
      </c>
      <c r="Z2217" t="s">
        <v>58</v>
      </c>
      <c r="AA2217" t="s">
        <v>58</v>
      </c>
      <c r="AC2217" t="s">
        <v>58</v>
      </c>
      <c r="AE2217" t="s">
        <v>58</v>
      </c>
      <c r="AG2217" t="s">
        <v>63</v>
      </c>
      <c r="AH2217" s="11" t="str">
        <f t="shared" si="152"/>
        <v>mailto: soilterrain@victoria1.gov.bc.ca</v>
      </c>
    </row>
    <row r="2218" spans="1:34">
      <c r="A2218" t="s">
        <v>5136</v>
      </c>
      <c r="B2218" t="s">
        <v>56</v>
      </c>
      <c r="C2218" s="10" t="s">
        <v>1213</v>
      </c>
      <c r="D2218" t="s">
        <v>58</v>
      </c>
      <c r="E2218" t="s">
        <v>5097</v>
      </c>
      <c r="F2218" t="s">
        <v>5137</v>
      </c>
      <c r="G2218">
        <v>50000</v>
      </c>
      <c r="H2218" t="s">
        <v>187</v>
      </c>
      <c r="I2218" t="s">
        <v>5099</v>
      </c>
      <c r="J2218" t="s">
        <v>61</v>
      </c>
      <c r="K2218" t="s">
        <v>58</v>
      </c>
      <c r="L2218" t="s">
        <v>58</v>
      </c>
      <c r="M2218" t="s">
        <v>58</v>
      </c>
      <c r="P2218" t="s">
        <v>61</v>
      </c>
      <c r="Q2218" t="s">
        <v>58</v>
      </c>
      <c r="R2218" s="11" t="str">
        <f>HYPERLINK("\\imagefiles.bcgov\imagery\scanned_maps\moe_terrain_maps\Scanned_T_maps_all\M10\M10-5122","\\imagefiles.bcgov\imagery\scanned_maps\moe_terrain_maps\Scanned_T_maps_all\M10\M10-5122")</f>
        <v>\\imagefiles.bcgov\imagery\scanned_maps\moe_terrain_maps\Scanned_T_maps_all\M10\M10-5122</v>
      </c>
      <c r="S2218" t="s">
        <v>62</v>
      </c>
      <c r="T2218" s="11" t="str">
        <f>HYPERLINK("http://www.env.gov.bc.ca/esd/distdata/ecosystems/TEI_Scanned_Maps/M10/M10-5122","http://www.env.gov.bc.ca/esd/distdata/ecosystems/TEI_Scanned_Maps/M10/M10-5122")</f>
        <v>http://www.env.gov.bc.ca/esd/distdata/ecosystems/TEI_Scanned_Maps/M10/M10-5122</v>
      </c>
      <c r="U2218" t="s">
        <v>269</v>
      </c>
      <c r="V2218" s="11" t="str">
        <f t="shared" si="153"/>
        <v>http://www.for.gov.bc.ca/hfd/library/documents/bib56465.pdf</v>
      </c>
      <c r="W2218" t="s">
        <v>58</v>
      </c>
      <c r="X2218" t="s">
        <v>58</v>
      </c>
      <c r="Y2218" t="s">
        <v>58</v>
      </c>
      <c r="Z2218" t="s">
        <v>58</v>
      </c>
      <c r="AA2218" t="s">
        <v>58</v>
      </c>
      <c r="AC2218" t="s">
        <v>58</v>
      </c>
      <c r="AE2218" t="s">
        <v>58</v>
      </c>
      <c r="AG2218" t="s">
        <v>63</v>
      </c>
      <c r="AH2218" s="11" t="str">
        <f t="shared" si="152"/>
        <v>mailto: soilterrain@victoria1.gov.bc.ca</v>
      </c>
    </row>
    <row r="2219" spans="1:34">
      <c r="A2219" t="s">
        <v>5138</v>
      </c>
      <c r="B2219" t="s">
        <v>56</v>
      </c>
      <c r="C2219" s="10" t="s">
        <v>1213</v>
      </c>
      <c r="D2219" t="s">
        <v>58</v>
      </c>
      <c r="E2219" t="s">
        <v>5097</v>
      </c>
      <c r="F2219" t="s">
        <v>5139</v>
      </c>
      <c r="G2219">
        <v>50000</v>
      </c>
      <c r="H2219">
        <v>1985</v>
      </c>
      <c r="I2219" t="s">
        <v>5099</v>
      </c>
      <c r="J2219" t="s">
        <v>61</v>
      </c>
      <c r="K2219" t="s">
        <v>58</v>
      </c>
      <c r="L2219" t="s">
        <v>58</v>
      </c>
      <c r="M2219" t="s">
        <v>58</v>
      </c>
      <c r="P2219" t="s">
        <v>61</v>
      </c>
      <c r="Q2219" t="s">
        <v>58</v>
      </c>
      <c r="R2219" s="11" t="str">
        <f>HYPERLINK("\\imagefiles.bcgov\imagery\scanned_maps\moe_terrain_maps\Scanned_T_maps_all\M10\M10-5123","\\imagefiles.bcgov\imagery\scanned_maps\moe_terrain_maps\Scanned_T_maps_all\M10\M10-5123")</f>
        <v>\\imagefiles.bcgov\imagery\scanned_maps\moe_terrain_maps\Scanned_T_maps_all\M10\M10-5123</v>
      </c>
      <c r="S2219" t="s">
        <v>62</v>
      </c>
      <c r="T2219" s="11" t="str">
        <f>HYPERLINK("http://www.env.gov.bc.ca/esd/distdata/ecosystems/TEI_Scanned_Maps/M10/M10-5123","http://www.env.gov.bc.ca/esd/distdata/ecosystems/TEI_Scanned_Maps/M10/M10-5123")</f>
        <v>http://www.env.gov.bc.ca/esd/distdata/ecosystems/TEI_Scanned_Maps/M10/M10-5123</v>
      </c>
      <c r="U2219" t="s">
        <v>269</v>
      </c>
      <c r="V2219" s="11" t="str">
        <f t="shared" si="153"/>
        <v>http://www.for.gov.bc.ca/hfd/library/documents/bib56465.pdf</v>
      </c>
      <c r="W2219" t="s">
        <v>58</v>
      </c>
      <c r="X2219" t="s">
        <v>58</v>
      </c>
      <c r="Y2219" t="s">
        <v>58</v>
      </c>
      <c r="Z2219" t="s">
        <v>58</v>
      </c>
      <c r="AA2219" t="s">
        <v>58</v>
      </c>
      <c r="AC2219" t="s">
        <v>58</v>
      </c>
      <c r="AE2219" t="s">
        <v>58</v>
      </c>
      <c r="AG2219" t="s">
        <v>63</v>
      </c>
      <c r="AH2219" s="11" t="str">
        <f t="shared" si="152"/>
        <v>mailto: soilterrain@victoria1.gov.bc.ca</v>
      </c>
    </row>
    <row r="2220" spans="1:34">
      <c r="A2220" t="s">
        <v>5140</v>
      </c>
      <c r="B2220" t="s">
        <v>56</v>
      </c>
      <c r="C2220" s="10" t="s">
        <v>1213</v>
      </c>
      <c r="D2220" t="s">
        <v>58</v>
      </c>
      <c r="E2220" t="s">
        <v>5097</v>
      </c>
      <c r="F2220" t="s">
        <v>5141</v>
      </c>
      <c r="G2220">
        <v>50000</v>
      </c>
      <c r="H2220" t="s">
        <v>187</v>
      </c>
      <c r="I2220" t="s">
        <v>5099</v>
      </c>
      <c r="J2220" t="s">
        <v>61</v>
      </c>
      <c r="K2220" t="s">
        <v>58</v>
      </c>
      <c r="L2220" t="s">
        <v>58</v>
      </c>
      <c r="M2220" t="s">
        <v>58</v>
      </c>
      <c r="P2220" t="s">
        <v>61</v>
      </c>
      <c r="Q2220" t="s">
        <v>58</v>
      </c>
      <c r="R2220" s="11" t="str">
        <f>HYPERLINK("\\imagefiles.bcgov\imagery\scanned_maps\moe_terrain_maps\Scanned_T_maps_all\M10\M10-5124","\\imagefiles.bcgov\imagery\scanned_maps\moe_terrain_maps\Scanned_T_maps_all\M10\M10-5124")</f>
        <v>\\imagefiles.bcgov\imagery\scanned_maps\moe_terrain_maps\Scanned_T_maps_all\M10\M10-5124</v>
      </c>
      <c r="S2220" t="s">
        <v>62</v>
      </c>
      <c r="T2220" s="11" t="str">
        <f>HYPERLINK("http://www.env.gov.bc.ca/esd/distdata/ecosystems/TEI_Scanned_Maps/M10/M10-5124","http://www.env.gov.bc.ca/esd/distdata/ecosystems/TEI_Scanned_Maps/M10/M10-5124")</f>
        <v>http://www.env.gov.bc.ca/esd/distdata/ecosystems/TEI_Scanned_Maps/M10/M10-5124</v>
      </c>
      <c r="U2220" t="s">
        <v>269</v>
      </c>
      <c r="V2220" s="11" t="str">
        <f t="shared" si="153"/>
        <v>http://www.for.gov.bc.ca/hfd/library/documents/bib56465.pdf</v>
      </c>
      <c r="W2220" t="s">
        <v>58</v>
      </c>
      <c r="X2220" t="s">
        <v>58</v>
      </c>
      <c r="Y2220" t="s">
        <v>58</v>
      </c>
      <c r="Z2220" t="s">
        <v>58</v>
      </c>
      <c r="AA2220" t="s">
        <v>58</v>
      </c>
      <c r="AC2220" t="s">
        <v>58</v>
      </c>
      <c r="AE2220" t="s">
        <v>58</v>
      </c>
      <c r="AG2220" t="s">
        <v>63</v>
      </c>
      <c r="AH2220" s="11" t="str">
        <f t="shared" si="152"/>
        <v>mailto: soilterrain@victoria1.gov.bc.ca</v>
      </c>
    </row>
    <row r="2221" spans="1:34">
      <c r="A2221" t="s">
        <v>5142</v>
      </c>
      <c r="B2221" t="s">
        <v>56</v>
      </c>
      <c r="C2221" s="10" t="s">
        <v>5143</v>
      </c>
      <c r="D2221" t="s">
        <v>58</v>
      </c>
      <c r="E2221" t="s">
        <v>5144</v>
      </c>
      <c r="F2221" t="s">
        <v>5145</v>
      </c>
      <c r="G2221">
        <v>20000</v>
      </c>
      <c r="H2221" t="s">
        <v>187</v>
      </c>
      <c r="I2221" t="s">
        <v>5146</v>
      </c>
      <c r="J2221" t="s">
        <v>61</v>
      </c>
      <c r="K2221" t="s">
        <v>58</v>
      </c>
      <c r="L2221" t="s">
        <v>58</v>
      </c>
      <c r="M2221" t="s">
        <v>58</v>
      </c>
      <c r="N2221" t="s">
        <v>61</v>
      </c>
      <c r="Q2221" t="s">
        <v>58</v>
      </c>
      <c r="R2221" s="11" t="str">
        <f>HYPERLINK("\\imagefiles.bcgov\imagery\scanned_maps\moe_terrain_maps\Scanned_T_maps_all\M11\M11-4263","\\imagefiles.bcgov\imagery\scanned_maps\moe_terrain_maps\Scanned_T_maps_all\M11\M11-4263")</f>
        <v>\\imagefiles.bcgov\imagery\scanned_maps\moe_terrain_maps\Scanned_T_maps_all\M11\M11-4263</v>
      </c>
      <c r="S2221" t="s">
        <v>62</v>
      </c>
      <c r="T2221" s="11" t="str">
        <f>HYPERLINK("http://www.env.gov.bc.ca/esd/distdata/ecosystems/TEI_Scanned_Maps/M11/M11-4263","http://www.env.gov.bc.ca/esd/distdata/ecosystems/TEI_Scanned_Maps/M11/M11-4263")</f>
        <v>http://www.env.gov.bc.ca/esd/distdata/ecosystems/TEI_Scanned_Maps/M11/M11-4263</v>
      </c>
      <c r="U2221" t="s">
        <v>269</v>
      </c>
      <c r="V2221" s="11" t="str">
        <f>HYPERLINK("http://www.library.for.gov.bc.ca/#focus","http://www.library.for.gov.bc.ca/#focus")</f>
        <v>http://www.library.for.gov.bc.ca/#focus</v>
      </c>
      <c r="W2221" t="s">
        <v>58</v>
      </c>
      <c r="X2221" t="s">
        <v>58</v>
      </c>
      <c r="Y2221" t="s">
        <v>58</v>
      </c>
      <c r="Z2221" t="s">
        <v>58</v>
      </c>
      <c r="AA2221" t="s">
        <v>58</v>
      </c>
      <c r="AC2221" t="s">
        <v>58</v>
      </c>
      <c r="AE2221" t="s">
        <v>58</v>
      </c>
      <c r="AG2221" t="s">
        <v>63</v>
      </c>
      <c r="AH2221" s="11" t="str">
        <f t="shared" si="152"/>
        <v>mailto: soilterrain@victoria1.gov.bc.ca</v>
      </c>
    </row>
    <row r="2222" spans="1:34">
      <c r="A2222" t="s">
        <v>5147</v>
      </c>
      <c r="B2222" t="s">
        <v>56</v>
      </c>
      <c r="C2222" s="10" t="s">
        <v>5096</v>
      </c>
      <c r="D2222" t="s">
        <v>58</v>
      </c>
      <c r="E2222" t="s">
        <v>5144</v>
      </c>
      <c r="F2222" t="s">
        <v>5148</v>
      </c>
      <c r="G2222">
        <v>20000</v>
      </c>
      <c r="H2222" t="s">
        <v>187</v>
      </c>
      <c r="I2222" t="s">
        <v>5146</v>
      </c>
      <c r="J2222" t="s">
        <v>61</v>
      </c>
      <c r="K2222" t="s">
        <v>58</v>
      </c>
      <c r="L2222" t="s">
        <v>58</v>
      </c>
      <c r="M2222" t="s">
        <v>58</v>
      </c>
      <c r="N2222" t="s">
        <v>61</v>
      </c>
      <c r="Q2222" t="s">
        <v>58</v>
      </c>
      <c r="R2222" s="11" t="str">
        <f>HYPERLINK("\\imagefiles.bcgov\imagery\scanned_maps\moe_terrain_maps\Scanned_T_maps_all\M11\M11-4264","\\imagefiles.bcgov\imagery\scanned_maps\moe_terrain_maps\Scanned_T_maps_all\M11\M11-4264")</f>
        <v>\\imagefiles.bcgov\imagery\scanned_maps\moe_terrain_maps\Scanned_T_maps_all\M11\M11-4264</v>
      </c>
      <c r="S2222" t="s">
        <v>62</v>
      </c>
      <c r="T2222" s="11" t="str">
        <f>HYPERLINK("http://www.env.gov.bc.ca/esd/distdata/ecosystems/TEI_Scanned_Maps/M11/M11-4264","http://www.env.gov.bc.ca/esd/distdata/ecosystems/TEI_Scanned_Maps/M11/M11-4264")</f>
        <v>http://www.env.gov.bc.ca/esd/distdata/ecosystems/TEI_Scanned_Maps/M11/M11-4264</v>
      </c>
      <c r="U2222" t="s">
        <v>269</v>
      </c>
      <c r="V2222" s="11" t="str">
        <f>HYPERLINK("http://www.library.for.gov.bc.ca/#focus","http://www.library.for.gov.bc.ca/#focus")</f>
        <v>http://www.library.for.gov.bc.ca/#focus</v>
      </c>
      <c r="W2222" t="s">
        <v>58</v>
      </c>
      <c r="X2222" t="s">
        <v>58</v>
      </c>
      <c r="Y2222" t="s">
        <v>58</v>
      </c>
      <c r="Z2222" t="s">
        <v>58</v>
      </c>
      <c r="AA2222" t="s">
        <v>58</v>
      </c>
      <c r="AC2222" t="s">
        <v>58</v>
      </c>
      <c r="AE2222" t="s">
        <v>58</v>
      </c>
      <c r="AG2222" t="s">
        <v>63</v>
      </c>
      <c r="AH2222" s="11" t="str">
        <f t="shared" si="152"/>
        <v>mailto: soilterrain@victoria1.gov.bc.ca</v>
      </c>
    </row>
    <row r="2223" spans="1:34">
      <c r="A2223" t="s">
        <v>5149</v>
      </c>
      <c r="B2223" t="s">
        <v>56</v>
      </c>
      <c r="C2223" s="10" t="s">
        <v>5150</v>
      </c>
      <c r="D2223" t="s">
        <v>58</v>
      </c>
      <c r="E2223" t="s">
        <v>688</v>
      </c>
      <c r="F2223" t="s">
        <v>5151</v>
      </c>
      <c r="G2223">
        <v>250000</v>
      </c>
      <c r="H2223" t="s">
        <v>187</v>
      </c>
      <c r="I2223" t="s">
        <v>58</v>
      </c>
      <c r="J2223" t="s">
        <v>61</v>
      </c>
      <c r="K2223" t="s">
        <v>61</v>
      </c>
      <c r="L2223" t="s">
        <v>61</v>
      </c>
      <c r="M2223" t="s">
        <v>58</v>
      </c>
      <c r="N2223" t="s">
        <v>61</v>
      </c>
      <c r="P2223" t="s">
        <v>61</v>
      </c>
      <c r="Q2223" t="s">
        <v>58</v>
      </c>
      <c r="R2223" s="11" t="str">
        <f>HYPERLINK("\\imagefiles.bcgov\imagery\scanned_maps\moe_terrain_maps\Scanned_T_maps_all\M11\M11-884","\\imagefiles.bcgov\imagery\scanned_maps\moe_terrain_maps\Scanned_T_maps_all\M11\M11-884")</f>
        <v>\\imagefiles.bcgov\imagery\scanned_maps\moe_terrain_maps\Scanned_T_maps_all\M11\M11-884</v>
      </c>
      <c r="S2223" t="s">
        <v>62</v>
      </c>
      <c r="T2223" s="11" t="str">
        <f>HYPERLINK("http://www.env.gov.bc.ca/esd/distdata/ecosystems/TEI_Scanned_Maps/M11/M11-884","http://www.env.gov.bc.ca/esd/distdata/ecosystems/TEI_Scanned_Maps/M11/M11-884")</f>
        <v>http://www.env.gov.bc.ca/esd/distdata/ecosystems/TEI_Scanned_Maps/M11/M11-884</v>
      </c>
      <c r="U2223" t="s">
        <v>58</v>
      </c>
      <c r="V2223" t="s">
        <v>58</v>
      </c>
      <c r="W2223" t="s">
        <v>58</v>
      </c>
      <c r="X2223" t="s">
        <v>58</v>
      </c>
      <c r="Y2223" t="s">
        <v>58</v>
      </c>
      <c r="Z2223" t="s">
        <v>58</v>
      </c>
      <c r="AA2223" t="s">
        <v>58</v>
      </c>
      <c r="AC2223" t="s">
        <v>58</v>
      </c>
      <c r="AE2223" t="s">
        <v>58</v>
      </c>
      <c r="AG2223" t="s">
        <v>63</v>
      </c>
      <c r="AH2223" s="11" t="str">
        <f t="shared" si="152"/>
        <v>mailto: soilterrain@victoria1.gov.bc.ca</v>
      </c>
    </row>
    <row r="2224" spans="1:34">
      <c r="A2224" t="s">
        <v>5152</v>
      </c>
      <c r="B2224" t="s">
        <v>56</v>
      </c>
      <c r="C2224" s="10" t="s">
        <v>687</v>
      </c>
      <c r="D2224" t="s">
        <v>58</v>
      </c>
      <c r="E2224" t="s">
        <v>688</v>
      </c>
      <c r="F2224" t="s">
        <v>5153</v>
      </c>
      <c r="G2224">
        <v>50000</v>
      </c>
      <c r="H2224" t="s">
        <v>187</v>
      </c>
      <c r="I2224" t="s">
        <v>58</v>
      </c>
      <c r="J2224" t="s">
        <v>61</v>
      </c>
      <c r="K2224" t="s">
        <v>61</v>
      </c>
      <c r="L2224" t="s">
        <v>58</v>
      </c>
      <c r="M2224" t="s">
        <v>58</v>
      </c>
      <c r="Q2224" t="s">
        <v>58</v>
      </c>
      <c r="R2224" s="11" t="str">
        <f>HYPERLINK("\\imagefiles.bcgov\imagery\scanned_maps\moe_terrain_maps\Scanned_T_maps_all\M11\M11-885","\\imagefiles.bcgov\imagery\scanned_maps\moe_terrain_maps\Scanned_T_maps_all\M11\M11-885")</f>
        <v>\\imagefiles.bcgov\imagery\scanned_maps\moe_terrain_maps\Scanned_T_maps_all\M11\M11-885</v>
      </c>
      <c r="S2224" t="s">
        <v>62</v>
      </c>
      <c r="T2224" s="11" t="str">
        <f>HYPERLINK("http://www.env.gov.bc.ca/esd/distdata/ecosystems/TEI_Scanned_Maps/M11/M11-885","http://www.env.gov.bc.ca/esd/distdata/ecosystems/TEI_Scanned_Maps/M11/M11-885")</f>
        <v>http://www.env.gov.bc.ca/esd/distdata/ecosystems/TEI_Scanned_Maps/M11/M11-885</v>
      </c>
      <c r="U2224" t="s">
        <v>58</v>
      </c>
      <c r="V2224" t="s">
        <v>58</v>
      </c>
      <c r="W2224" t="s">
        <v>58</v>
      </c>
      <c r="X2224" t="s">
        <v>58</v>
      </c>
      <c r="Y2224" t="s">
        <v>58</v>
      </c>
      <c r="Z2224" t="s">
        <v>58</v>
      </c>
      <c r="AA2224" t="s">
        <v>58</v>
      </c>
      <c r="AC2224" t="s">
        <v>58</v>
      </c>
      <c r="AE2224" t="s">
        <v>58</v>
      </c>
      <c r="AG2224" t="s">
        <v>63</v>
      </c>
      <c r="AH2224" s="11" t="str">
        <f t="shared" si="152"/>
        <v>mailto: soilterrain@victoria1.gov.bc.ca</v>
      </c>
    </row>
    <row r="2225" spans="1:34">
      <c r="A2225" t="s">
        <v>5154</v>
      </c>
      <c r="B2225" t="s">
        <v>56</v>
      </c>
      <c r="C2225" s="10" t="s">
        <v>687</v>
      </c>
      <c r="D2225" t="s">
        <v>58</v>
      </c>
      <c r="E2225" t="s">
        <v>688</v>
      </c>
      <c r="F2225" t="s">
        <v>5155</v>
      </c>
      <c r="G2225">
        <v>50000</v>
      </c>
      <c r="H2225">
        <v>1985</v>
      </c>
      <c r="I2225" t="s">
        <v>5156</v>
      </c>
      <c r="J2225" t="s">
        <v>61</v>
      </c>
      <c r="K2225" t="s">
        <v>58</v>
      </c>
      <c r="L2225" t="s">
        <v>61</v>
      </c>
      <c r="M2225" t="s">
        <v>58</v>
      </c>
      <c r="Q2225" t="s">
        <v>58</v>
      </c>
      <c r="R2225" s="11" t="str">
        <f>HYPERLINK("\\imagefiles.bcgov\imagery\scanned_maps\moe_terrain_maps\Scanned_T_maps_all\M11\M11-886","\\imagefiles.bcgov\imagery\scanned_maps\moe_terrain_maps\Scanned_T_maps_all\M11\M11-886")</f>
        <v>\\imagefiles.bcgov\imagery\scanned_maps\moe_terrain_maps\Scanned_T_maps_all\M11\M11-886</v>
      </c>
      <c r="S2225" t="s">
        <v>62</v>
      </c>
      <c r="T2225" s="11" t="str">
        <f>HYPERLINK("http://www.env.gov.bc.ca/esd/distdata/ecosystems/TEI_Scanned_Maps/M11/M11-886","http://www.env.gov.bc.ca/esd/distdata/ecosystems/TEI_Scanned_Maps/M11/M11-886")</f>
        <v>http://www.env.gov.bc.ca/esd/distdata/ecosystems/TEI_Scanned_Maps/M11/M11-886</v>
      </c>
      <c r="U2225" t="s">
        <v>2495</v>
      </c>
      <c r="V2225" s="11" t="str">
        <f>HYPERLINK("http://www.em.gov.bc.ca/mining/geolsurv/terrain&amp;soils/frbcguid.htm","http://www.em.gov.bc.ca/mining/geolsurv/terrain&amp;soils/frbcguid.htm")</f>
        <v>http://www.em.gov.bc.ca/mining/geolsurv/terrain&amp;soils/frbcguid.htm</v>
      </c>
      <c r="W2225" t="s">
        <v>58</v>
      </c>
      <c r="X2225" t="s">
        <v>58</v>
      </c>
      <c r="Y2225" t="s">
        <v>58</v>
      </c>
      <c r="Z2225" t="s">
        <v>58</v>
      </c>
      <c r="AA2225" t="s">
        <v>58</v>
      </c>
      <c r="AC2225" t="s">
        <v>58</v>
      </c>
      <c r="AE2225" t="s">
        <v>58</v>
      </c>
      <c r="AG2225" t="s">
        <v>63</v>
      </c>
      <c r="AH2225" s="11" t="str">
        <f t="shared" si="152"/>
        <v>mailto: soilterrain@victoria1.gov.bc.ca</v>
      </c>
    </row>
    <row r="2226" spans="1:34">
      <c r="A2226" t="s">
        <v>5157</v>
      </c>
      <c r="B2226" t="s">
        <v>56</v>
      </c>
      <c r="C2226" s="10" t="s">
        <v>687</v>
      </c>
      <c r="D2226" t="s">
        <v>58</v>
      </c>
      <c r="E2226" t="s">
        <v>688</v>
      </c>
      <c r="F2226" t="s">
        <v>5158</v>
      </c>
      <c r="G2226">
        <v>50000</v>
      </c>
      <c r="H2226" t="s">
        <v>187</v>
      </c>
      <c r="I2226" t="s">
        <v>58</v>
      </c>
      <c r="J2226" t="s">
        <v>61</v>
      </c>
      <c r="K2226" t="s">
        <v>58</v>
      </c>
      <c r="L2226" t="s">
        <v>58</v>
      </c>
      <c r="M2226" t="s">
        <v>58</v>
      </c>
      <c r="P2226" t="s">
        <v>61</v>
      </c>
      <c r="Q2226" t="s">
        <v>58</v>
      </c>
      <c r="R2226" s="11" t="str">
        <f>HYPERLINK("\\imagefiles.bcgov\imagery\scanned_maps\moe_terrain_maps\Scanned_T_maps_all\M11\M11-887","\\imagefiles.bcgov\imagery\scanned_maps\moe_terrain_maps\Scanned_T_maps_all\M11\M11-887")</f>
        <v>\\imagefiles.bcgov\imagery\scanned_maps\moe_terrain_maps\Scanned_T_maps_all\M11\M11-887</v>
      </c>
      <c r="S2226" t="s">
        <v>62</v>
      </c>
      <c r="T2226" s="11" t="str">
        <f>HYPERLINK("http://www.env.gov.bc.ca/esd/distdata/ecosystems/TEI_Scanned_Maps/M11/M11-887","http://www.env.gov.bc.ca/esd/distdata/ecosystems/TEI_Scanned_Maps/M11/M11-887")</f>
        <v>http://www.env.gov.bc.ca/esd/distdata/ecosystems/TEI_Scanned_Maps/M11/M11-887</v>
      </c>
      <c r="U2226" t="s">
        <v>58</v>
      </c>
      <c r="V2226" t="s">
        <v>58</v>
      </c>
      <c r="W2226" t="s">
        <v>58</v>
      </c>
      <c r="X2226" t="s">
        <v>58</v>
      </c>
      <c r="Y2226" t="s">
        <v>58</v>
      </c>
      <c r="Z2226" t="s">
        <v>58</v>
      </c>
      <c r="AA2226" t="s">
        <v>58</v>
      </c>
      <c r="AC2226" t="s">
        <v>58</v>
      </c>
      <c r="AE2226" t="s">
        <v>58</v>
      </c>
      <c r="AG2226" t="s">
        <v>63</v>
      </c>
      <c r="AH2226" s="11" t="str">
        <f t="shared" si="152"/>
        <v>mailto: soilterrain@victoria1.gov.bc.ca</v>
      </c>
    </row>
    <row r="2227" spans="1:34">
      <c r="A2227" t="s">
        <v>5159</v>
      </c>
      <c r="B2227" t="s">
        <v>56</v>
      </c>
      <c r="C2227" s="10" t="s">
        <v>687</v>
      </c>
      <c r="D2227" t="s">
        <v>58</v>
      </c>
      <c r="E2227" t="s">
        <v>688</v>
      </c>
      <c r="F2227" t="s">
        <v>5160</v>
      </c>
      <c r="G2227">
        <v>50000</v>
      </c>
      <c r="H2227" t="s">
        <v>187</v>
      </c>
      <c r="I2227" t="s">
        <v>58</v>
      </c>
      <c r="J2227" t="s">
        <v>61</v>
      </c>
      <c r="K2227" t="s">
        <v>58</v>
      </c>
      <c r="L2227" t="s">
        <v>58</v>
      </c>
      <c r="M2227" t="s">
        <v>58</v>
      </c>
      <c r="P2227" t="s">
        <v>61</v>
      </c>
      <c r="Q2227" t="s">
        <v>58</v>
      </c>
      <c r="R2227" s="11" t="str">
        <f>HYPERLINK("\\imagefiles.bcgov\imagery\scanned_maps\moe_terrain_maps\Scanned_T_maps_all\M11\M11-888","\\imagefiles.bcgov\imagery\scanned_maps\moe_terrain_maps\Scanned_T_maps_all\M11\M11-888")</f>
        <v>\\imagefiles.bcgov\imagery\scanned_maps\moe_terrain_maps\Scanned_T_maps_all\M11\M11-888</v>
      </c>
      <c r="S2227" t="s">
        <v>62</v>
      </c>
      <c r="T2227" s="11" t="str">
        <f>HYPERLINK("http://www.env.gov.bc.ca/esd/distdata/ecosystems/TEI_Scanned_Maps/M11/M11-888","http://www.env.gov.bc.ca/esd/distdata/ecosystems/TEI_Scanned_Maps/M11/M11-888")</f>
        <v>http://www.env.gov.bc.ca/esd/distdata/ecosystems/TEI_Scanned_Maps/M11/M11-888</v>
      </c>
      <c r="U2227" t="s">
        <v>58</v>
      </c>
      <c r="V2227" t="s">
        <v>58</v>
      </c>
      <c r="W2227" t="s">
        <v>58</v>
      </c>
      <c r="X2227" t="s">
        <v>58</v>
      </c>
      <c r="Y2227" t="s">
        <v>58</v>
      </c>
      <c r="Z2227" t="s">
        <v>58</v>
      </c>
      <c r="AA2227" t="s">
        <v>58</v>
      </c>
      <c r="AC2227" t="s">
        <v>58</v>
      </c>
      <c r="AE2227" t="s">
        <v>58</v>
      </c>
      <c r="AG2227" t="s">
        <v>63</v>
      </c>
      <c r="AH2227" s="11" t="str">
        <f t="shared" si="152"/>
        <v>mailto: soilterrain@victoria1.gov.bc.ca</v>
      </c>
    </row>
    <row r="2228" spans="1:34">
      <c r="A2228" t="s">
        <v>5161</v>
      </c>
      <c r="B2228" t="s">
        <v>56</v>
      </c>
      <c r="C2228" s="10" t="s">
        <v>5162</v>
      </c>
      <c r="D2228" t="s">
        <v>58</v>
      </c>
      <c r="E2228" t="s">
        <v>5163</v>
      </c>
      <c r="F2228" t="s">
        <v>5164</v>
      </c>
      <c r="G2228">
        <v>20000</v>
      </c>
      <c r="H2228" t="s">
        <v>187</v>
      </c>
      <c r="I2228" t="s">
        <v>58</v>
      </c>
      <c r="J2228" t="s">
        <v>61</v>
      </c>
      <c r="K2228" t="s">
        <v>58</v>
      </c>
      <c r="L2228" t="s">
        <v>58</v>
      </c>
      <c r="M2228" t="s">
        <v>58</v>
      </c>
      <c r="P2228" t="s">
        <v>61</v>
      </c>
      <c r="Q2228" t="s">
        <v>58</v>
      </c>
      <c r="R2228" s="11" t="str">
        <f>HYPERLINK("\\imagefiles.bcgov\imagery\scanned_maps\moe_terrain_maps\Scanned_T_maps_all\M12\M12-4278","\\imagefiles.bcgov\imagery\scanned_maps\moe_terrain_maps\Scanned_T_maps_all\M12\M12-4278")</f>
        <v>\\imagefiles.bcgov\imagery\scanned_maps\moe_terrain_maps\Scanned_T_maps_all\M12\M12-4278</v>
      </c>
      <c r="S2228" t="s">
        <v>62</v>
      </c>
      <c r="T2228" s="11" t="str">
        <f>HYPERLINK("http://www.env.gov.bc.ca/esd/distdata/ecosystems/TEI_Scanned_Maps/M12/M12-4278","http://www.env.gov.bc.ca/esd/distdata/ecosystems/TEI_Scanned_Maps/M12/M12-4278")</f>
        <v>http://www.env.gov.bc.ca/esd/distdata/ecosystems/TEI_Scanned_Maps/M12/M12-4278</v>
      </c>
      <c r="U2228" t="s">
        <v>58</v>
      </c>
      <c r="V2228" t="s">
        <v>58</v>
      </c>
      <c r="W2228" t="s">
        <v>58</v>
      </c>
      <c r="X2228" t="s">
        <v>58</v>
      </c>
      <c r="Y2228" t="s">
        <v>58</v>
      </c>
      <c r="Z2228" t="s">
        <v>58</v>
      </c>
      <c r="AA2228" t="s">
        <v>58</v>
      </c>
      <c r="AC2228" t="s">
        <v>58</v>
      </c>
      <c r="AE2228" t="s">
        <v>58</v>
      </c>
      <c r="AG2228" t="s">
        <v>63</v>
      </c>
      <c r="AH2228" s="11" t="str">
        <f t="shared" si="152"/>
        <v>mailto: soilterrain@victoria1.gov.bc.ca</v>
      </c>
    </row>
    <row r="2229" spans="1:34">
      <c r="A2229" t="s">
        <v>5165</v>
      </c>
      <c r="B2229" t="s">
        <v>56</v>
      </c>
      <c r="C2229" s="10" t="s">
        <v>1090</v>
      </c>
      <c r="D2229" t="s">
        <v>61</v>
      </c>
      <c r="E2229" t="s">
        <v>5163</v>
      </c>
      <c r="F2229" t="s">
        <v>5166</v>
      </c>
      <c r="G2229">
        <v>50000</v>
      </c>
      <c r="H2229">
        <v>1979</v>
      </c>
      <c r="I2229" t="s">
        <v>58</v>
      </c>
      <c r="J2229" t="s">
        <v>61</v>
      </c>
      <c r="K2229" t="s">
        <v>58</v>
      </c>
      <c r="L2229" t="s">
        <v>58</v>
      </c>
      <c r="M2229" t="s">
        <v>58</v>
      </c>
      <c r="P2229" t="s">
        <v>61</v>
      </c>
      <c r="Q2229" t="s">
        <v>58</v>
      </c>
      <c r="R2229" s="11" t="str">
        <f>HYPERLINK("\\imagefiles.bcgov\imagery\scanned_maps\moe_terrain_maps\Scanned_T_maps_all\M12\M12-466","\\imagefiles.bcgov\imagery\scanned_maps\moe_terrain_maps\Scanned_T_maps_all\M12\M12-466")</f>
        <v>\\imagefiles.bcgov\imagery\scanned_maps\moe_terrain_maps\Scanned_T_maps_all\M12\M12-466</v>
      </c>
      <c r="S2229" t="s">
        <v>62</v>
      </c>
      <c r="T2229" s="11" t="str">
        <f>HYPERLINK("http://www.env.gov.bc.ca/esd/distdata/ecosystems/TEI_Scanned_Maps/M12/M12-466","http://www.env.gov.bc.ca/esd/distdata/ecosystems/TEI_Scanned_Maps/M12/M12-466")</f>
        <v>http://www.env.gov.bc.ca/esd/distdata/ecosystems/TEI_Scanned_Maps/M12/M12-466</v>
      </c>
      <c r="U2229" t="s">
        <v>58</v>
      </c>
      <c r="V2229" t="s">
        <v>58</v>
      </c>
      <c r="W2229" t="s">
        <v>58</v>
      </c>
      <c r="X2229" t="s">
        <v>58</v>
      </c>
      <c r="Y2229" t="s">
        <v>58</v>
      </c>
      <c r="Z2229" t="s">
        <v>58</v>
      </c>
      <c r="AA2229" t="s">
        <v>58</v>
      </c>
      <c r="AC2229" t="s">
        <v>58</v>
      </c>
      <c r="AE2229" t="s">
        <v>58</v>
      </c>
      <c r="AG2229" t="s">
        <v>63</v>
      </c>
      <c r="AH2229" s="11" t="str">
        <f t="shared" si="152"/>
        <v>mailto: soilterrain@victoria1.gov.bc.ca</v>
      </c>
    </row>
    <row r="2230" spans="1:34">
      <c r="A2230" t="s">
        <v>5167</v>
      </c>
      <c r="B2230" t="s">
        <v>56</v>
      </c>
      <c r="C2230" s="10" t="s">
        <v>5162</v>
      </c>
      <c r="D2230" t="s">
        <v>61</v>
      </c>
      <c r="E2230" t="s">
        <v>5163</v>
      </c>
      <c r="F2230" t="s">
        <v>5168</v>
      </c>
      <c r="G2230">
        <v>20000</v>
      </c>
      <c r="H2230">
        <v>1979</v>
      </c>
      <c r="I2230" t="s">
        <v>58</v>
      </c>
      <c r="J2230" t="s">
        <v>61</v>
      </c>
      <c r="K2230" t="s">
        <v>58</v>
      </c>
      <c r="L2230" t="s">
        <v>58</v>
      </c>
      <c r="M2230" t="s">
        <v>58</v>
      </c>
      <c r="P2230" t="s">
        <v>61</v>
      </c>
      <c r="Q2230" t="s">
        <v>58</v>
      </c>
      <c r="R2230" s="11" t="str">
        <f>HYPERLINK("\\imagefiles.bcgov\imagery\scanned_maps\moe_terrain_maps\Scanned_T_maps_all\M12\M12-469","\\imagefiles.bcgov\imagery\scanned_maps\moe_terrain_maps\Scanned_T_maps_all\M12\M12-469")</f>
        <v>\\imagefiles.bcgov\imagery\scanned_maps\moe_terrain_maps\Scanned_T_maps_all\M12\M12-469</v>
      </c>
      <c r="S2230" t="s">
        <v>62</v>
      </c>
      <c r="T2230" s="11" t="str">
        <f>HYPERLINK("http://www.env.gov.bc.ca/esd/distdata/ecosystems/TEI_Scanned_Maps/M12/M12-469","http://www.env.gov.bc.ca/esd/distdata/ecosystems/TEI_Scanned_Maps/M12/M12-469")</f>
        <v>http://www.env.gov.bc.ca/esd/distdata/ecosystems/TEI_Scanned_Maps/M12/M12-469</v>
      </c>
      <c r="U2230" t="s">
        <v>58</v>
      </c>
      <c r="V2230" t="s">
        <v>58</v>
      </c>
      <c r="W2230" t="s">
        <v>58</v>
      </c>
      <c r="X2230" t="s">
        <v>58</v>
      </c>
      <c r="Y2230" t="s">
        <v>58</v>
      </c>
      <c r="Z2230" t="s">
        <v>58</v>
      </c>
      <c r="AA2230" t="s">
        <v>58</v>
      </c>
      <c r="AC2230" t="s">
        <v>58</v>
      </c>
      <c r="AE2230" t="s">
        <v>58</v>
      </c>
      <c r="AG2230" t="s">
        <v>63</v>
      </c>
      <c r="AH2230" s="11" t="str">
        <f t="shared" si="152"/>
        <v>mailto: soilterrain@victoria1.gov.bc.ca</v>
      </c>
    </row>
    <row r="2231" spans="1:34">
      <c r="A2231" t="s">
        <v>5169</v>
      </c>
      <c r="B2231" t="s">
        <v>56</v>
      </c>
      <c r="C2231" s="10" t="s">
        <v>5162</v>
      </c>
      <c r="D2231" t="s">
        <v>61</v>
      </c>
      <c r="E2231" t="s">
        <v>5163</v>
      </c>
      <c r="F2231" t="s">
        <v>5170</v>
      </c>
      <c r="G2231">
        <v>20000</v>
      </c>
      <c r="H2231">
        <v>1979</v>
      </c>
      <c r="I2231" t="s">
        <v>58</v>
      </c>
      <c r="J2231" t="s">
        <v>61</v>
      </c>
      <c r="K2231" t="s">
        <v>61</v>
      </c>
      <c r="L2231" t="s">
        <v>58</v>
      </c>
      <c r="M2231" t="s">
        <v>58</v>
      </c>
      <c r="P2231" t="s">
        <v>61</v>
      </c>
      <c r="Q2231" t="s">
        <v>58</v>
      </c>
      <c r="R2231" s="11" t="str">
        <f>HYPERLINK("\\imagefiles.bcgov\imagery\scanned_maps\moe_terrain_maps\Scanned_T_maps_all\M12\M12-472","\\imagefiles.bcgov\imagery\scanned_maps\moe_terrain_maps\Scanned_T_maps_all\M12\M12-472")</f>
        <v>\\imagefiles.bcgov\imagery\scanned_maps\moe_terrain_maps\Scanned_T_maps_all\M12\M12-472</v>
      </c>
      <c r="S2231" t="s">
        <v>62</v>
      </c>
      <c r="T2231" s="11" t="str">
        <f>HYPERLINK("http://www.env.gov.bc.ca/esd/distdata/ecosystems/TEI_Scanned_Maps/M12/M12-472","http://www.env.gov.bc.ca/esd/distdata/ecosystems/TEI_Scanned_Maps/M12/M12-472")</f>
        <v>http://www.env.gov.bc.ca/esd/distdata/ecosystems/TEI_Scanned_Maps/M12/M12-472</v>
      </c>
      <c r="U2231" t="s">
        <v>58</v>
      </c>
      <c r="V2231" t="s">
        <v>58</v>
      </c>
      <c r="W2231" t="s">
        <v>58</v>
      </c>
      <c r="X2231" t="s">
        <v>58</v>
      </c>
      <c r="Y2231" t="s">
        <v>58</v>
      </c>
      <c r="Z2231" t="s">
        <v>58</v>
      </c>
      <c r="AA2231" t="s">
        <v>58</v>
      </c>
      <c r="AC2231" t="s">
        <v>58</v>
      </c>
      <c r="AE2231" t="s">
        <v>58</v>
      </c>
      <c r="AG2231" t="s">
        <v>63</v>
      </c>
      <c r="AH2231" s="11" t="str">
        <f t="shared" si="152"/>
        <v>mailto: soilterrain@victoria1.gov.bc.ca</v>
      </c>
    </row>
    <row r="2232" spans="1:34">
      <c r="A2232" t="s">
        <v>5171</v>
      </c>
      <c r="B2232" t="s">
        <v>56</v>
      </c>
      <c r="C2232" s="10" t="s">
        <v>5162</v>
      </c>
      <c r="D2232" t="s">
        <v>58</v>
      </c>
      <c r="E2232" t="s">
        <v>5163</v>
      </c>
      <c r="F2232" t="s">
        <v>5172</v>
      </c>
      <c r="G2232">
        <v>20000</v>
      </c>
      <c r="H2232" t="s">
        <v>187</v>
      </c>
      <c r="I2232" t="s">
        <v>58</v>
      </c>
      <c r="J2232" t="s">
        <v>61</v>
      </c>
      <c r="K2232" t="s">
        <v>58</v>
      </c>
      <c r="L2232" t="s">
        <v>58</v>
      </c>
      <c r="M2232" t="s">
        <v>58</v>
      </c>
      <c r="N2232" t="s">
        <v>61</v>
      </c>
      <c r="Q2232" t="s">
        <v>58</v>
      </c>
      <c r="R2232" s="11" t="str">
        <f>HYPERLINK("\\imagefiles.bcgov\imagery\scanned_maps\moe_terrain_maps\Scanned_T_maps_all\M12\M12-473","\\imagefiles.bcgov\imagery\scanned_maps\moe_terrain_maps\Scanned_T_maps_all\M12\M12-473")</f>
        <v>\\imagefiles.bcgov\imagery\scanned_maps\moe_terrain_maps\Scanned_T_maps_all\M12\M12-473</v>
      </c>
      <c r="S2232" t="s">
        <v>62</v>
      </c>
      <c r="T2232" s="11" t="str">
        <f>HYPERLINK("http://www.env.gov.bc.ca/esd/distdata/ecosystems/TEI_Scanned_Maps/M12/M12-473","http://www.env.gov.bc.ca/esd/distdata/ecosystems/TEI_Scanned_Maps/M12/M12-473")</f>
        <v>http://www.env.gov.bc.ca/esd/distdata/ecosystems/TEI_Scanned_Maps/M12/M12-473</v>
      </c>
      <c r="U2232" t="s">
        <v>58</v>
      </c>
      <c r="V2232" t="s">
        <v>58</v>
      </c>
      <c r="W2232" t="s">
        <v>58</v>
      </c>
      <c r="X2232" t="s">
        <v>58</v>
      </c>
      <c r="Y2232" t="s">
        <v>58</v>
      </c>
      <c r="Z2232" t="s">
        <v>58</v>
      </c>
      <c r="AA2232" t="s">
        <v>58</v>
      </c>
      <c r="AC2232" t="s">
        <v>58</v>
      </c>
      <c r="AE2232" t="s">
        <v>58</v>
      </c>
      <c r="AG2232" t="s">
        <v>63</v>
      </c>
      <c r="AH2232" s="11" t="str">
        <f t="shared" si="152"/>
        <v>mailto: soilterrain@victoria1.gov.bc.ca</v>
      </c>
    </row>
    <row r="2233" spans="1:34">
      <c r="A2233" t="s">
        <v>5173</v>
      </c>
      <c r="B2233" t="s">
        <v>56</v>
      </c>
      <c r="C2233" s="10" t="s">
        <v>5068</v>
      </c>
      <c r="D2233" t="s">
        <v>58</v>
      </c>
      <c r="E2233" t="s">
        <v>5069</v>
      </c>
      <c r="F2233" t="s">
        <v>5174</v>
      </c>
      <c r="G2233">
        <v>20000</v>
      </c>
      <c r="H2233">
        <v>1980</v>
      </c>
      <c r="I2233" t="s">
        <v>5071</v>
      </c>
      <c r="J2233" t="s">
        <v>61</v>
      </c>
      <c r="K2233" t="s">
        <v>58</v>
      </c>
      <c r="L2233" t="s">
        <v>58</v>
      </c>
      <c r="M2233" t="s">
        <v>58</v>
      </c>
      <c r="N2233" t="s">
        <v>61</v>
      </c>
      <c r="Q2233" t="s">
        <v>58</v>
      </c>
      <c r="R2233" s="11" t="str">
        <f>HYPERLINK("\\imagefiles.bcgov\imagery\scanned_maps\moe_terrain_maps\Scanned_T_maps_all\M13\M13-1980","\\imagefiles.bcgov\imagery\scanned_maps\moe_terrain_maps\Scanned_T_maps_all\M13\M13-1980")</f>
        <v>\\imagefiles.bcgov\imagery\scanned_maps\moe_terrain_maps\Scanned_T_maps_all\M13\M13-1980</v>
      </c>
      <c r="S2233" t="s">
        <v>62</v>
      </c>
      <c r="T2233" s="11" t="str">
        <f>HYPERLINK("http://www.env.gov.bc.ca/esd/distdata/ecosystems/TEI_Scanned_Maps/M13/M13-1980","http://www.env.gov.bc.ca/esd/distdata/ecosystems/TEI_Scanned_Maps/M13/M13-1980")</f>
        <v>http://www.env.gov.bc.ca/esd/distdata/ecosystems/TEI_Scanned_Maps/M13/M13-1980</v>
      </c>
      <c r="U2233" t="s">
        <v>269</v>
      </c>
      <c r="V2233" s="11" t="str">
        <f>HYPERLINK("http://www.library.for.gov.bc.ca/#focus","http://www.library.for.gov.bc.ca/#focus")</f>
        <v>http://www.library.for.gov.bc.ca/#focus</v>
      </c>
      <c r="W2233" t="s">
        <v>58</v>
      </c>
      <c r="X2233" t="s">
        <v>58</v>
      </c>
      <c r="Y2233" t="s">
        <v>58</v>
      </c>
      <c r="Z2233" t="s">
        <v>58</v>
      </c>
      <c r="AA2233" t="s">
        <v>58</v>
      </c>
      <c r="AC2233" t="s">
        <v>58</v>
      </c>
      <c r="AE2233" t="s">
        <v>58</v>
      </c>
      <c r="AG2233" t="s">
        <v>63</v>
      </c>
      <c r="AH2233" s="11" t="str">
        <f t="shared" si="152"/>
        <v>mailto: soilterrain@victoria1.gov.bc.ca</v>
      </c>
    </row>
    <row r="2234" spans="1:34">
      <c r="A2234" t="s">
        <v>5175</v>
      </c>
      <c r="B2234" t="s">
        <v>56</v>
      </c>
      <c r="C2234" s="10" t="s">
        <v>5068</v>
      </c>
      <c r="D2234" t="s">
        <v>61</v>
      </c>
      <c r="E2234" t="s">
        <v>5069</v>
      </c>
      <c r="F2234" t="s">
        <v>5176</v>
      </c>
      <c r="G2234">
        <v>20000</v>
      </c>
      <c r="H2234">
        <v>1978</v>
      </c>
      <c r="I2234" t="s">
        <v>5071</v>
      </c>
      <c r="J2234" t="s">
        <v>61</v>
      </c>
      <c r="K2234" t="s">
        <v>58</v>
      </c>
      <c r="L2234" t="s">
        <v>58</v>
      </c>
      <c r="M2234" t="s">
        <v>58</v>
      </c>
      <c r="P2234" t="s">
        <v>61</v>
      </c>
      <c r="Q2234" t="s">
        <v>58</v>
      </c>
      <c r="R2234" s="11" t="str">
        <f>HYPERLINK("\\imagefiles.bcgov\imagery\scanned_maps\moe_terrain_maps\Scanned_T_maps_all\M13\M13-1981","\\imagefiles.bcgov\imagery\scanned_maps\moe_terrain_maps\Scanned_T_maps_all\M13\M13-1981")</f>
        <v>\\imagefiles.bcgov\imagery\scanned_maps\moe_terrain_maps\Scanned_T_maps_all\M13\M13-1981</v>
      </c>
      <c r="S2234" t="s">
        <v>62</v>
      </c>
      <c r="T2234" s="11" t="str">
        <f>HYPERLINK("http://www.env.gov.bc.ca/esd/distdata/ecosystems/TEI_Scanned_Maps/M13/M13-1981","http://www.env.gov.bc.ca/esd/distdata/ecosystems/TEI_Scanned_Maps/M13/M13-1981")</f>
        <v>http://www.env.gov.bc.ca/esd/distdata/ecosystems/TEI_Scanned_Maps/M13/M13-1981</v>
      </c>
      <c r="U2234" t="s">
        <v>269</v>
      </c>
      <c r="V2234" s="11" t="str">
        <f>HYPERLINK("http://www.library.for.gov.bc.ca/#focus","http://www.library.for.gov.bc.ca/#focus")</f>
        <v>http://www.library.for.gov.bc.ca/#focus</v>
      </c>
      <c r="W2234" t="s">
        <v>58</v>
      </c>
      <c r="X2234" t="s">
        <v>58</v>
      </c>
      <c r="Y2234" t="s">
        <v>58</v>
      </c>
      <c r="Z2234" t="s">
        <v>58</v>
      </c>
      <c r="AA2234" t="s">
        <v>58</v>
      </c>
      <c r="AC2234" t="s">
        <v>58</v>
      </c>
      <c r="AE2234" t="s">
        <v>58</v>
      </c>
      <c r="AG2234" t="s">
        <v>63</v>
      </c>
      <c r="AH2234" s="11" t="str">
        <f t="shared" si="152"/>
        <v>mailto: soilterrain@victoria1.gov.bc.ca</v>
      </c>
    </row>
    <row r="2235" spans="1:34">
      <c r="A2235" t="s">
        <v>5177</v>
      </c>
      <c r="B2235" t="s">
        <v>56</v>
      </c>
      <c r="C2235" s="10" t="s">
        <v>5178</v>
      </c>
      <c r="D2235" t="s">
        <v>58</v>
      </c>
      <c r="E2235" t="s">
        <v>5179</v>
      </c>
      <c r="F2235" t="s">
        <v>5180</v>
      </c>
      <c r="G2235">
        <v>20000</v>
      </c>
      <c r="H2235" t="s">
        <v>187</v>
      </c>
      <c r="I2235" t="s">
        <v>5181</v>
      </c>
      <c r="J2235" t="s">
        <v>61</v>
      </c>
      <c r="K2235" t="s">
        <v>61</v>
      </c>
      <c r="L2235" t="s">
        <v>58</v>
      </c>
      <c r="M2235" t="s">
        <v>58</v>
      </c>
      <c r="Q2235" t="s">
        <v>58</v>
      </c>
      <c r="R2235" s="11" t="str">
        <f>HYPERLINK("\\imagefiles.bcgov\imagery\scanned_maps\moe_terrain_maps\Scanned_T_maps_all\M13\M13-2133","\\imagefiles.bcgov\imagery\scanned_maps\moe_terrain_maps\Scanned_T_maps_all\M13\M13-2133")</f>
        <v>\\imagefiles.bcgov\imagery\scanned_maps\moe_terrain_maps\Scanned_T_maps_all\M13\M13-2133</v>
      </c>
      <c r="S2235" t="s">
        <v>62</v>
      </c>
      <c r="T2235" s="11" t="str">
        <f>HYPERLINK("http://www.env.gov.bc.ca/esd/distdata/ecosystems/TEI_Scanned_Maps/M13/M13-2133","http://www.env.gov.bc.ca/esd/distdata/ecosystems/TEI_Scanned_Maps/M13/M13-2133")</f>
        <v>http://www.env.gov.bc.ca/esd/distdata/ecosystems/TEI_Scanned_Maps/M13/M13-2133</v>
      </c>
      <c r="U2235" t="s">
        <v>269</v>
      </c>
      <c r="V2235" s="11" t="str">
        <f>HYPERLINK("http://www.for.gov.bc.ca/hfd/library/documents/bib60587.pdf","http://www.for.gov.bc.ca/hfd/library/documents/bib60587.pdf")</f>
        <v>http://www.for.gov.bc.ca/hfd/library/documents/bib60587.pdf</v>
      </c>
      <c r="W2235" t="s">
        <v>58</v>
      </c>
      <c r="X2235" t="s">
        <v>58</v>
      </c>
      <c r="Y2235" t="s">
        <v>58</v>
      </c>
      <c r="Z2235" t="s">
        <v>58</v>
      </c>
      <c r="AA2235" t="s">
        <v>58</v>
      </c>
      <c r="AC2235" t="s">
        <v>58</v>
      </c>
      <c r="AE2235" t="s">
        <v>58</v>
      </c>
      <c r="AG2235" t="s">
        <v>63</v>
      </c>
      <c r="AH2235" s="11" t="str">
        <f t="shared" si="152"/>
        <v>mailto: soilterrain@victoria1.gov.bc.ca</v>
      </c>
    </row>
    <row r="2236" spans="1:34">
      <c r="A2236" t="s">
        <v>5182</v>
      </c>
      <c r="B2236" t="s">
        <v>56</v>
      </c>
      <c r="C2236" s="10" t="s">
        <v>5178</v>
      </c>
      <c r="D2236" t="s">
        <v>58</v>
      </c>
      <c r="E2236" t="s">
        <v>5179</v>
      </c>
      <c r="F2236" t="s">
        <v>5183</v>
      </c>
      <c r="G2236">
        <v>20000</v>
      </c>
      <c r="H2236" t="s">
        <v>187</v>
      </c>
      <c r="I2236" t="s">
        <v>5181</v>
      </c>
      <c r="J2236" t="s">
        <v>61</v>
      </c>
      <c r="K2236" t="s">
        <v>58</v>
      </c>
      <c r="L2236" t="s">
        <v>58</v>
      </c>
      <c r="M2236" t="s">
        <v>58</v>
      </c>
      <c r="N2236" t="s">
        <v>61</v>
      </c>
      <c r="Q2236" t="s">
        <v>58</v>
      </c>
      <c r="R2236" s="11" t="str">
        <f>HYPERLINK("\\imagefiles.bcgov\imagery\scanned_maps\moe_terrain_maps\Scanned_T_maps_all\M13\M13-2134","\\imagefiles.bcgov\imagery\scanned_maps\moe_terrain_maps\Scanned_T_maps_all\M13\M13-2134")</f>
        <v>\\imagefiles.bcgov\imagery\scanned_maps\moe_terrain_maps\Scanned_T_maps_all\M13\M13-2134</v>
      </c>
      <c r="S2236" t="s">
        <v>62</v>
      </c>
      <c r="T2236" s="11" t="str">
        <f>HYPERLINK("http://www.env.gov.bc.ca/esd/distdata/ecosystems/TEI_Scanned_Maps/M13/M13-2134","http://www.env.gov.bc.ca/esd/distdata/ecosystems/TEI_Scanned_Maps/M13/M13-2134")</f>
        <v>http://www.env.gov.bc.ca/esd/distdata/ecosystems/TEI_Scanned_Maps/M13/M13-2134</v>
      </c>
      <c r="U2236" t="s">
        <v>269</v>
      </c>
      <c r="V2236" s="11" t="str">
        <f>HYPERLINK("http://www.for.gov.bc.ca/hfd/library/documents/bib60587.pdf","http://www.for.gov.bc.ca/hfd/library/documents/bib60587.pdf")</f>
        <v>http://www.for.gov.bc.ca/hfd/library/documents/bib60587.pdf</v>
      </c>
      <c r="W2236" t="s">
        <v>58</v>
      </c>
      <c r="X2236" t="s">
        <v>58</v>
      </c>
      <c r="Y2236" t="s">
        <v>58</v>
      </c>
      <c r="Z2236" t="s">
        <v>58</v>
      </c>
      <c r="AA2236" t="s">
        <v>58</v>
      </c>
      <c r="AC2236" t="s">
        <v>58</v>
      </c>
      <c r="AE2236" t="s">
        <v>58</v>
      </c>
      <c r="AG2236" t="s">
        <v>63</v>
      </c>
      <c r="AH2236" s="11" t="str">
        <f t="shared" si="152"/>
        <v>mailto: soilterrain@victoria1.gov.bc.ca</v>
      </c>
    </row>
    <row r="2237" spans="1:34">
      <c r="A2237" t="s">
        <v>5184</v>
      </c>
      <c r="B2237" t="s">
        <v>56</v>
      </c>
      <c r="C2237" s="10" t="s">
        <v>5178</v>
      </c>
      <c r="D2237" t="s">
        <v>61</v>
      </c>
      <c r="E2237" t="s">
        <v>5179</v>
      </c>
      <c r="F2237" t="s">
        <v>5185</v>
      </c>
      <c r="G2237">
        <v>20000</v>
      </c>
      <c r="H2237" t="s">
        <v>187</v>
      </c>
      <c r="I2237" t="s">
        <v>5181</v>
      </c>
      <c r="J2237" t="s">
        <v>61</v>
      </c>
      <c r="K2237" t="s">
        <v>61</v>
      </c>
      <c r="L2237" t="s">
        <v>58</v>
      </c>
      <c r="M2237" t="s">
        <v>58</v>
      </c>
      <c r="P2237" t="s">
        <v>61</v>
      </c>
      <c r="Q2237" t="s">
        <v>637</v>
      </c>
      <c r="R2237" s="11" t="str">
        <f>HYPERLINK("\\imagefiles.bcgov\imagery\scanned_maps\moe_terrain_maps\Scanned_T_maps_all\M13\M13-2135","\\imagefiles.bcgov\imagery\scanned_maps\moe_terrain_maps\Scanned_T_maps_all\M13\M13-2135")</f>
        <v>\\imagefiles.bcgov\imagery\scanned_maps\moe_terrain_maps\Scanned_T_maps_all\M13\M13-2135</v>
      </c>
      <c r="S2237" t="s">
        <v>62</v>
      </c>
      <c r="T2237" s="11" t="str">
        <f>HYPERLINK("http://www.env.gov.bc.ca/esd/distdata/ecosystems/TEI_Scanned_Maps/M13/M13-2135","http://www.env.gov.bc.ca/esd/distdata/ecosystems/TEI_Scanned_Maps/M13/M13-2135")</f>
        <v>http://www.env.gov.bc.ca/esd/distdata/ecosystems/TEI_Scanned_Maps/M13/M13-2135</v>
      </c>
      <c r="U2237" t="s">
        <v>269</v>
      </c>
      <c r="V2237" s="11" t="str">
        <f>HYPERLINK("http://www.for.gov.bc.ca/hfd/library/documents/bib60587.pdf","http://www.for.gov.bc.ca/hfd/library/documents/bib60587.pdf")</f>
        <v>http://www.for.gov.bc.ca/hfd/library/documents/bib60587.pdf</v>
      </c>
      <c r="W2237" t="s">
        <v>58</v>
      </c>
      <c r="X2237" t="s">
        <v>58</v>
      </c>
      <c r="Y2237" t="s">
        <v>58</v>
      </c>
      <c r="Z2237" t="s">
        <v>58</v>
      </c>
      <c r="AA2237" t="s">
        <v>58</v>
      </c>
      <c r="AC2237" t="s">
        <v>58</v>
      </c>
      <c r="AE2237" t="s">
        <v>58</v>
      </c>
      <c r="AG2237" t="s">
        <v>63</v>
      </c>
      <c r="AH2237" s="11" t="str">
        <f t="shared" si="152"/>
        <v>mailto: soilterrain@victoria1.gov.bc.ca</v>
      </c>
    </row>
    <row r="2238" spans="1:34">
      <c r="A2238" t="s">
        <v>5186</v>
      </c>
      <c r="B2238" t="s">
        <v>56</v>
      </c>
      <c r="C2238" s="10" t="s">
        <v>5187</v>
      </c>
      <c r="D2238" t="s">
        <v>58</v>
      </c>
      <c r="E2238" t="s">
        <v>5188</v>
      </c>
      <c r="F2238" t="s">
        <v>5189</v>
      </c>
      <c r="G2238">
        <v>20000</v>
      </c>
      <c r="H2238">
        <v>1977</v>
      </c>
      <c r="I2238" t="s">
        <v>58</v>
      </c>
      <c r="J2238" t="s">
        <v>61</v>
      </c>
      <c r="K2238" t="s">
        <v>58</v>
      </c>
      <c r="L2238" t="s">
        <v>61</v>
      </c>
      <c r="M2238" t="s">
        <v>58</v>
      </c>
      <c r="Q2238" t="s">
        <v>58</v>
      </c>
      <c r="R2238" s="11" t="str">
        <f>HYPERLINK("\\imagefiles.bcgov\imagery\scanned_maps\moe_terrain_maps\Scanned_T_maps_all\M14\M14-5093","\\imagefiles.bcgov\imagery\scanned_maps\moe_terrain_maps\Scanned_T_maps_all\M14\M14-5093")</f>
        <v>\\imagefiles.bcgov\imagery\scanned_maps\moe_terrain_maps\Scanned_T_maps_all\M14\M14-5093</v>
      </c>
      <c r="S2238" t="s">
        <v>62</v>
      </c>
      <c r="T2238" s="11" t="str">
        <f>HYPERLINK("http://www.env.gov.bc.ca/esd/distdata/ecosystems/TEI_Scanned_Maps/M14/M14-5093","http://www.env.gov.bc.ca/esd/distdata/ecosystems/TEI_Scanned_Maps/M14/M14-5093")</f>
        <v>http://www.env.gov.bc.ca/esd/distdata/ecosystems/TEI_Scanned_Maps/M14/M14-5093</v>
      </c>
      <c r="U2238" t="s">
        <v>58</v>
      </c>
      <c r="V2238" t="s">
        <v>58</v>
      </c>
      <c r="W2238" t="s">
        <v>58</v>
      </c>
      <c r="X2238" t="s">
        <v>58</v>
      </c>
      <c r="Y2238" t="s">
        <v>58</v>
      </c>
      <c r="Z2238" t="s">
        <v>58</v>
      </c>
      <c r="AA2238" t="s">
        <v>58</v>
      </c>
      <c r="AC2238" t="s">
        <v>58</v>
      </c>
      <c r="AE2238" t="s">
        <v>58</v>
      </c>
      <c r="AG2238" t="s">
        <v>63</v>
      </c>
      <c r="AH2238" s="11" t="str">
        <f t="shared" si="152"/>
        <v>mailto: soilterrain@victoria1.gov.bc.ca</v>
      </c>
    </row>
    <row r="2239" spans="1:34">
      <c r="A2239" t="s">
        <v>5190</v>
      </c>
      <c r="B2239" t="s">
        <v>56</v>
      </c>
      <c r="C2239" s="10" t="s">
        <v>1250</v>
      </c>
      <c r="D2239" t="s">
        <v>61</v>
      </c>
      <c r="E2239" t="s">
        <v>5191</v>
      </c>
      <c r="F2239" t="s">
        <v>5192</v>
      </c>
      <c r="G2239">
        <v>50000</v>
      </c>
      <c r="H2239">
        <v>1979</v>
      </c>
      <c r="I2239" t="s">
        <v>5193</v>
      </c>
      <c r="J2239" t="s">
        <v>61</v>
      </c>
      <c r="K2239" t="s">
        <v>58</v>
      </c>
      <c r="L2239" t="s">
        <v>58</v>
      </c>
      <c r="M2239" t="s">
        <v>61</v>
      </c>
      <c r="Q2239" t="s">
        <v>58</v>
      </c>
      <c r="R2239" s="11" t="str">
        <f>HYPERLINK("\\imagefiles.bcgov\imagery\scanned_maps\moe_terrain_maps\Scanned_T_maps_all\M15\M15-4391","\\imagefiles.bcgov\imagery\scanned_maps\moe_terrain_maps\Scanned_T_maps_all\M15\M15-4391")</f>
        <v>\\imagefiles.bcgov\imagery\scanned_maps\moe_terrain_maps\Scanned_T_maps_all\M15\M15-4391</v>
      </c>
      <c r="S2239" t="s">
        <v>62</v>
      </c>
      <c r="T2239" s="11" t="str">
        <f>HYPERLINK("http://www.env.gov.bc.ca/esd/distdata/ecosystems/TEI_Scanned_Maps/M15/M15-4391","http://www.env.gov.bc.ca/esd/distdata/ecosystems/TEI_Scanned_Maps/M15/M15-4391")</f>
        <v>http://www.env.gov.bc.ca/esd/distdata/ecosystems/TEI_Scanned_Maps/M15/M15-4391</v>
      </c>
      <c r="U2239" t="s">
        <v>269</v>
      </c>
      <c r="V2239" s="11" t="str">
        <f>HYPERLINK("http://www.library.for.gov.bc.ca/#focus","http://www.library.for.gov.bc.ca/#focus")</f>
        <v>http://www.library.for.gov.bc.ca/#focus</v>
      </c>
      <c r="W2239" t="s">
        <v>58</v>
      </c>
      <c r="X2239" t="s">
        <v>58</v>
      </c>
      <c r="Y2239" t="s">
        <v>58</v>
      </c>
      <c r="Z2239" t="s">
        <v>58</v>
      </c>
      <c r="AA2239" t="s">
        <v>58</v>
      </c>
      <c r="AC2239" t="s">
        <v>58</v>
      </c>
      <c r="AE2239" t="s">
        <v>58</v>
      </c>
      <c r="AG2239" t="s">
        <v>63</v>
      </c>
      <c r="AH2239" s="11" t="str">
        <f t="shared" si="152"/>
        <v>mailto: soilterrain@victoria1.gov.bc.ca</v>
      </c>
    </row>
    <row r="2240" spans="1:34">
      <c r="A2240" t="s">
        <v>5194</v>
      </c>
      <c r="B2240" t="s">
        <v>56</v>
      </c>
      <c r="C2240" s="10" t="s">
        <v>1250</v>
      </c>
      <c r="D2240" t="s">
        <v>61</v>
      </c>
      <c r="E2240" t="s">
        <v>5191</v>
      </c>
      <c r="F2240" t="s">
        <v>5195</v>
      </c>
      <c r="G2240">
        <v>50000</v>
      </c>
      <c r="H2240">
        <v>1979</v>
      </c>
      <c r="I2240" t="s">
        <v>5193</v>
      </c>
      <c r="J2240" t="s">
        <v>61</v>
      </c>
      <c r="K2240" t="s">
        <v>58</v>
      </c>
      <c r="L2240" t="s">
        <v>58</v>
      </c>
      <c r="M2240" t="s">
        <v>61</v>
      </c>
      <c r="Q2240" t="s">
        <v>58</v>
      </c>
      <c r="R2240" s="11" t="str">
        <f>HYPERLINK("\\imagefiles.bcgov\imagery\scanned_maps\moe_terrain_maps\Scanned_T_maps_all\M15\M15-4392","\\imagefiles.bcgov\imagery\scanned_maps\moe_terrain_maps\Scanned_T_maps_all\M15\M15-4392")</f>
        <v>\\imagefiles.bcgov\imagery\scanned_maps\moe_terrain_maps\Scanned_T_maps_all\M15\M15-4392</v>
      </c>
      <c r="S2240" t="s">
        <v>62</v>
      </c>
      <c r="T2240" s="11" t="str">
        <f>HYPERLINK("http://www.env.gov.bc.ca/esd/distdata/ecosystems/TEI_Scanned_Maps/M15/M15-4392","http://www.env.gov.bc.ca/esd/distdata/ecosystems/TEI_Scanned_Maps/M15/M15-4392")</f>
        <v>http://www.env.gov.bc.ca/esd/distdata/ecosystems/TEI_Scanned_Maps/M15/M15-4392</v>
      </c>
      <c r="U2240" t="s">
        <v>269</v>
      </c>
      <c r="V2240" s="11" t="str">
        <f>HYPERLINK("http://www.library.for.gov.bc.ca/#focus","http://www.library.for.gov.bc.ca/#focus")</f>
        <v>http://www.library.for.gov.bc.ca/#focus</v>
      </c>
      <c r="W2240" t="s">
        <v>58</v>
      </c>
      <c r="X2240" t="s">
        <v>58</v>
      </c>
      <c r="Y2240" t="s">
        <v>58</v>
      </c>
      <c r="Z2240" t="s">
        <v>58</v>
      </c>
      <c r="AA2240" t="s">
        <v>58</v>
      </c>
      <c r="AC2240" t="s">
        <v>58</v>
      </c>
      <c r="AE2240" t="s">
        <v>58</v>
      </c>
      <c r="AG2240" t="s">
        <v>63</v>
      </c>
      <c r="AH2240" s="11" t="str">
        <f t="shared" si="152"/>
        <v>mailto: soilterrain@victoria1.gov.bc.ca</v>
      </c>
    </row>
    <row r="2241" spans="1:34">
      <c r="A2241" t="s">
        <v>5196</v>
      </c>
      <c r="B2241" t="s">
        <v>56</v>
      </c>
      <c r="C2241" s="10" t="s">
        <v>1248</v>
      </c>
      <c r="D2241" t="s">
        <v>61</v>
      </c>
      <c r="E2241" t="s">
        <v>5197</v>
      </c>
      <c r="F2241" t="s">
        <v>5198</v>
      </c>
      <c r="G2241">
        <v>50000</v>
      </c>
      <c r="H2241">
        <v>1979</v>
      </c>
      <c r="I2241" t="s">
        <v>5193</v>
      </c>
      <c r="J2241" t="s">
        <v>61</v>
      </c>
      <c r="K2241" t="s">
        <v>58</v>
      </c>
      <c r="L2241" t="s">
        <v>58</v>
      </c>
      <c r="M2241" t="s">
        <v>58</v>
      </c>
      <c r="P2241" t="s">
        <v>61</v>
      </c>
      <c r="Q2241" t="s">
        <v>58</v>
      </c>
      <c r="R2241" s="11" t="str">
        <f>HYPERLINK("\\imagefiles.bcgov\imagery\scanned_maps\moe_terrain_maps\Scanned_T_maps_all\M15\M15-4398","\\imagefiles.bcgov\imagery\scanned_maps\moe_terrain_maps\Scanned_T_maps_all\M15\M15-4398")</f>
        <v>\\imagefiles.bcgov\imagery\scanned_maps\moe_terrain_maps\Scanned_T_maps_all\M15\M15-4398</v>
      </c>
      <c r="S2241" t="s">
        <v>62</v>
      </c>
      <c r="T2241" s="11" t="str">
        <f>HYPERLINK("http://www.env.gov.bc.ca/esd/distdata/ecosystems/TEI_Scanned_Maps/M15/M15-4398","http://www.env.gov.bc.ca/esd/distdata/ecosystems/TEI_Scanned_Maps/M15/M15-4398")</f>
        <v>http://www.env.gov.bc.ca/esd/distdata/ecosystems/TEI_Scanned_Maps/M15/M15-4398</v>
      </c>
      <c r="U2241" t="s">
        <v>269</v>
      </c>
      <c r="V2241" s="11" t="str">
        <f>HYPERLINK("http://www.library.for.gov.bc.ca/#focus","http://www.library.for.gov.bc.ca/#focus")</f>
        <v>http://www.library.for.gov.bc.ca/#focus</v>
      </c>
      <c r="W2241" t="s">
        <v>58</v>
      </c>
      <c r="X2241" t="s">
        <v>58</v>
      </c>
      <c r="Y2241" t="s">
        <v>58</v>
      </c>
      <c r="Z2241" t="s">
        <v>58</v>
      </c>
      <c r="AA2241" t="s">
        <v>58</v>
      </c>
      <c r="AC2241" t="s">
        <v>58</v>
      </c>
      <c r="AE2241" t="s">
        <v>58</v>
      </c>
      <c r="AG2241" t="s">
        <v>63</v>
      </c>
      <c r="AH2241" s="11" t="str">
        <f t="shared" si="152"/>
        <v>mailto: soilterrain@victoria1.gov.bc.ca</v>
      </c>
    </row>
    <row r="2242" spans="1:34">
      <c r="A2242" t="s">
        <v>5199</v>
      </c>
      <c r="B2242" t="s">
        <v>56</v>
      </c>
      <c r="C2242" s="10" t="s">
        <v>1248</v>
      </c>
      <c r="D2242" t="s">
        <v>61</v>
      </c>
      <c r="E2242" t="s">
        <v>5197</v>
      </c>
      <c r="F2242" t="s">
        <v>5200</v>
      </c>
      <c r="G2242">
        <v>50000</v>
      </c>
      <c r="H2242">
        <v>1979</v>
      </c>
      <c r="I2242" t="s">
        <v>5193</v>
      </c>
      <c r="J2242" t="s">
        <v>61</v>
      </c>
      <c r="K2242" t="s">
        <v>58</v>
      </c>
      <c r="L2242" t="s">
        <v>58</v>
      </c>
      <c r="M2242" t="s">
        <v>58</v>
      </c>
      <c r="P2242" t="s">
        <v>61</v>
      </c>
      <c r="Q2242" t="s">
        <v>58</v>
      </c>
      <c r="R2242" s="11" t="str">
        <f>HYPERLINK("\\imagefiles.bcgov\imagery\scanned_maps\moe_terrain_maps\Scanned_T_maps_all\M15\M15-4399","\\imagefiles.bcgov\imagery\scanned_maps\moe_terrain_maps\Scanned_T_maps_all\M15\M15-4399")</f>
        <v>\\imagefiles.bcgov\imagery\scanned_maps\moe_terrain_maps\Scanned_T_maps_all\M15\M15-4399</v>
      </c>
      <c r="S2242" t="s">
        <v>62</v>
      </c>
      <c r="T2242" s="11" t="str">
        <f>HYPERLINK("http://www.env.gov.bc.ca/esd/distdata/ecosystems/TEI_Scanned_Maps/M15/M15-4399","http://www.env.gov.bc.ca/esd/distdata/ecosystems/TEI_Scanned_Maps/M15/M15-4399")</f>
        <v>http://www.env.gov.bc.ca/esd/distdata/ecosystems/TEI_Scanned_Maps/M15/M15-4399</v>
      </c>
      <c r="U2242" t="s">
        <v>269</v>
      </c>
      <c r="V2242" s="11" t="str">
        <f>HYPERLINK("http://www.library.for.gov.bc.ca/#focus","http://www.library.for.gov.bc.ca/#focus")</f>
        <v>http://www.library.for.gov.bc.ca/#focus</v>
      </c>
      <c r="W2242" t="s">
        <v>58</v>
      </c>
      <c r="X2242" t="s">
        <v>58</v>
      </c>
      <c r="Y2242" t="s">
        <v>58</v>
      </c>
      <c r="Z2242" t="s">
        <v>58</v>
      </c>
      <c r="AA2242" t="s">
        <v>58</v>
      </c>
      <c r="AC2242" t="s">
        <v>58</v>
      </c>
      <c r="AE2242" t="s">
        <v>58</v>
      </c>
      <c r="AG2242" t="s">
        <v>63</v>
      </c>
      <c r="AH2242" s="11" t="str">
        <f t="shared" ref="AH2242:AH2305" si="154">HYPERLINK("mailto: soilterrain@victoria1.gov.bc.ca","mailto: soilterrain@victoria1.gov.bc.ca")</f>
        <v>mailto: soilterrain@victoria1.gov.bc.ca</v>
      </c>
    </row>
    <row r="2243" spans="1:34">
      <c r="A2243" t="s">
        <v>5201</v>
      </c>
      <c r="B2243" t="s">
        <v>56</v>
      </c>
      <c r="C2243" s="10" t="s">
        <v>1248</v>
      </c>
      <c r="D2243" t="s">
        <v>61</v>
      </c>
      <c r="E2243" t="s">
        <v>5197</v>
      </c>
      <c r="F2243" t="s">
        <v>5202</v>
      </c>
      <c r="G2243">
        <v>50000</v>
      </c>
      <c r="H2243" t="s">
        <v>187</v>
      </c>
      <c r="I2243" t="s">
        <v>5193</v>
      </c>
      <c r="J2243" t="s">
        <v>61</v>
      </c>
      <c r="K2243" t="s">
        <v>58</v>
      </c>
      <c r="L2243" t="s">
        <v>58</v>
      </c>
      <c r="M2243" t="s">
        <v>58</v>
      </c>
      <c r="P2243" t="s">
        <v>61</v>
      </c>
      <c r="Q2243" t="s">
        <v>58</v>
      </c>
      <c r="R2243" s="11" t="str">
        <f>HYPERLINK("\\imagefiles.bcgov\imagery\scanned_maps\moe_terrain_maps\Scanned_T_maps_all\M15\M15-4409","\\imagefiles.bcgov\imagery\scanned_maps\moe_terrain_maps\Scanned_T_maps_all\M15\M15-4409")</f>
        <v>\\imagefiles.bcgov\imagery\scanned_maps\moe_terrain_maps\Scanned_T_maps_all\M15\M15-4409</v>
      </c>
      <c r="S2243" t="s">
        <v>62</v>
      </c>
      <c r="T2243" s="11" t="str">
        <f>HYPERLINK("http://www.env.gov.bc.ca/esd/distdata/ecosystems/TEI_Scanned_Maps/M15/M15-4409","http://www.env.gov.bc.ca/esd/distdata/ecosystems/TEI_Scanned_Maps/M15/M15-4409")</f>
        <v>http://www.env.gov.bc.ca/esd/distdata/ecosystems/TEI_Scanned_Maps/M15/M15-4409</v>
      </c>
      <c r="U2243" t="s">
        <v>269</v>
      </c>
      <c r="V2243" s="11" t="str">
        <f>HYPERLINK("http://www.library.for.gov.bc.ca/#focus","http://www.library.for.gov.bc.ca/#focus")</f>
        <v>http://www.library.for.gov.bc.ca/#focus</v>
      </c>
      <c r="W2243" t="s">
        <v>58</v>
      </c>
      <c r="X2243" t="s">
        <v>58</v>
      </c>
      <c r="Y2243" t="s">
        <v>58</v>
      </c>
      <c r="Z2243" t="s">
        <v>58</v>
      </c>
      <c r="AA2243" t="s">
        <v>58</v>
      </c>
      <c r="AC2243" t="s">
        <v>58</v>
      </c>
      <c r="AE2243" t="s">
        <v>58</v>
      </c>
      <c r="AG2243" t="s">
        <v>63</v>
      </c>
      <c r="AH2243" s="11" t="str">
        <f t="shared" si="154"/>
        <v>mailto: soilterrain@victoria1.gov.bc.ca</v>
      </c>
    </row>
    <row r="2244" spans="1:34">
      <c r="A2244" t="s">
        <v>5203</v>
      </c>
      <c r="B2244" t="s">
        <v>56</v>
      </c>
      <c r="C2244" s="10" t="s">
        <v>1147</v>
      </c>
      <c r="D2244" t="s">
        <v>58</v>
      </c>
      <c r="E2244" t="s">
        <v>5204</v>
      </c>
      <c r="F2244" t="s">
        <v>5205</v>
      </c>
      <c r="G2244">
        <v>50000</v>
      </c>
      <c r="H2244" t="s">
        <v>187</v>
      </c>
      <c r="I2244" t="s">
        <v>5206</v>
      </c>
      <c r="J2244" t="s">
        <v>61</v>
      </c>
      <c r="K2244" t="s">
        <v>61</v>
      </c>
      <c r="L2244" t="s">
        <v>61</v>
      </c>
      <c r="M2244" t="s">
        <v>58</v>
      </c>
      <c r="Q2244" t="s">
        <v>58</v>
      </c>
      <c r="R2244" s="11" t="str">
        <f>HYPERLINK("\\imagefiles.bcgov\imagery\scanned_maps\moe_terrain_maps\Scanned_T_maps_all\M17\M17-127","\\imagefiles.bcgov\imagery\scanned_maps\moe_terrain_maps\Scanned_T_maps_all\M17\M17-127")</f>
        <v>\\imagefiles.bcgov\imagery\scanned_maps\moe_terrain_maps\Scanned_T_maps_all\M17\M17-127</v>
      </c>
      <c r="S2244" t="s">
        <v>62</v>
      </c>
      <c r="T2244" s="11" t="str">
        <f>HYPERLINK("http://www.env.gov.bc.ca/esd/distdata/ecosystems/TEI_Scanned_Maps/M17/M17-127","http://www.env.gov.bc.ca/esd/distdata/ecosystems/TEI_Scanned_Maps/M17/M17-127")</f>
        <v>http://www.env.gov.bc.ca/esd/distdata/ecosystems/TEI_Scanned_Maps/M17/M17-127</v>
      </c>
      <c r="U2244" t="s">
        <v>269</v>
      </c>
      <c r="V2244" s="11" t="str">
        <f>HYPERLINK("http://www.for.gov.bc.ca/hfd/library/documents/bib19285.pdf","http://www.for.gov.bc.ca/hfd/library/documents/bib19285.pdf")</f>
        <v>http://www.for.gov.bc.ca/hfd/library/documents/bib19285.pdf</v>
      </c>
      <c r="W2244" t="s">
        <v>58</v>
      </c>
      <c r="X2244" t="s">
        <v>58</v>
      </c>
      <c r="Y2244" t="s">
        <v>58</v>
      </c>
      <c r="Z2244" t="s">
        <v>58</v>
      </c>
      <c r="AA2244" t="s">
        <v>58</v>
      </c>
      <c r="AC2244" t="s">
        <v>58</v>
      </c>
      <c r="AE2244" t="s">
        <v>58</v>
      </c>
      <c r="AG2244" t="s">
        <v>63</v>
      </c>
      <c r="AH2244" s="11" t="str">
        <f t="shared" si="154"/>
        <v>mailto: soilterrain@victoria1.gov.bc.ca</v>
      </c>
    </row>
    <row r="2245" spans="1:34">
      <c r="A2245" t="s">
        <v>5207</v>
      </c>
      <c r="B2245" t="s">
        <v>56</v>
      </c>
      <c r="C2245" s="10" t="s">
        <v>1147</v>
      </c>
      <c r="D2245" t="s">
        <v>58</v>
      </c>
      <c r="E2245" t="s">
        <v>5204</v>
      </c>
      <c r="F2245" t="s">
        <v>5208</v>
      </c>
      <c r="G2245">
        <v>50000</v>
      </c>
      <c r="H2245">
        <v>1980</v>
      </c>
      <c r="I2245" t="s">
        <v>5206</v>
      </c>
      <c r="J2245" t="s">
        <v>61</v>
      </c>
      <c r="K2245" t="s">
        <v>58</v>
      </c>
      <c r="L2245" t="s">
        <v>58</v>
      </c>
      <c r="M2245" t="s">
        <v>58</v>
      </c>
      <c r="P2245" t="s">
        <v>61</v>
      </c>
      <c r="Q2245" t="s">
        <v>58</v>
      </c>
      <c r="R2245" s="11" t="str">
        <f>HYPERLINK("\\imagefiles.bcgov\imagery\scanned_maps\moe_terrain_maps\Scanned_T_maps_all\M17\M17-129","\\imagefiles.bcgov\imagery\scanned_maps\moe_terrain_maps\Scanned_T_maps_all\M17\M17-129")</f>
        <v>\\imagefiles.bcgov\imagery\scanned_maps\moe_terrain_maps\Scanned_T_maps_all\M17\M17-129</v>
      </c>
      <c r="S2245" t="s">
        <v>62</v>
      </c>
      <c r="T2245" s="11" t="str">
        <f>HYPERLINK("http://www.env.gov.bc.ca/esd/distdata/ecosystems/TEI_Scanned_Maps/M17/M17-129","http://www.env.gov.bc.ca/esd/distdata/ecosystems/TEI_Scanned_Maps/M17/M17-129")</f>
        <v>http://www.env.gov.bc.ca/esd/distdata/ecosystems/TEI_Scanned_Maps/M17/M17-129</v>
      </c>
      <c r="U2245" t="s">
        <v>269</v>
      </c>
      <c r="V2245" s="11" t="str">
        <f>HYPERLINK("http://www.for.gov.bc.ca/hfd/library/documents/bib19285.pdf","http://www.for.gov.bc.ca/hfd/library/documents/bib19285.pdf")</f>
        <v>http://www.for.gov.bc.ca/hfd/library/documents/bib19285.pdf</v>
      </c>
      <c r="W2245" t="s">
        <v>58</v>
      </c>
      <c r="X2245" t="s">
        <v>58</v>
      </c>
      <c r="Y2245" t="s">
        <v>58</v>
      </c>
      <c r="Z2245" t="s">
        <v>58</v>
      </c>
      <c r="AA2245" t="s">
        <v>58</v>
      </c>
      <c r="AC2245" t="s">
        <v>58</v>
      </c>
      <c r="AE2245" t="s">
        <v>58</v>
      </c>
      <c r="AG2245" t="s">
        <v>63</v>
      </c>
      <c r="AH2245" s="11" t="str">
        <f t="shared" si="154"/>
        <v>mailto: soilterrain@victoria1.gov.bc.ca</v>
      </c>
    </row>
    <row r="2246" spans="1:34">
      <c r="A2246" t="s">
        <v>5209</v>
      </c>
      <c r="B2246" t="s">
        <v>56</v>
      </c>
      <c r="C2246" s="10" t="s">
        <v>1147</v>
      </c>
      <c r="D2246" t="s">
        <v>58</v>
      </c>
      <c r="E2246" t="s">
        <v>5204</v>
      </c>
      <c r="F2246" t="s">
        <v>5210</v>
      </c>
      <c r="G2246">
        <v>50000</v>
      </c>
      <c r="H2246">
        <v>1983</v>
      </c>
      <c r="I2246" t="s">
        <v>5206</v>
      </c>
      <c r="J2246" t="s">
        <v>61</v>
      </c>
      <c r="K2246" t="s">
        <v>58</v>
      </c>
      <c r="L2246" t="s">
        <v>61</v>
      </c>
      <c r="M2246" t="s">
        <v>58</v>
      </c>
      <c r="Q2246" t="s">
        <v>58</v>
      </c>
      <c r="R2246" s="11" t="str">
        <f>HYPERLINK("\\imagefiles.bcgov\imagery\scanned_maps\moe_terrain_maps\Scanned_T_maps_all\M17\M17-133","\\imagefiles.bcgov\imagery\scanned_maps\moe_terrain_maps\Scanned_T_maps_all\M17\M17-133")</f>
        <v>\\imagefiles.bcgov\imagery\scanned_maps\moe_terrain_maps\Scanned_T_maps_all\M17\M17-133</v>
      </c>
      <c r="S2246" t="s">
        <v>62</v>
      </c>
      <c r="T2246" s="11" t="str">
        <f>HYPERLINK("http://www.env.gov.bc.ca/esd/distdata/ecosystems/TEI_Scanned_Maps/M17/M17-133","http://www.env.gov.bc.ca/esd/distdata/ecosystems/TEI_Scanned_Maps/M17/M17-133")</f>
        <v>http://www.env.gov.bc.ca/esd/distdata/ecosystems/TEI_Scanned_Maps/M17/M17-133</v>
      </c>
      <c r="U2246" t="s">
        <v>269</v>
      </c>
      <c r="V2246" s="11" t="str">
        <f>HYPERLINK("http://www.for.gov.bc.ca/hfd/library/documents/bib19285.pdf","http://www.for.gov.bc.ca/hfd/library/documents/bib19285.pdf")</f>
        <v>http://www.for.gov.bc.ca/hfd/library/documents/bib19285.pdf</v>
      </c>
      <c r="W2246" t="s">
        <v>58</v>
      </c>
      <c r="X2246" t="s">
        <v>58</v>
      </c>
      <c r="Y2246" t="s">
        <v>58</v>
      </c>
      <c r="Z2246" t="s">
        <v>58</v>
      </c>
      <c r="AA2246" t="s">
        <v>58</v>
      </c>
      <c r="AC2246" t="s">
        <v>58</v>
      </c>
      <c r="AE2246" t="s">
        <v>58</v>
      </c>
      <c r="AG2246" t="s">
        <v>63</v>
      </c>
      <c r="AH2246" s="11" t="str">
        <f t="shared" si="154"/>
        <v>mailto: soilterrain@victoria1.gov.bc.ca</v>
      </c>
    </row>
    <row r="2247" spans="1:34">
      <c r="A2247" t="s">
        <v>5211</v>
      </c>
      <c r="B2247" t="s">
        <v>56</v>
      </c>
      <c r="C2247" s="10" t="s">
        <v>1147</v>
      </c>
      <c r="D2247" t="s">
        <v>58</v>
      </c>
      <c r="E2247" t="s">
        <v>5204</v>
      </c>
      <c r="F2247" t="s">
        <v>5212</v>
      </c>
      <c r="G2247">
        <v>50000</v>
      </c>
      <c r="H2247">
        <v>1981</v>
      </c>
      <c r="I2247" t="s">
        <v>5206</v>
      </c>
      <c r="J2247" t="s">
        <v>61</v>
      </c>
      <c r="K2247" t="s">
        <v>61</v>
      </c>
      <c r="L2247" t="s">
        <v>58</v>
      </c>
      <c r="M2247" t="s">
        <v>58</v>
      </c>
      <c r="Q2247" t="s">
        <v>58</v>
      </c>
      <c r="R2247" s="11" t="str">
        <f>HYPERLINK("\\imagefiles.bcgov\imagery\scanned_maps\moe_terrain_maps\Scanned_T_maps_all\M17\M17-134","\\imagefiles.bcgov\imagery\scanned_maps\moe_terrain_maps\Scanned_T_maps_all\M17\M17-134")</f>
        <v>\\imagefiles.bcgov\imagery\scanned_maps\moe_terrain_maps\Scanned_T_maps_all\M17\M17-134</v>
      </c>
      <c r="S2247" t="s">
        <v>62</v>
      </c>
      <c r="T2247" s="11" t="str">
        <f>HYPERLINK("http://www.env.gov.bc.ca/esd/distdata/ecosystems/TEI_Scanned_Maps/M17/M17-134","http://www.env.gov.bc.ca/esd/distdata/ecosystems/TEI_Scanned_Maps/M17/M17-134")</f>
        <v>http://www.env.gov.bc.ca/esd/distdata/ecosystems/TEI_Scanned_Maps/M17/M17-134</v>
      </c>
      <c r="U2247" t="s">
        <v>269</v>
      </c>
      <c r="V2247" s="11" t="str">
        <f>HYPERLINK("http://www.for.gov.bc.ca/hfd/library/documents/bib19285.pdf","http://www.for.gov.bc.ca/hfd/library/documents/bib19285.pdf")</f>
        <v>http://www.for.gov.bc.ca/hfd/library/documents/bib19285.pdf</v>
      </c>
      <c r="W2247" t="s">
        <v>58</v>
      </c>
      <c r="X2247" t="s">
        <v>58</v>
      </c>
      <c r="Y2247" t="s">
        <v>58</v>
      </c>
      <c r="Z2247" t="s">
        <v>58</v>
      </c>
      <c r="AA2247" t="s">
        <v>58</v>
      </c>
      <c r="AC2247" t="s">
        <v>58</v>
      </c>
      <c r="AE2247" t="s">
        <v>58</v>
      </c>
      <c r="AG2247" t="s">
        <v>63</v>
      </c>
      <c r="AH2247" s="11" t="str">
        <f t="shared" si="154"/>
        <v>mailto: soilterrain@victoria1.gov.bc.ca</v>
      </c>
    </row>
    <row r="2248" spans="1:34">
      <c r="A2248" t="s">
        <v>5213</v>
      </c>
      <c r="B2248" t="s">
        <v>56</v>
      </c>
      <c r="C2248" s="10" t="s">
        <v>1147</v>
      </c>
      <c r="D2248" t="s">
        <v>58</v>
      </c>
      <c r="E2248" t="s">
        <v>5204</v>
      </c>
      <c r="F2248" t="s">
        <v>5214</v>
      </c>
      <c r="G2248">
        <v>50000</v>
      </c>
      <c r="H2248">
        <v>1981</v>
      </c>
      <c r="I2248" t="s">
        <v>5206</v>
      </c>
      <c r="J2248" t="s">
        <v>61</v>
      </c>
      <c r="K2248" t="s">
        <v>58</v>
      </c>
      <c r="L2248" t="s">
        <v>58</v>
      </c>
      <c r="M2248" t="s">
        <v>58</v>
      </c>
      <c r="P2248" t="s">
        <v>61</v>
      </c>
      <c r="Q2248" t="s">
        <v>58</v>
      </c>
      <c r="R2248" s="11" t="str">
        <f>HYPERLINK("\\imagefiles.bcgov\imagery\scanned_maps\moe_terrain_maps\Scanned_T_maps_all\M17\M17-137","\\imagefiles.bcgov\imagery\scanned_maps\moe_terrain_maps\Scanned_T_maps_all\M17\M17-137")</f>
        <v>\\imagefiles.bcgov\imagery\scanned_maps\moe_terrain_maps\Scanned_T_maps_all\M17\M17-137</v>
      </c>
      <c r="S2248" t="s">
        <v>62</v>
      </c>
      <c r="T2248" s="11" t="str">
        <f>HYPERLINK("http://www.env.gov.bc.ca/esd/distdata/ecosystems/TEI_Scanned_Maps/M17/M17-137","http://www.env.gov.bc.ca/esd/distdata/ecosystems/TEI_Scanned_Maps/M17/M17-137")</f>
        <v>http://www.env.gov.bc.ca/esd/distdata/ecosystems/TEI_Scanned_Maps/M17/M17-137</v>
      </c>
      <c r="U2248" t="s">
        <v>269</v>
      </c>
      <c r="V2248" s="11" t="str">
        <f>HYPERLINK("http://www.for.gov.bc.ca/hfd/library/documents/bib19285.pdf","http://www.for.gov.bc.ca/hfd/library/documents/bib19285.pdf")</f>
        <v>http://www.for.gov.bc.ca/hfd/library/documents/bib19285.pdf</v>
      </c>
      <c r="W2248" t="s">
        <v>58</v>
      </c>
      <c r="X2248" t="s">
        <v>58</v>
      </c>
      <c r="Y2248" t="s">
        <v>58</v>
      </c>
      <c r="Z2248" t="s">
        <v>58</v>
      </c>
      <c r="AA2248" t="s">
        <v>58</v>
      </c>
      <c r="AC2248" t="s">
        <v>58</v>
      </c>
      <c r="AE2248" t="s">
        <v>58</v>
      </c>
      <c r="AG2248" t="s">
        <v>63</v>
      </c>
      <c r="AH2248" s="11" t="str">
        <f t="shared" si="154"/>
        <v>mailto: soilterrain@victoria1.gov.bc.ca</v>
      </c>
    </row>
    <row r="2249" spans="1:34">
      <c r="A2249" t="s">
        <v>5215</v>
      </c>
      <c r="B2249" t="s">
        <v>56</v>
      </c>
      <c r="C2249" s="10" t="s">
        <v>5216</v>
      </c>
      <c r="D2249" t="s">
        <v>58</v>
      </c>
      <c r="E2249" t="s">
        <v>5217</v>
      </c>
      <c r="F2249" t="s">
        <v>5218</v>
      </c>
      <c r="G2249">
        <v>20000</v>
      </c>
      <c r="H2249">
        <v>1979</v>
      </c>
      <c r="I2249" t="s">
        <v>58</v>
      </c>
      <c r="J2249" t="s">
        <v>61</v>
      </c>
      <c r="K2249" t="s">
        <v>61</v>
      </c>
      <c r="L2249" t="s">
        <v>58</v>
      </c>
      <c r="M2249" t="s">
        <v>58</v>
      </c>
      <c r="Q2249" t="s">
        <v>58</v>
      </c>
      <c r="R2249" s="11" t="str">
        <f>HYPERLINK("\\imagefiles.bcgov\imagery\scanned_maps\moe_terrain_maps\Scanned_T_maps_all\M17\M17-1397","\\imagefiles.bcgov\imagery\scanned_maps\moe_terrain_maps\Scanned_T_maps_all\M17\M17-1397")</f>
        <v>\\imagefiles.bcgov\imagery\scanned_maps\moe_terrain_maps\Scanned_T_maps_all\M17\M17-1397</v>
      </c>
      <c r="S2249" t="s">
        <v>62</v>
      </c>
      <c r="T2249" s="11" t="str">
        <f>HYPERLINK("http://www.env.gov.bc.ca/esd/distdata/ecosystems/TEI_Scanned_Maps/M17/M17-1397","http://www.env.gov.bc.ca/esd/distdata/ecosystems/TEI_Scanned_Maps/M17/M17-1397")</f>
        <v>http://www.env.gov.bc.ca/esd/distdata/ecosystems/TEI_Scanned_Maps/M17/M17-1397</v>
      </c>
      <c r="U2249" t="s">
        <v>58</v>
      </c>
      <c r="V2249" t="s">
        <v>58</v>
      </c>
      <c r="W2249" t="s">
        <v>58</v>
      </c>
      <c r="X2249" t="s">
        <v>58</v>
      </c>
      <c r="Y2249" t="s">
        <v>58</v>
      </c>
      <c r="Z2249" t="s">
        <v>58</v>
      </c>
      <c r="AA2249" t="s">
        <v>58</v>
      </c>
      <c r="AC2249" t="s">
        <v>58</v>
      </c>
      <c r="AE2249" t="s">
        <v>58</v>
      </c>
      <c r="AG2249" t="s">
        <v>63</v>
      </c>
      <c r="AH2249" s="11" t="str">
        <f t="shared" si="154"/>
        <v>mailto: soilterrain@victoria1.gov.bc.ca</v>
      </c>
    </row>
    <row r="2250" spans="1:34">
      <c r="A2250" t="s">
        <v>5219</v>
      </c>
      <c r="B2250" t="s">
        <v>56</v>
      </c>
      <c r="C2250" s="10" t="s">
        <v>5216</v>
      </c>
      <c r="D2250" t="s">
        <v>58</v>
      </c>
      <c r="E2250" t="s">
        <v>5217</v>
      </c>
      <c r="F2250" t="s">
        <v>5220</v>
      </c>
      <c r="G2250">
        <v>20000</v>
      </c>
      <c r="H2250">
        <v>1983</v>
      </c>
      <c r="I2250" t="s">
        <v>58</v>
      </c>
      <c r="J2250" t="s">
        <v>61</v>
      </c>
      <c r="K2250" t="s">
        <v>61</v>
      </c>
      <c r="L2250" t="s">
        <v>58</v>
      </c>
      <c r="M2250" t="s">
        <v>58</v>
      </c>
      <c r="Q2250" t="s">
        <v>58</v>
      </c>
      <c r="R2250" s="11" t="str">
        <f>HYPERLINK("\\imagefiles.bcgov\imagery\scanned_maps\moe_terrain_maps\Scanned_T_maps_all\M17\M17-1400","\\imagefiles.bcgov\imagery\scanned_maps\moe_terrain_maps\Scanned_T_maps_all\M17\M17-1400")</f>
        <v>\\imagefiles.bcgov\imagery\scanned_maps\moe_terrain_maps\Scanned_T_maps_all\M17\M17-1400</v>
      </c>
      <c r="S2250" t="s">
        <v>62</v>
      </c>
      <c r="T2250" s="11" t="str">
        <f>HYPERLINK("http://www.env.gov.bc.ca/esd/distdata/ecosystems/TEI_Scanned_Maps/M17/M17-1400","http://www.env.gov.bc.ca/esd/distdata/ecosystems/TEI_Scanned_Maps/M17/M17-1400")</f>
        <v>http://www.env.gov.bc.ca/esd/distdata/ecosystems/TEI_Scanned_Maps/M17/M17-1400</v>
      </c>
      <c r="U2250" t="s">
        <v>58</v>
      </c>
      <c r="V2250" t="s">
        <v>58</v>
      </c>
      <c r="W2250" t="s">
        <v>58</v>
      </c>
      <c r="X2250" t="s">
        <v>58</v>
      </c>
      <c r="Y2250" t="s">
        <v>58</v>
      </c>
      <c r="Z2250" t="s">
        <v>58</v>
      </c>
      <c r="AA2250" t="s">
        <v>58</v>
      </c>
      <c r="AC2250" t="s">
        <v>58</v>
      </c>
      <c r="AE2250" t="s">
        <v>58</v>
      </c>
      <c r="AG2250" t="s">
        <v>63</v>
      </c>
      <c r="AH2250" s="11" t="str">
        <f t="shared" si="154"/>
        <v>mailto: soilterrain@victoria1.gov.bc.ca</v>
      </c>
    </row>
    <row r="2251" spans="1:34">
      <c r="A2251" t="s">
        <v>5221</v>
      </c>
      <c r="B2251" t="s">
        <v>56</v>
      </c>
      <c r="C2251" s="10" t="s">
        <v>5216</v>
      </c>
      <c r="D2251" t="s">
        <v>58</v>
      </c>
      <c r="E2251" t="s">
        <v>5217</v>
      </c>
      <c r="F2251" t="s">
        <v>5222</v>
      </c>
      <c r="G2251">
        <v>20000</v>
      </c>
      <c r="H2251">
        <v>1978</v>
      </c>
      <c r="I2251" t="s">
        <v>58</v>
      </c>
      <c r="J2251" t="s">
        <v>61</v>
      </c>
      <c r="K2251" t="s">
        <v>58</v>
      </c>
      <c r="L2251" t="s">
        <v>58</v>
      </c>
      <c r="M2251" t="s">
        <v>61</v>
      </c>
      <c r="Q2251" t="s">
        <v>58</v>
      </c>
      <c r="R2251" s="11" t="str">
        <f>HYPERLINK("\\imagefiles.bcgov\imagery\scanned_maps\moe_terrain_maps\Scanned_T_maps_all\M17\M17-4436","\\imagefiles.bcgov\imagery\scanned_maps\moe_terrain_maps\Scanned_T_maps_all\M17\M17-4436")</f>
        <v>\\imagefiles.bcgov\imagery\scanned_maps\moe_terrain_maps\Scanned_T_maps_all\M17\M17-4436</v>
      </c>
      <c r="S2251" t="s">
        <v>62</v>
      </c>
      <c r="T2251" s="11" t="str">
        <f>HYPERLINK("http://www.env.gov.bc.ca/esd/distdata/ecosystems/TEI_Scanned_Maps/M17/M17-4436","http://www.env.gov.bc.ca/esd/distdata/ecosystems/TEI_Scanned_Maps/M17/M17-4436")</f>
        <v>http://www.env.gov.bc.ca/esd/distdata/ecosystems/TEI_Scanned_Maps/M17/M17-4436</v>
      </c>
      <c r="U2251" t="s">
        <v>58</v>
      </c>
      <c r="V2251" t="s">
        <v>58</v>
      </c>
      <c r="W2251" t="s">
        <v>58</v>
      </c>
      <c r="X2251" t="s">
        <v>58</v>
      </c>
      <c r="Y2251" t="s">
        <v>58</v>
      </c>
      <c r="Z2251" t="s">
        <v>58</v>
      </c>
      <c r="AA2251" t="s">
        <v>58</v>
      </c>
      <c r="AC2251" t="s">
        <v>58</v>
      </c>
      <c r="AE2251" t="s">
        <v>58</v>
      </c>
      <c r="AG2251" t="s">
        <v>63</v>
      </c>
      <c r="AH2251" s="11" t="str">
        <f t="shared" si="154"/>
        <v>mailto: soilterrain@victoria1.gov.bc.ca</v>
      </c>
    </row>
    <row r="2252" spans="1:34">
      <c r="A2252" t="s">
        <v>5223</v>
      </c>
      <c r="B2252" t="s">
        <v>56</v>
      </c>
      <c r="C2252" s="10" t="s">
        <v>1147</v>
      </c>
      <c r="D2252" t="s">
        <v>61</v>
      </c>
      <c r="E2252" t="s">
        <v>5204</v>
      </c>
      <c r="F2252" t="s">
        <v>5224</v>
      </c>
      <c r="G2252">
        <v>50000</v>
      </c>
      <c r="H2252">
        <v>1981</v>
      </c>
      <c r="I2252" t="s">
        <v>5206</v>
      </c>
      <c r="J2252" t="s">
        <v>61</v>
      </c>
      <c r="K2252" t="s">
        <v>58</v>
      </c>
      <c r="L2252" t="s">
        <v>58</v>
      </c>
      <c r="M2252" t="s">
        <v>61</v>
      </c>
      <c r="Q2252" t="s">
        <v>58</v>
      </c>
      <c r="R2252" s="11" t="str">
        <f>HYPERLINK("\\imagefiles.bcgov\imagery\scanned_maps\moe_terrain_maps\Scanned_T_maps_all\M17\M17-4448","\\imagefiles.bcgov\imagery\scanned_maps\moe_terrain_maps\Scanned_T_maps_all\M17\M17-4448")</f>
        <v>\\imagefiles.bcgov\imagery\scanned_maps\moe_terrain_maps\Scanned_T_maps_all\M17\M17-4448</v>
      </c>
      <c r="S2252" t="s">
        <v>62</v>
      </c>
      <c r="T2252" s="11" t="str">
        <f>HYPERLINK("http://www.env.gov.bc.ca/esd/distdata/ecosystems/TEI_Scanned_Maps/M17/M17-4448","http://www.env.gov.bc.ca/esd/distdata/ecosystems/TEI_Scanned_Maps/M17/M17-4448")</f>
        <v>http://www.env.gov.bc.ca/esd/distdata/ecosystems/TEI_Scanned_Maps/M17/M17-4448</v>
      </c>
      <c r="U2252" t="s">
        <v>269</v>
      </c>
      <c r="V2252" s="11" t="str">
        <f>HYPERLINK("http://www.for.gov.bc.ca/hfd/library/documents/bib19285.pdf","http://www.for.gov.bc.ca/hfd/library/documents/bib19285.pdf")</f>
        <v>http://www.for.gov.bc.ca/hfd/library/documents/bib19285.pdf</v>
      </c>
      <c r="W2252" t="s">
        <v>58</v>
      </c>
      <c r="X2252" t="s">
        <v>58</v>
      </c>
      <c r="Y2252" t="s">
        <v>58</v>
      </c>
      <c r="Z2252" t="s">
        <v>58</v>
      </c>
      <c r="AA2252" t="s">
        <v>58</v>
      </c>
      <c r="AC2252" t="s">
        <v>58</v>
      </c>
      <c r="AE2252" t="s">
        <v>58</v>
      </c>
      <c r="AG2252" t="s">
        <v>63</v>
      </c>
      <c r="AH2252" s="11" t="str">
        <f t="shared" si="154"/>
        <v>mailto: soilterrain@victoria1.gov.bc.ca</v>
      </c>
    </row>
    <row r="2253" spans="1:34">
      <c r="A2253" t="s">
        <v>5225</v>
      </c>
      <c r="B2253" t="s">
        <v>56</v>
      </c>
      <c r="C2253" s="10" t="s">
        <v>5226</v>
      </c>
      <c r="D2253" t="s">
        <v>58</v>
      </c>
      <c r="E2253" t="s">
        <v>5076</v>
      </c>
      <c r="F2253" t="s">
        <v>5227</v>
      </c>
      <c r="G2253">
        <v>20000</v>
      </c>
      <c r="H2253" t="s">
        <v>187</v>
      </c>
      <c r="I2253" t="s">
        <v>58</v>
      </c>
      <c r="J2253" t="s">
        <v>61</v>
      </c>
      <c r="K2253" t="s">
        <v>61</v>
      </c>
      <c r="L2253" t="s">
        <v>58</v>
      </c>
      <c r="M2253" t="s">
        <v>58</v>
      </c>
      <c r="Q2253" t="s">
        <v>58</v>
      </c>
      <c r="R2253" s="11" t="str">
        <f>HYPERLINK("\\imagefiles.bcgov\imagery\scanned_maps\moe_terrain_maps\Scanned_T_maps_all\M18\M18-1404","\\imagefiles.bcgov\imagery\scanned_maps\moe_terrain_maps\Scanned_T_maps_all\M18\M18-1404")</f>
        <v>\\imagefiles.bcgov\imagery\scanned_maps\moe_terrain_maps\Scanned_T_maps_all\M18\M18-1404</v>
      </c>
      <c r="S2253" t="s">
        <v>62</v>
      </c>
      <c r="T2253" s="11" t="str">
        <f>HYPERLINK("http://www.env.gov.bc.ca/esd/distdata/ecosystems/TEI_Scanned_Maps/M18/M18-1404","http://www.env.gov.bc.ca/esd/distdata/ecosystems/TEI_Scanned_Maps/M18/M18-1404")</f>
        <v>http://www.env.gov.bc.ca/esd/distdata/ecosystems/TEI_Scanned_Maps/M18/M18-1404</v>
      </c>
      <c r="U2253" t="s">
        <v>58</v>
      </c>
      <c r="V2253" t="s">
        <v>58</v>
      </c>
      <c r="W2253" t="s">
        <v>58</v>
      </c>
      <c r="X2253" t="s">
        <v>58</v>
      </c>
      <c r="Y2253" t="s">
        <v>58</v>
      </c>
      <c r="Z2253" t="s">
        <v>58</v>
      </c>
      <c r="AA2253" t="s">
        <v>58</v>
      </c>
      <c r="AC2253" t="s">
        <v>58</v>
      </c>
      <c r="AE2253" t="s">
        <v>58</v>
      </c>
      <c r="AG2253" t="s">
        <v>63</v>
      </c>
      <c r="AH2253" s="11" t="str">
        <f t="shared" si="154"/>
        <v>mailto: soilterrain@victoria1.gov.bc.ca</v>
      </c>
    </row>
    <row r="2254" spans="1:34">
      <c r="A2254" t="s">
        <v>5228</v>
      </c>
      <c r="B2254" t="s">
        <v>56</v>
      </c>
      <c r="C2254" s="10" t="s">
        <v>5226</v>
      </c>
      <c r="D2254" t="s">
        <v>58</v>
      </c>
      <c r="E2254" t="s">
        <v>5076</v>
      </c>
      <c r="F2254" t="s">
        <v>5229</v>
      </c>
      <c r="G2254">
        <v>20000</v>
      </c>
      <c r="H2254">
        <v>1978</v>
      </c>
      <c r="I2254" t="s">
        <v>58</v>
      </c>
      <c r="J2254" t="s">
        <v>61</v>
      </c>
      <c r="K2254" t="s">
        <v>58</v>
      </c>
      <c r="L2254" t="s">
        <v>61</v>
      </c>
      <c r="M2254" t="s">
        <v>58</v>
      </c>
      <c r="Q2254" t="s">
        <v>58</v>
      </c>
      <c r="R2254" s="11" t="str">
        <f>HYPERLINK("\\imagefiles.bcgov\imagery\scanned_maps\moe_terrain_maps\Scanned_T_maps_all\M18\M18-1405","\\imagefiles.bcgov\imagery\scanned_maps\moe_terrain_maps\Scanned_T_maps_all\M18\M18-1405")</f>
        <v>\\imagefiles.bcgov\imagery\scanned_maps\moe_terrain_maps\Scanned_T_maps_all\M18\M18-1405</v>
      </c>
      <c r="S2254" t="s">
        <v>62</v>
      </c>
      <c r="T2254" s="11" t="str">
        <f>HYPERLINK("http://www.env.gov.bc.ca/esd/distdata/ecosystems/TEI_Scanned_Maps/M18/M18-1405","http://www.env.gov.bc.ca/esd/distdata/ecosystems/TEI_Scanned_Maps/M18/M18-1405")</f>
        <v>http://www.env.gov.bc.ca/esd/distdata/ecosystems/TEI_Scanned_Maps/M18/M18-1405</v>
      </c>
      <c r="U2254" t="s">
        <v>58</v>
      </c>
      <c r="V2254" t="s">
        <v>58</v>
      </c>
      <c r="W2254" t="s">
        <v>58</v>
      </c>
      <c r="X2254" t="s">
        <v>58</v>
      </c>
      <c r="Y2254" t="s">
        <v>58</v>
      </c>
      <c r="Z2254" t="s">
        <v>58</v>
      </c>
      <c r="AA2254" t="s">
        <v>58</v>
      </c>
      <c r="AC2254" t="s">
        <v>58</v>
      </c>
      <c r="AE2254" t="s">
        <v>58</v>
      </c>
      <c r="AG2254" t="s">
        <v>63</v>
      </c>
      <c r="AH2254" s="11" t="str">
        <f t="shared" si="154"/>
        <v>mailto: soilterrain@victoria1.gov.bc.ca</v>
      </c>
    </row>
    <row r="2255" spans="1:34">
      <c r="A2255" t="s">
        <v>5230</v>
      </c>
      <c r="B2255" t="s">
        <v>56</v>
      </c>
      <c r="C2255" s="10" t="s">
        <v>5226</v>
      </c>
      <c r="D2255" t="s">
        <v>61</v>
      </c>
      <c r="E2255" t="s">
        <v>5076</v>
      </c>
      <c r="F2255" t="s">
        <v>5231</v>
      </c>
      <c r="G2255">
        <v>20000</v>
      </c>
      <c r="H2255">
        <v>1979</v>
      </c>
      <c r="I2255" t="s">
        <v>58</v>
      </c>
      <c r="J2255" t="s">
        <v>61</v>
      </c>
      <c r="K2255" t="s">
        <v>58</v>
      </c>
      <c r="L2255" t="s">
        <v>58</v>
      </c>
      <c r="M2255" t="s">
        <v>61</v>
      </c>
      <c r="Q2255" t="s">
        <v>58</v>
      </c>
      <c r="R2255" s="11" t="str">
        <f>HYPERLINK("\\imagefiles.bcgov\imagery\scanned_maps\moe_terrain_maps\Scanned_T_maps_all\M18\M18-4468","\\imagefiles.bcgov\imagery\scanned_maps\moe_terrain_maps\Scanned_T_maps_all\M18\M18-4468")</f>
        <v>\\imagefiles.bcgov\imagery\scanned_maps\moe_terrain_maps\Scanned_T_maps_all\M18\M18-4468</v>
      </c>
      <c r="S2255" t="s">
        <v>62</v>
      </c>
      <c r="T2255" s="11" t="str">
        <f>HYPERLINK("http://www.env.gov.bc.ca/esd/distdata/ecosystems/TEI_Scanned_Maps/M18/M18-4468","http://www.env.gov.bc.ca/esd/distdata/ecosystems/TEI_Scanned_Maps/M18/M18-4468")</f>
        <v>http://www.env.gov.bc.ca/esd/distdata/ecosystems/TEI_Scanned_Maps/M18/M18-4468</v>
      </c>
      <c r="U2255" t="s">
        <v>58</v>
      </c>
      <c r="V2255" t="s">
        <v>58</v>
      </c>
      <c r="W2255" t="s">
        <v>58</v>
      </c>
      <c r="X2255" t="s">
        <v>58</v>
      </c>
      <c r="Y2255" t="s">
        <v>58</v>
      </c>
      <c r="Z2255" t="s">
        <v>58</v>
      </c>
      <c r="AA2255" t="s">
        <v>58</v>
      </c>
      <c r="AC2255" t="s">
        <v>58</v>
      </c>
      <c r="AE2255" t="s">
        <v>58</v>
      </c>
      <c r="AG2255" t="s">
        <v>63</v>
      </c>
      <c r="AH2255" s="11" t="str">
        <f t="shared" si="154"/>
        <v>mailto: soilterrain@victoria1.gov.bc.ca</v>
      </c>
    </row>
    <row r="2256" spans="1:34">
      <c r="A2256" t="s">
        <v>5232</v>
      </c>
      <c r="B2256" t="s">
        <v>56</v>
      </c>
      <c r="C2256" s="10" t="s">
        <v>5233</v>
      </c>
      <c r="D2256" t="s">
        <v>58</v>
      </c>
      <c r="E2256" t="s">
        <v>5076</v>
      </c>
      <c r="F2256" t="s">
        <v>5234</v>
      </c>
      <c r="G2256">
        <v>20000</v>
      </c>
      <c r="H2256" t="s">
        <v>187</v>
      </c>
      <c r="I2256" t="s">
        <v>5235</v>
      </c>
      <c r="J2256" t="s">
        <v>61</v>
      </c>
      <c r="K2256" t="s">
        <v>58</v>
      </c>
      <c r="L2256" t="s">
        <v>61</v>
      </c>
      <c r="M2256" t="s">
        <v>58</v>
      </c>
      <c r="Q2256" t="s">
        <v>58</v>
      </c>
      <c r="R2256" s="11" t="str">
        <f>HYPERLINK("\\imagefiles.bcgov\imagery\scanned_maps\moe_terrain_maps\Scanned_T_maps_all\M18\M18-5103","\\imagefiles.bcgov\imagery\scanned_maps\moe_terrain_maps\Scanned_T_maps_all\M18\M18-5103")</f>
        <v>\\imagefiles.bcgov\imagery\scanned_maps\moe_terrain_maps\Scanned_T_maps_all\M18\M18-5103</v>
      </c>
      <c r="S2256" t="s">
        <v>62</v>
      </c>
      <c r="T2256" s="11" t="str">
        <f>HYPERLINK("http://www.env.gov.bc.ca/esd/distdata/ecosystems/TEI_Scanned_Maps/M18/M18-5103","http://www.env.gov.bc.ca/esd/distdata/ecosystems/TEI_Scanned_Maps/M18/M18-5103")</f>
        <v>http://www.env.gov.bc.ca/esd/distdata/ecosystems/TEI_Scanned_Maps/M18/M18-5103</v>
      </c>
      <c r="U2256" t="s">
        <v>2490</v>
      </c>
      <c r="V2256" s="11" t="str">
        <f>HYPERLINK("http://res.agr.ca/cansis/publications/surveys/bc/","http://res.agr.ca/cansis/publications/surveys/bc/")</f>
        <v>http://res.agr.ca/cansis/publications/surveys/bc/</v>
      </c>
      <c r="W2256" t="s">
        <v>269</v>
      </c>
      <c r="X2256" s="11" t="str">
        <f>HYPERLINK("http://www.library.for.gov.bc.ca/#focus","http://www.library.for.gov.bc.ca/#focus")</f>
        <v>http://www.library.for.gov.bc.ca/#focus</v>
      </c>
      <c r="Y2256" t="s">
        <v>58</v>
      </c>
      <c r="Z2256" t="s">
        <v>58</v>
      </c>
      <c r="AA2256" t="s">
        <v>58</v>
      </c>
      <c r="AC2256" t="s">
        <v>58</v>
      </c>
      <c r="AE2256" t="s">
        <v>58</v>
      </c>
      <c r="AG2256" t="s">
        <v>63</v>
      </c>
      <c r="AH2256" s="11" t="str">
        <f t="shared" si="154"/>
        <v>mailto: soilterrain@victoria1.gov.bc.ca</v>
      </c>
    </row>
    <row r="2257" spans="1:34">
      <c r="A2257" t="s">
        <v>5236</v>
      </c>
      <c r="B2257" t="s">
        <v>56</v>
      </c>
      <c r="C2257" s="10" t="s">
        <v>5237</v>
      </c>
      <c r="D2257" t="s">
        <v>58</v>
      </c>
      <c r="E2257" t="s">
        <v>5076</v>
      </c>
      <c r="F2257" t="s">
        <v>5238</v>
      </c>
      <c r="G2257">
        <v>20000</v>
      </c>
      <c r="H2257" t="s">
        <v>187</v>
      </c>
      <c r="I2257" t="s">
        <v>5239</v>
      </c>
      <c r="J2257" t="s">
        <v>61</v>
      </c>
      <c r="K2257" t="s">
        <v>58</v>
      </c>
      <c r="L2257" t="s">
        <v>61</v>
      </c>
      <c r="M2257" t="s">
        <v>58</v>
      </c>
      <c r="Q2257" t="s">
        <v>58</v>
      </c>
      <c r="R2257" s="11" t="str">
        <f>HYPERLINK("\\imagefiles.bcgov\imagery\scanned_maps\moe_terrain_maps\Scanned_T_maps_all\M18\M18-5104","\\imagefiles.bcgov\imagery\scanned_maps\moe_terrain_maps\Scanned_T_maps_all\M18\M18-5104")</f>
        <v>\\imagefiles.bcgov\imagery\scanned_maps\moe_terrain_maps\Scanned_T_maps_all\M18\M18-5104</v>
      </c>
      <c r="S2257" t="s">
        <v>62</v>
      </c>
      <c r="T2257" s="11" t="str">
        <f>HYPERLINK("http://www.env.gov.bc.ca/esd/distdata/ecosystems/TEI_Scanned_Maps/M18/M18-5104","http://www.env.gov.bc.ca/esd/distdata/ecosystems/TEI_Scanned_Maps/M18/M18-5104")</f>
        <v>http://www.env.gov.bc.ca/esd/distdata/ecosystems/TEI_Scanned_Maps/M18/M18-5104</v>
      </c>
      <c r="U2257" t="s">
        <v>2490</v>
      </c>
      <c r="V2257" s="11" t="str">
        <f>HYPERLINK("http://res.agr.ca/cansis/publications/surveys/bc/","http://res.agr.ca/cansis/publications/surveys/bc/")</f>
        <v>http://res.agr.ca/cansis/publications/surveys/bc/</v>
      </c>
      <c r="W2257" t="s">
        <v>269</v>
      </c>
      <c r="X2257" s="11" t="str">
        <f>HYPERLINK("http://www.library.for.gov.bc.ca/#focus","http://www.library.for.gov.bc.ca/#focus")</f>
        <v>http://www.library.for.gov.bc.ca/#focus</v>
      </c>
      <c r="Y2257" t="s">
        <v>58</v>
      </c>
      <c r="Z2257" t="s">
        <v>58</v>
      </c>
      <c r="AA2257" t="s">
        <v>58</v>
      </c>
      <c r="AC2257" t="s">
        <v>58</v>
      </c>
      <c r="AE2257" t="s">
        <v>58</v>
      </c>
      <c r="AG2257" t="s">
        <v>63</v>
      </c>
      <c r="AH2257" s="11" t="str">
        <f t="shared" si="154"/>
        <v>mailto: soilterrain@victoria1.gov.bc.ca</v>
      </c>
    </row>
    <row r="2258" spans="1:34">
      <c r="A2258" t="s">
        <v>5240</v>
      </c>
      <c r="B2258" t="s">
        <v>56</v>
      </c>
      <c r="C2258" s="10" t="s">
        <v>5075</v>
      </c>
      <c r="D2258" t="s">
        <v>58</v>
      </c>
      <c r="E2258" t="s">
        <v>5076</v>
      </c>
      <c r="F2258" t="s">
        <v>5241</v>
      </c>
      <c r="G2258">
        <v>20000</v>
      </c>
      <c r="H2258">
        <v>1983</v>
      </c>
      <c r="I2258" t="s">
        <v>58</v>
      </c>
      <c r="J2258" t="s">
        <v>61</v>
      </c>
      <c r="K2258" t="s">
        <v>61</v>
      </c>
      <c r="L2258" t="s">
        <v>58</v>
      </c>
      <c r="M2258" t="s">
        <v>58</v>
      </c>
      <c r="Q2258" t="s">
        <v>58</v>
      </c>
      <c r="R2258" s="11" t="str">
        <f>HYPERLINK("\\imagefiles.bcgov\imagery\scanned_maps\moe_terrain_maps\Scanned_T_maps_all\M18\M18-929","\\imagefiles.bcgov\imagery\scanned_maps\moe_terrain_maps\Scanned_T_maps_all\M18\M18-929")</f>
        <v>\\imagefiles.bcgov\imagery\scanned_maps\moe_terrain_maps\Scanned_T_maps_all\M18\M18-929</v>
      </c>
      <c r="S2258" t="s">
        <v>62</v>
      </c>
      <c r="T2258" s="11" t="str">
        <f>HYPERLINK("http://www.env.gov.bc.ca/esd/distdata/ecosystems/TEI_Scanned_Maps/M18/M18-929","http://www.env.gov.bc.ca/esd/distdata/ecosystems/TEI_Scanned_Maps/M18/M18-929")</f>
        <v>http://www.env.gov.bc.ca/esd/distdata/ecosystems/TEI_Scanned_Maps/M18/M18-929</v>
      </c>
      <c r="U2258" t="s">
        <v>58</v>
      </c>
      <c r="V2258" t="s">
        <v>58</v>
      </c>
      <c r="W2258" t="s">
        <v>58</v>
      </c>
      <c r="X2258" t="s">
        <v>58</v>
      </c>
      <c r="Y2258" t="s">
        <v>58</v>
      </c>
      <c r="Z2258" t="s">
        <v>58</v>
      </c>
      <c r="AA2258" t="s">
        <v>58</v>
      </c>
      <c r="AC2258" t="s">
        <v>58</v>
      </c>
      <c r="AE2258" t="s">
        <v>58</v>
      </c>
      <c r="AG2258" t="s">
        <v>63</v>
      </c>
      <c r="AH2258" s="11" t="str">
        <f t="shared" si="154"/>
        <v>mailto: soilterrain@victoria1.gov.bc.ca</v>
      </c>
    </row>
    <row r="2259" spans="1:34">
      <c r="A2259" t="s">
        <v>5242</v>
      </c>
      <c r="B2259" t="s">
        <v>56</v>
      </c>
      <c r="C2259" s="10" t="s">
        <v>5075</v>
      </c>
      <c r="D2259" t="s">
        <v>58</v>
      </c>
      <c r="E2259" t="s">
        <v>5076</v>
      </c>
      <c r="F2259" t="s">
        <v>5243</v>
      </c>
      <c r="G2259">
        <v>20000</v>
      </c>
      <c r="H2259" t="s">
        <v>187</v>
      </c>
      <c r="I2259" t="s">
        <v>5244</v>
      </c>
      <c r="J2259" t="s">
        <v>61</v>
      </c>
      <c r="K2259" t="s">
        <v>58</v>
      </c>
      <c r="L2259" t="s">
        <v>61</v>
      </c>
      <c r="M2259" t="s">
        <v>58</v>
      </c>
      <c r="Q2259" t="s">
        <v>58</v>
      </c>
      <c r="R2259" s="11" t="str">
        <f>HYPERLINK("\\imagefiles.bcgov\imagery\scanned_maps\moe_terrain_maps\Scanned_T_maps_all\M18\M18-930","\\imagefiles.bcgov\imagery\scanned_maps\moe_terrain_maps\Scanned_T_maps_all\M18\M18-930")</f>
        <v>\\imagefiles.bcgov\imagery\scanned_maps\moe_terrain_maps\Scanned_T_maps_all\M18\M18-930</v>
      </c>
      <c r="S2259" t="s">
        <v>62</v>
      </c>
      <c r="T2259" s="11" t="str">
        <f>HYPERLINK("http://www.env.gov.bc.ca/esd/distdata/ecosystems/TEI_Scanned_Maps/M18/M18-930","http://www.env.gov.bc.ca/esd/distdata/ecosystems/TEI_Scanned_Maps/M18/M18-930")</f>
        <v>http://www.env.gov.bc.ca/esd/distdata/ecosystems/TEI_Scanned_Maps/M18/M18-930</v>
      </c>
      <c r="U2259" t="s">
        <v>2490</v>
      </c>
      <c r="V2259" s="11" t="str">
        <f>HYPERLINK("http://res.agr.ca/cansis/publications/surveys/bc/","http://res.agr.ca/cansis/publications/surveys/bc/")</f>
        <v>http://res.agr.ca/cansis/publications/surveys/bc/</v>
      </c>
      <c r="W2259" t="s">
        <v>269</v>
      </c>
      <c r="X2259" s="11" t="str">
        <f>HYPERLINK("http://www.library.for.gov.bc.ca/#focus","http://www.library.for.gov.bc.ca/#focus")</f>
        <v>http://www.library.for.gov.bc.ca/#focus</v>
      </c>
      <c r="Y2259" t="s">
        <v>58</v>
      </c>
      <c r="Z2259" t="s">
        <v>58</v>
      </c>
      <c r="AA2259" t="s">
        <v>58</v>
      </c>
      <c r="AC2259" t="s">
        <v>58</v>
      </c>
      <c r="AE2259" t="s">
        <v>58</v>
      </c>
      <c r="AG2259" t="s">
        <v>63</v>
      </c>
      <c r="AH2259" s="11" t="str">
        <f t="shared" si="154"/>
        <v>mailto: soilterrain@victoria1.gov.bc.ca</v>
      </c>
    </row>
    <row r="2260" spans="1:34">
      <c r="A2260" t="s">
        <v>5245</v>
      </c>
      <c r="B2260" t="s">
        <v>56</v>
      </c>
      <c r="C2260" s="10" t="s">
        <v>5030</v>
      </c>
      <c r="D2260" t="s">
        <v>58</v>
      </c>
      <c r="E2260" t="s">
        <v>5076</v>
      </c>
      <c r="F2260" t="s">
        <v>5246</v>
      </c>
      <c r="G2260">
        <v>20000</v>
      </c>
      <c r="H2260">
        <v>1978</v>
      </c>
      <c r="I2260" t="s">
        <v>58</v>
      </c>
      <c r="J2260" t="s">
        <v>61</v>
      </c>
      <c r="K2260" t="s">
        <v>61</v>
      </c>
      <c r="L2260" t="s">
        <v>58</v>
      </c>
      <c r="M2260" t="s">
        <v>58</v>
      </c>
      <c r="Q2260" t="s">
        <v>58</v>
      </c>
      <c r="R2260" s="11" t="str">
        <f>HYPERLINK("\\imagefiles.bcgov\imagery\scanned_maps\moe_terrain_maps\Scanned_T_maps_all\M18\M18-934","\\imagefiles.bcgov\imagery\scanned_maps\moe_terrain_maps\Scanned_T_maps_all\M18\M18-934")</f>
        <v>\\imagefiles.bcgov\imagery\scanned_maps\moe_terrain_maps\Scanned_T_maps_all\M18\M18-934</v>
      </c>
      <c r="S2260" t="s">
        <v>62</v>
      </c>
      <c r="T2260" s="11" t="str">
        <f>HYPERLINK("http://www.env.gov.bc.ca/esd/distdata/ecosystems/TEI_Scanned_Maps/M18/M18-934","http://www.env.gov.bc.ca/esd/distdata/ecosystems/TEI_Scanned_Maps/M18/M18-934")</f>
        <v>http://www.env.gov.bc.ca/esd/distdata/ecosystems/TEI_Scanned_Maps/M18/M18-934</v>
      </c>
      <c r="U2260" t="s">
        <v>58</v>
      </c>
      <c r="V2260" t="s">
        <v>58</v>
      </c>
      <c r="W2260" t="s">
        <v>58</v>
      </c>
      <c r="X2260" t="s">
        <v>58</v>
      </c>
      <c r="Y2260" t="s">
        <v>58</v>
      </c>
      <c r="Z2260" t="s">
        <v>58</v>
      </c>
      <c r="AA2260" t="s">
        <v>58</v>
      </c>
      <c r="AC2260" t="s">
        <v>58</v>
      </c>
      <c r="AE2260" t="s">
        <v>58</v>
      </c>
      <c r="AG2260" t="s">
        <v>63</v>
      </c>
      <c r="AH2260" s="11" t="str">
        <f t="shared" si="154"/>
        <v>mailto: soilterrain@victoria1.gov.bc.ca</v>
      </c>
    </row>
    <row r="2261" spans="1:34">
      <c r="A2261" t="s">
        <v>5247</v>
      </c>
      <c r="B2261" t="s">
        <v>56</v>
      </c>
      <c r="C2261" s="10" t="s">
        <v>5030</v>
      </c>
      <c r="D2261" t="s">
        <v>61</v>
      </c>
      <c r="E2261" t="s">
        <v>5076</v>
      </c>
      <c r="F2261" t="s">
        <v>5248</v>
      </c>
      <c r="G2261">
        <v>20000</v>
      </c>
      <c r="H2261">
        <v>1979</v>
      </c>
      <c r="I2261" t="s">
        <v>58</v>
      </c>
      <c r="J2261" t="s">
        <v>61</v>
      </c>
      <c r="K2261" t="s">
        <v>58</v>
      </c>
      <c r="L2261" t="s">
        <v>58</v>
      </c>
      <c r="M2261" t="s">
        <v>61</v>
      </c>
      <c r="Q2261" t="s">
        <v>58</v>
      </c>
      <c r="R2261" s="11" t="str">
        <f>HYPERLINK("\\imagefiles.bcgov\imagery\scanned_maps\moe_terrain_maps\Scanned_T_maps_all\M18\M18-935","\\imagefiles.bcgov\imagery\scanned_maps\moe_terrain_maps\Scanned_T_maps_all\M18\M18-935")</f>
        <v>\\imagefiles.bcgov\imagery\scanned_maps\moe_terrain_maps\Scanned_T_maps_all\M18\M18-935</v>
      </c>
      <c r="S2261" t="s">
        <v>62</v>
      </c>
      <c r="T2261" s="11" t="str">
        <f>HYPERLINK("http://www.env.gov.bc.ca/esd/distdata/ecosystems/TEI_Scanned_Maps/M18/M18-935","http://www.env.gov.bc.ca/esd/distdata/ecosystems/TEI_Scanned_Maps/M18/M18-935")</f>
        <v>http://www.env.gov.bc.ca/esd/distdata/ecosystems/TEI_Scanned_Maps/M18/M18-935</v>
      </c>
      <c r="U2261" t="s">
        <v>58</v>
      </c>
      <c r="V2261" t="s">
        <v>58</v>
      </c>
      <c r="W2261" t="s">
        <v>58</v>
      </c>
      <c r="X2261" t="s">
        <v>58</v>
      </c>
      <c r="Y2261" t="s">
        <v>58</v>
      </c>
      <c r="Z2261" t="s">
        <v>58</v>
      </c>
      <c r="AA2261" t="s">
        <v>58</v>
      </c>
      <c r="AC2261" t="s">
        <v>58</v>
      </c>
      <c r="AE2261" t="s">
        <v>58</v>
      </c>
      <c r="AG2261" t="s">
        <v>63</v>
      </c>
      <c r="AH2261" s="11" t="str">
        <f t="shared" si="154"/>
        <v>mailto: soilterrain@victoria1.gov.bc.ca</v>
      </c>
    </row>
    <row r="2262" spans="1:34">
      <c r="A2262" t="s">
        <v>5249</v>
      </c>
      <c r="B2262" t="s">
        <v>56</v>
      </c>
      <c r="C2262" s="10" t="s">
        <v>5030</v>
      </c>
      <c r="D2262" t="s">
        <v>58</v>
      </c>
      <c r="E2262" t="s">
        <v>5076</v>
      </c>
      <c r="F2262" t="s">
        <v>5250</v>
      </c>
      <c r="G2262">
        <v>20000</v>
      </c>
      <c r="H2262" t="s">
        <v>187</v>
      </c>
      <c r="I2262" t="s">
        <v>58</v>
      </c>
      <c r="J2262" t="s">
        <v>61</v>
      </c>
      <c r="K2262" t="s">
        <v>58</v>
      </c>
      <c r="L2262" t="s">
        <v>61</v>
      </c>
      <c r="M2262" t="s">
        <v>58</v>
      </c>
      <c r="Q2262" t="s">
        <v>58</v>
      </c>
      <c r="R2262" s="11" t="str">
        <f>HYPERLINK("\\imagefiles.bcgov\imagery\scanned_maps\moe_terrain_maps\Scanned_T_maps_all\M18\M18-936","\\imagefiles.bcgov\imagery\scanned_maps\moe_terrain_maps\Scanned_T_maps_all\M18\M18-936")</f>
        <v>\\imagefiles.bcgov\imagery\scanned_maps\moe_terrain_maps\Scanned_T_maps_all\M18\M18-936</v>
      </c>
      <c r="S2262" t="s">
        <v>62</v>
      </c>
      <c r="T2262" s="11" t="str">
        <f>HYPERLINK("http://www.env.gov.bc.ca/esd/distdata/ecosystems/TEI_Scanned_Maps/M18/M18-936","http://www.env.gov.bc.ca/esd/distdata/ecosystems/TEI_Scanned_Maps/M18/M18-936")</f>
        <v>http://www.env.gov.bc.ca/esd/distdata/ecosystems/TEI_Scanned_Maps/M18/M18-936</v>
      </c>
      <c r="U2262" t="s">
        <v>58</v>
      </c>
      <c r="V2262" t="s">
        <v>58</v>
      </c>
      <c r="W2262" t="s">
        <v>58</v>
      </c>
      <c r="X2262" t="s">
        <v>58</v>
      </c>
      <c r="Y2262" t="s">
        <v>58</v>
      </c>
      <c r="Z2262" t="s">
        <v>58</v>
      </c>
      <c r="AA2262" t="s">
        <v>58</v>
      </c>
      <c r="AC2262" t="s">
        <v>58</v>
      </c>
      <c r="AE2262" t="s">
        <v>58</v>
      </c>
      <c r="AG2262" t="s">
        <v>63</v>
      </c>
      <c r="AH2262" s="11" t="str">
        <f t="shared" si="154"/>
        <v>mailto: soilterrain@victoria1.gov.bc.ca</v>
      </c>
    </row>
    <row r="2263" spans="1:34">
      <c r="A2263" t="s">
        <v>5251</v>
      </c>
      <c r="B2263" t="s">
        <v>56</v>
      </c>
      <c r="C2263" s="10" t="s">
        <v>2984</v>
      </c>
      <c r="D2263" t="s">
        <v>58</v>
      </c>
      <c r="E2263" t="s">
        <v>5076</v>
      </c>
      <c r="F2263" t="s">
        <v>5252</v>
      </c>
      <c r="G2263">
        <v>20000</v>
      </c>
      <c r="H2263" t="s">
        <v>187</v>
      </c>
      <c r="I2263" t="s">
        <v>5239</v>
      </c>
      <c r="J2263" t="s">
        <v>61</v>
      </c>
      <c r="K2263" t="s">
        <v>58</v>
      </c>
      <c r="L2263" t="s">
        <v>61</v>
      </c>
      <c r="M2263" t="s">
        <v>58</v>
      </c>
      <c r="Q2263" t="s">
        <v>58</v>
      </c>
      <c r="R2263" s="11" t="str">
        <f>HYPERLINK("\\imagefiles.bcgov\imagery\scanned_maps\moe_terrain_maps\Scanned_T_maps_all\M18\M18-939","\\imagefiles.bcgov\imagery\scanned_maps\moe_terrain_maps\Scanned_T_maps_all\M18\M18-939")</f>
        <v>\\imagefiles.bcgov\imagery\scanned_maps\moe_terrain_maps\Scanned_T_maps_all\M18\M18-939</v>
      </c>
      <c r="S2263" t="s">
        <v>62</v>
      </c>
      <c r="T2263" s="11" t="str">
        <f>HYPERLINK("http://www.env.gov.bc.ca/esd/distdata/ecosystems/TEI_Scanned_Maps/M18/M18-939","http://www.env.gov.bc.ca/esd/distdata/ecosystems/TEI_Scanned_Maps/M18/M18-939")</f>
        <v>http://www.env.gov.bc.ca/esd/distdata/ecosystems/TEI_Scanned_Maps/M18/M18-939</v>
      </c>
      <c r="U2263" t="s">
        <v>2490</v>
      </c>
      <c r="V2263" s="11" t="str">
        <f>HYPERLINK("http://res.agr.ca/cansis/publications/surveys/bc/","http://res.agr.ca/cansis/publications/surveys/bc/")</f>
        <v>http://res.agr.ca/cansis/publications/surveys/bc/</v>
      </c>
      <c r="W2263" t="s">
        <v>269</v>
      </c>
      <c r="X2263" s="11" t="str">
        <f>HYPERLINK("http://www.library.for.gov.bc.ca/#focus","http://www.library.for.gov.bc.ca/#focus")</f>
        <v>http://www.library.for.gov.bc.ca/#focus</v>
      </c>
      <c r="Y2263" t="s">
        <v>58</v>
      </c>
      <c r="Z2263" t="s">
        <v>58</v>
      </c>
      <c r="AA2263" t="s">
        <v>58</v>
      </c>
      <c r="AC2263" t="s">
        <v>58</v>
      </c>
      <c r="AE2263" t="s">
        <v>58</v>
      </c>
      <c r="AG2263" t="s">
        <v>63</v>
      </c>
      <c r="AH2263" s="11" t="str">
        <f t="shared" si="154"/>
        <v>mailto: soilterrain@victoria1.gov.bc.ca</v>
      </c>
    </row>
    <row r="2264" spans="1:34">
      <c r="A2264" t="s">
        <v>5253</v>
      </c>
      <c r="B2264" t="s">
        <v>56</v>
      </c>
      <c r="C2264" s="10" t="s">
        <v>553</v>
      </c>
      <c r="D2264" t="s">
        <v>61</v>
      </c>
      <c r="E2264" t="s">
        <v>5254</v>
      </c>
      <c r="F2264" t="s">
        <v>5255</v>
      </c>
      <c r="G2264">
        <v>20000</v>
      </c>
      <c r="H2264">
        <v>1985</v>
      </c>
      <c r="I2264" t="s">
        <v>5256</v>
      </c>
      <c r="J2264" t="s">
        <v>61</v>
      </c>
      <c r="K2264" t="s">
        <v>58</v>
      </c>
      <c r="L2264" t="s">
        <v>58</v>
      </c>
      <c r="M2264" t="s">
        <v>61</v>
      </c>
      <c r="Q2264" t="s">
        <v>58</v>
      </c>
      <c r="R2264" s="11" t="str">
        <f>HYPERLINK("\\imagefiles.bcgov\imagery\scanned_maps\moe_terrain_maps\Scanned_T_maps_all\M19\M19-4473","\\imagefiles.bcgov\imagery\scanned_maps\moe_terrain_maps\Scanned_T_maps_all\M19\M19-4473")</f>
        <v>\\imagefiles.bcgov\imagery\scanned_maps\moe_terrain_maps\Scanned_T_maps_all\M19\M19-4473</v>
      </c>
      <c r="S2264" t="s">
        <v>62</v>
      </c>
      <c r="T2264" s="11" t="str">
        <f>HYPERLINK("http://www.env.gov.bc.ca/esd/distdata/ecosystems/TEI_Scanned_Maps/M19/M19-4473","http://www.env.gov.bc.ca/esd/distdata/ecosystems/TEI_Scanned_Maps/M19/M19-4473")</f>
        <v>http://www.env.gov.bc.ca/esd/distdata/ecosystems/TEI_Scanned_Maps/M19/M19-4473</v>
      </c>
      <c r="U2264" t="s">
        <v>269</v>
      </c>
      <c r="V2264" s="11" t="str">
        <f>HYPERLINK("http://www.library.for.gov.bc.ca/#focus","http://www.library.for.gov.bc.ca/#focus")</f>
        <v>http://www.library.for.gov.bc.ca/#focus</v>
      </c>
      <c r="W2264" t="s">
        <v>58</v>
      </c>
      <c r="X2264" t="s">
        <v>58</v>
      </c>
      <c r="Y2264" t="s">
        <v>58</v>
      </c>
      <c r="Z2264" t="s">
        <v>58</v>
      </c>
      <c r="AA2264" t="s">
        <v>58</v>
      </c>
      <c r="AC2264" t="s">
        <v>58</v>
      </c>
      <c r="AE2264" t="s">
        <v>58</v>
      </c>
      <c r="AG2264" t="s">
        <v>63</v>
      </c>
      <c r="AH2264" s="11" t="str">
        <f t="shared" si="154"/>
        <v>mailto: soilterrain@victoria1.gov.bc.ca</v>
      </c>
    </row>
    <row r="2265" spans="1:34">
      <c r="A2265" t="s">
        <v>5257</v>
      </c>
      <c r="B2265" t="s">
        <v>56</v>
      </c>
      <c r="C2265" s="10" t="s">
        <v>5258</v>
      </c>
      <c r="D2265" t="s">
        <v>61</v>
      </c>
      <c r="E2265" t="s">
        <v>5254</v>
      </c>
      <c r="F2265" t="s">
        <v>5259</v>
      </c>
      <c r="G2265">
        <v>20000</v>
      </c>
      <c r="H2265">
        <v>1985</v>
      </c>
      <c r="I2265" t="s">
        <v>5256</v>
      </c>
      <c r="J2265" t="s">
        <v>61</v>
      </c>
      <c r="K2265" t="s">
        <v>58</v>
      </c>
      <c r="L2265" t="s">
        <v>58</v>
      </c>
      <c r="M2265" t="s">
        <v>61</v>
      </c>
      <c r="Q2265" t="s">
        <v>58</v>
      </c>
      <c r="R2265" s="11" t="str">
        <f>HYPERLINK("\\imagefiles.bcgov\imagery\scanned_maps\moe_terrain_maps\Scanned_T_maps_all\M19\M19-4474","\\imagefiles.bcgov\imagery\scanned_maps\moe_terrain_maps\Scanned_T_maps_all\M19\M19-4474")</f>
        <v>\\imagefiles.bcgov\imagery\scanned_maps\moe_terrain_maps\Scanned_T_maps_all\M19\M19-4474</v>
      </c>
      <c r="S2265" t="s">
        <v>62</v>
      </c>
      <c r="T2265" s="11" t="str">
        <f>HYPERLINK("http://www.env.gov.bc.ca/esd/distdata/ecosystems/TEI_Scanned_Maps/M19/M19-4474","http://www.env.gov.bc.ca/esd/distdata/ecosystems/TEI_Scanned_Maps/M19/M19-4474")</f>
        <v>http://www.env.gov.bc.ca/esd/distdata/ecosystems/TEI_Scanned_Maps/M19/M19-4474</v>
      </c>
      <c r="U2265" t="s">
        <v>269</v>
      </c>
      <c r="V2265" s="11" t="str">
        <f>HYPERLINK("http://www.library.for.gov.bc.ca/#focus","http://www.library.for.gov.bc.ca/#focus")</f>
        <v>http://www.library.for.gov.bc.ca/#focus</v>
      </c>
      <c r="W2265" t="s">
        <v>58</v>
      </c>
      <c r="X2265" t="s">
        <v>58</v>
      </c>
      <c r="Y2265" t="s">
        <v>58</v>
      </c>
      <c r="Z2265" t="s">
        <v>58</v>
      </c>
      <c r="AA2265" t="s">
        <v>58</v>
      </c>
      <c r="AC2265" t="s">
        <v>58</v>
      </c>
      <c r="AE2265" t="s">
        <v>58</v>
      </c>
      <c r="AG2265" t="s">
        <v>63</v>
      </c>
      <c r="AH2265" s="11" t="str">
        <f t="shared" si="154"/>
        <v>mailto: soilterrain@victoria1.gov.bc.ca</v>
      </c>
    </row>
    <row r="2266" spans="1:34">
      <c r="A2266" t="s">
        <v>5260</v>
      </c>
      <c r="B2266" t="s">
        <v>56</v>
      </c>
      <c r="C2266" s="10" t="s">
        <v>176</v>
      </c>
      <c r="D2266" t="s">
        <v>58</v>
      </c>
      <c r="E2266" t="s">
        <v>5261</v>
      </c>
      <c r="F2266" t="s">
        <v>5262</v>
      </c>
      <c r="G2266">
        <v>50000</v>
      </c>
      <c r="H2266">
        <v>1979</v>
      </c>
      <c r="I2266" t="s">
        <v>5263</v>
      </c>
      <c r="J2266" t="s">
        <v>61</v>
      </c>
      <c r="K2266" t="s">
        <v>58</v>
      </c>
      <c r="L2266" t="s">
        <v>58</v>
      </c>
      <c r="M2266" t="s">
        <v>58</v>
      </c>
      <c r="P2266" t="s">
        <v>61</v>
      </c>
      <c r="Q2266" t="s">
        <v>58</v>
      </c>
      <c r="R2266" s="11" t="str">
        <f>HYPERLINK("\\imagefiles.bcgov\imagery\scanned_maps\moe_terrain_maps\Scanned_T_maps_all\M20\M20-4479","\\imagefiles.bcgov\imagery\scanned_maps\moe_terrain_maps\Scanned_T_maps_all\M20\M20-4479")</f>
        <v>\\imagefiles.bcgov\imagery\scanned_maps\moe_terrain_maps\Scanned_T_maps_all\M20\M20-4479</v>
      </c>
      <c r="S2266" t="s">
        <v>62</v>
      </c>
      <c r="T2266" s="11" t="str">
        <f>HYPERLINK("http://www.env.gov.bc.ca/esd/distdata/ecosystems/TEI_Scanned_Maps/M20/M20-4479","http://www.env.gov.bc.ca/esd/distdata/ecosystems/TEI_Scanned_Maps/M20/M20-4479")</f>
        <v>http://www.env.gov.bc.ca/esd/distdata/ecosystems/TEI_Scanned_Maps/M20/M20-4479</v>
      </c>
      <c r="U2266" t="s">
        <v>269</v>
      </c>
      <c r="V2266" s="11" t="str">
        <f>HYPERLINK("http://www.for.gov.bc.ca/hfd/library/documents/bib18967.pdf","http://www.for.gov.bc.ca/hfd/library/documents/bib18967.pdf")</f>
        <v>http://www.for.gov.bc.ca/hfd/library/documents/bib18967.pdf</v>
      </c>
      <c r="W2266" t="s">
        <v>58</v>
      </c>
      <c r="X2266" t="s">
        <v>58</v>
      </c>
      <c r="Y2266" t="s">
        <v>58</v>
      </c>
      <c r="Z2266" t="s">
        <v>58</v>
      </c>
      <c r="AA2266" t="s">
        <v>58</v>
      </c>
      <c r="AC2266" t="s">
        <v>58</v>
      </c>
      <c r="AE2266" t="s">
        <v>58</v>
      </c>
      <c r="AG2266" t="s">
        <v>63</v>
      </c>
      <c r="AH2266" s="11" t="str">
        <f t="shared" si="154"/>
        <v>mailto: soilterrain@victoria1.gov.bc.ca</v>
      </c>
    </row>
    <row r="2267" spans="1:34">
      <c r="A2267" t="s">
        <v>5264</v>
      </c>
      <c r="B2267" t="s">
        <v>56</v>
      </c>
      <c r="C2267" s="10" t="s">
        <v>176</v>
      </c>
      <c r="D2267" t="s">
        <v>61</v>
      </c>
      <c r="E2267" t="s">
        <v>5261</v>
      </c>
      <c r="F2267" t="s">
        <v>5265</v>
      </c>
      <c r="G2267">
        <v>50000</v>
      </c>
      <c r="H2267">
        <v>1979</v>
      </c>
      <c r="I2267" t="s">
        <v>5263</v>
      </c>
      <c r="J2267" t="s">
        <v>61</v>
      </c>
      <c r="K2267" t="s">
        <v>58</v>
      </c>
      <c r="L2267" t="s">
        <v>58</v>
      </c>
      <c r="M2267" t="s">
        <v>58</v>
      </c>
      <c r="O2267" t="s">
        <v>61</v>
      </c>
      <c r="Q2267" t="s">
        <v>58</v>
      </c>
      <c r="R2267" s="11" t="str">
        <f>HYPERLINK("\\imagefiles.bcgov\imagery\scanned_maps\moe_terrain_maps\Scanned_T_maps_all\M20\M20-4486","\\imagefiles.bcgov\imagery\scanned_maps\moe_terrain_maps\Scanned_T_maps_all\M20\M20-4486")</f>
        <v>\\imagefiles.bcgov\imagery\scanned_maps\moe_terrain_maps\Scanned_T_maps_all\M20\M20-4486</v>
      </c>
      <c r="S2267" t="s">
        <v>62</v>
      </c>
      <c r="T2267" s="11" t="str">
        <f>HYPERLINK("http://www.env.gov.bc.ca/esd/distdata/ecosystems/TEI_Scanned_Maps/M20/M20-4486","http://www.env.gov.bc.ca/esd/distdata/ecosystems/TEI_Scanned_Maps/M20/M20-4486")</f>
        <v>http://www.env.gov.bc.ca/esd/distdata/ecosystems/TEI_Scanned_Maps/M20/M20-4486</v>
      </c>
      <c r="U2267" t="s">
        <v>269</v>
      </c>
      <c r="V2267" s="11" t="str">
        <f>HYPERLINK("http://www.for.gov.bc.ca/hfd/library/documents/bib18967.pdf","http://www.for.gov.bc.ca/hfd/library/documents/bib18967.pdf")</f>
        <v>http://www.for.gov.bc.ca/hfd/library/documents/bib18967.pdf</v>
      </c>
      <c r="W2267" t="s">
        <v>58</v>
      </c>
      <c r="X2267" t="s">
        <v>58</v>
      </c>
      <c r="Y2267" t="s">
        <v>58</v>
      </c>
      <c r="Z2267" t="s">
        <v>58</v>
      </c>
      <c r="AA2267" t="s">
        <v>58</v>
      </c>
      <c r="AC2267" t="s">
        <v>58</v>
      </c>
      <c r="AE2267" t="s">
        <v>58</v>
      </c>
      <c r="AG2267" t="s">
        <v>63</v>
      </c>
      <c r="AH2267" s="11" t="str">
        <f t="shared" si="154"/>
        <v>mailto: soilterrain@victoria1.gov.bc.ca</v>
      </c>
    </row>
    <row r="2268" spans="1:34">
      <c r="A2268" t="s">
        <v>5266</v>
      </c>
      <c r="B2268" t="s">
        <v>56</v>
      </c>
      <c r="C2268" s="10" t="s">
        <v>176</v>
      </c>
      <c r="D2268" t="s">
        <v>61</v>
      </c>
      <c r="E2268" t="s">
        <v>5261</v>
      </c>
      <c r="F2268" t="s">
        <v>5267</v>
      </c>
      <c r="G2268">
        <v>50000</v>
      </c>
      <c r="H2268">
        <v>1979</v>
      </c>
      <c r="I2268" t="s">
        <v>5263</v>
      </c>
      <c r="J2268" t="s">
        <v>61</v>
      </c>
      <c r="K2268" t="s">
        <v>58</v>
      </c>
      <c r="L2268" t="s">
        <v>58</v>
      </c>
      <c r="M2268" t="s">
        <v>58</v>
      </c>
      <c r="P2268" t="s">
        <v>61</v>
      </c>
      <c r="Q2268" t="s">
        <v>58</v>
      </c>
      <c r="R2268" s="11" t="str">
        <f>HYPERLINK("\\imagefiles.bcgov\imagery\scanned_maps\moe_terrain_maps\Scanned_T_maps_all\M20\M20-4487","\\imagefiles.bcgov\imagery\scanned_maps\moe_terrain_maps\Scanned_T_maps_all\M20\M20-4487")</f>
        <v>\\imagefiles.bcgov\imagery\scanned_maps\moe_terrain_maps\Scanned_T_maps_all\M20\M20-4487</v>
      </c>
      <c r="S2268" t="s">
        <v>62</v>
      </c>
      <c r="T2268" s="11" t="str">
        <f>HYPERLINK("http://www.env.gov.bc.ca/esd/distdata/ecosystems/TEI_Scanned_Maps/M20/M20-4487","http://www.env.gov.bc.ca/esd/distdata/ecosystems/TEI_Scanned_Maps/M20/M20-4487")</f>
        <v>http://www.env.gov.bc.ca/esd/distdata/ecosystems/TEI_Scanned_Maps/M20/M20-4487</v>
      </c>
      <c r="U2268" t="s">
        <v>269</v>
      </c>
      <c r="V2268" s="11" t="str">
        <f>HYPERLINK("http://www.for.gov.bc.ca/hfd/library/documents/bib18967.pdf","http://www.for.gov.bc.ca/hfd/library/documents/bib18967.pdf")</f>
        <v>http://www.for.gov.bc.ca/hfd/library/documents/bib18967.pdf</v>
      </c>
      <c r="W2268" t="s">
        <v>58</v>
      </c>
      <c r="X2268" t="s">
        <v>58</v>
      </c>
      <c r="Y2268" t="s">
        <v>58</v>
      </c>
      <c r="Z2268" t="s">
        <v>58</v>
      </c>
      <c r="AA2268" t="s">
        <v>58</v>
      </c>
      <c r="AC2268" t="s">
        <v>58</v>
      </c>
      <c r="AE2268" t="s">
        <v>58</v>
      </c>
      <c r="AG2268" t="s">
        <v>63</v>
      </c>
      <c r="AH2268" s="11" t="str">
        <f t="shared" si="154"/>
        <v>mailto: soilterrain@victoria1.gov.bc.ca</v>
      </c>
    </row>
    <row r="2269" spans="1:34">
      <c r="A2269" t="s">
        <v>5268</v>
      </c>
      <c r="B2269" t="s">
        <v>56</v>
      </c>
      <c r="C2269" s="10" t="s">
        <v>176</v>
      </c>
      <c r="D2269" t="s">
        <v>58</v>
      </c>
      <c r="E2269" t="s">
        <v>5261</v>
      </c>
      <c r="F2269" t="s">
        <v>5269</v>
      </c>
      <c r="G2269">
        <v>50000</v>
      </c>
      <c r="H2269">
        <v>1979</v>
      </c>
      <c r="I2269" t="s">
        <v>5263</v>
      </c>
      <c r="J2269" t="s">
        <v>61</v>
      </c>
      <c r="K2269" t="s">
        <v>58</v>
      </c>
      <c r="L2269" t="s">
        <v>58</v>
      </c>
      <c r="M2269" t="s">
        <v>58</v>
      </c>
      <c r="P2269" t="s">
        <v>61</v>
      </c>
      <c r="Q2269" t="s">
        <v>58</v>
      </c>
      <c r="R2269" s="11" t="str">
        <f>HYPERLINK("\\imagefiles.bcgov\imagery\scanned_maps\moe_terrain_maps\Scanned_T_maps_all\M20\M20-4493","\\imagefiles.bcgov\imagery\scanned_maps\moe_terrain_maps\Scanned_T_maps_all\M20\M20-4493")</f>
        <v>\\imagefiles.bcgov\imagery\scanned_maps\moe_terrain_maps\Scanned_T_maps_all\M20\M20-4493</v>
      </c>
      <c r="S2269" t="s">
        <v>62</v>
      </c>
      <c r="T2269" s="11" t="str">
        <f>HYPERLINK("http://www.env.gov.bc.ca/esd/distdata/ecosystems/TEI_Scanned_Maps/M20/M20-4493","http://www.env.gov.bc.ca/esd/distdata/ecosystems/TEI_Scanned_Maps/M20/M20-4493")</f>
        <v>http://www.env.gov.bc.ca/esd/distdata/ecosystems/TEI_Scanned_Maps/M20/M20-4493</v>
      </c>
      <c r="U2269" t="s">
        <v>269</v>
      </c>
      <c r="V2269" s="11" t="str">
        <f>HYPERLINK("http://www.for.gov.bc.ca/hfd/library/documents/bib18967.pdf","http://www.for.gov.bc.ca/hfd/library/documents/bib18967.pdf")</f>
        <v>http://www.for.gov.bc.ca/hfd/library/documents/bib18967.pdf</v>
      </c>
      <c r="W2269" t="s">
        <v>58</v>
      </c>
      <c r="X2269" t="s">
        <v>58</v>
      </c>
      <c r="Y2269" t="s">
        <v>58</v>
      </c>
      <c r="Z2269" t="s">
        <v>58</v>
      </c>
      <c r="AA2269" t="s">
        <v>58</v>
      </c>
      <c r="AC2269" t="s">
        <v>58</v>
      </c>
      <c r="AE2269" t="s">
        <v>58</v>
      </c>
      <c r="AG2269" t="s">
        <v>63</v>
      </c>
      <c r="AH2269" s="11" t="str">
        <f t="shared" si="154"/>
        <v>mailto: soilterrain@victoria1.gov.bc.ca</v>
      </c>
    </row>
    <row r="2270" spans="1:34">
      <c r="A2270" t="s">
        <v>5270</v>
      </c>
      <c r="B2270" t="s">
        <v>56</v>
      </c>
      <c r="C2270" s="10" t="s">
        <v>5271</v>
      </c>
      <c r="D2270" t="s">
        <v>58</v>
      </c>
      <c r="E2270" t="s">
        <v>5272</v>
      </c>
      <c r="F2270" t="s">
        <v>5273</v>
      </c>
      <c r="G2270">
        <v>20000</v>
      </c>
      <c r="H2270" t="s">
        <v>187</v>
      </c>
      <c r="I2270" t="s">
        <v>58</v>
      </c>
      <c r="J2270" t="s">
        <v>61</v>
      </c>
      <c r="K2270" t="s">
        <v>58</v>
      </c>
      <c r="L2270" t="s">
        <v>61</v>
      </c>
      <c r="M2270" t="s">
        <v>58</v>
      </c>
      <c r="Q2270" t="s">
        <v>58</v>
      </c>
      <c r="R2270" s="11" t="str">
        <f>HYPERLINK("\\imagefiles.bcgov\imagery\scanned_maps\moe_terrain_maps\Scanned_T_maps_all\M21\M21-1985","\\imagefiles.bcgov\imagery\scanned_maps\moe_terrain_maps\Scanned_T_maps_all\M21\M21-1985")</f>
        <v>\\imagefiles.bcgov\imagery\scanned_maps\moe_terrain_maps\Scanned_T_maps_all\M21\M21-1985</v>
      </c>
      <c r="S2270" t="s">
        <v>62</v>
      </c>
      <c r="T2270" s="11" t="str">
        <f>HYPERLINK("http://www.env.gov.bc.ca/esd/distdata/ecosystems/TEI_Scanned_Maps/M21/M21-1985","http://www.env.gov.bc.ca/esd/distdata/ecosystems/TEI_Scanned_Maps/M21/M21-1985")</f>
        <v>http://www.env.gov.bc.ca/esd/distdata/ecosystems/TEI_Scanned_Maps/M21/M21-1985</v>
      </c>
      <c r="U2270" t="s">
        <v>58</v>
      </c>
      <c r="V2270" t="s">
        <v>58</v>
      </c>
      <c r="W2270" t="s">
        <v>58</v>
      </c>
      <c r="X2270" t="s">
        <v>58</v>
      </c>
      <c r="Y2270" t="s">
        <v>58</v>
      </c>
      <c r="Z2270" t="s">
        <v>58</v>
      </c>
      <c r="AA2270" t="s">
        <v>58</v>
      </c>
      <c r="AC2270" t="s">
        <v>58</v>
      </c>
      <c r="AE2270" t="s">
        <v>58</v>
      </c>
      <c r="AG2270" t="s">
        <v>63</v>
      </c>
      <c r="AH2270" s="11" t="str">
        <f t="shared" si="154"/>
        <v>mailto: soilterrain@victoria1.gov.bc.ca</v>
      </c>
    </row>
    <row r="2271" spans="1:34">
      <c r="A2271" t="s">
        <v>5274</v>
      </c>
      <c r="B2271" t="s">
        <v>56</v>
      </c>
      <c r="C2271" s="10" t="s">
        <v>5275</v>
      </c>
      <c r="D2271" t="s">
        <v>58</v>
      </c>
      <c r="E2271" t="s">
        <v>5272</v>
      </c>
      <c r="F2271" t="s">
        <v>5276</v>
      </c>
      <c r="G2271">
        <v>20000</v>
      </c>
      <c r="H2271">
        <v>1978</v>
      </c>
      <c r="I2271" t="s">
        <v>58</v>
      </c>
      <c r="J2271" t="s">
        <v>61</v>
      </c>
      <c r="K2271" t="s">
        <v>58</v>
      </c>
      <c r="L2271" t="s">
        <v>58</v>
      </c>
      <c r="M2271" t="s">
        <v>58</v>
      </c>
      <c r="N2271" t="s">
        <v>61</v>
      </c>
      <c r="Q2271" t="s">
        <v>58</v>
      </c>
      <c r="R2271" s="11" t="str">
        <f>HYPERLINK("\\imagefiles.bcgov\imagery\scanned_maps\moe_terrain_maps\Scanned_T_maps_all\M21\M21-1986","\\imagefiles.bcgov\imagery\scanned_maps\moe_terrain_maps\Scanned_T_maps_all\M21\M21-1986")</f>
        <v>\\imagefiles.bcgov\imagery\scanned_maps\moe_terrain_maps\Scanned_T_maps_all\M21\M21-1986</v>
      </c>
      <c r="S2271" t="s">
        <v>62</v>
      </c>
      <c r="T2271" s="11" t="str">
        <f>HYPERLINK("http://www.env.gov.bc.ca/esd/distdata/ecosystems/TEI_Scanned_Maps/M21/M21-1986","http://www.env.gov.bc.ca/esd/distdata/ecosystems/TEI_Scanned_Maps/M21/M21-1986")</f>
        <v>http://www.env.gov.bc.ca/esd/distdata/ecosystems/TEI_Scanned_Maps/M21/M21-1986</v>
      </c>
      <c r="U2271" t="s">
        <v>58</v>
      </c>
      <c r="V2271" t="s">
        <v>58</v>
      </c>
      <c r="W2271" t="s">
        <v>58</v>
      </c>
      <c r="X2271" t="s">
        <v>58</v>
      </c>
      <c r="Y2271" t="s">
        <v>58</v>
      </c>
      <c r="Z2271" t="s">
        <v>58</v>
      </c>
      <c r="AA2271" t="s">
        <v>58</v>
      </c>
      <c r="AC2271" t="s">
        <v>58</v>
      </c>
      <c r="AE2271" t="s">
        <v>58</v>
      </c>
      <c r="AG2271" t="s">
        <v>63</v>
      </c>
      <c r="AH2271" s="11" t="str">
        <f t="shared" si="154"/>
        <v>mailto: soilterrain@victoria1.gov.bc.ca</v>
      </c>
    </row>
    <row r="2272" spans="1:34">
      <c r="A2272" t="s">
        <v>5277</v>
      </c>
      <c r="B2272" t="s">
        <v>56</v>
      </c>
      <c r="C2272" s="10" t="s">
        <v>5271</v>
      </c>
      <c r="D2272" t="s">
        <v>58</v>
      </c>
      <c r="E2272" t="s">
        <v>5272</v>
      </c>
      <c r="F2272" t="s">
        <v>5278</v>
      </c>
      <c r="G2272">
        <v>20000</v>
      </c>
      <c r="H2272">
        <v>1979</v>
      </c>
      <c r="I2272" t="s">
        <v>58</v>
      </c>
      <c r="J2272" t="s">
        <v>61</v>
      </c>
      <c r="K2272" t="s">
        <v>58</v>
      </c>
      <c r="L2272" t="s">
        <v>58</v>
      </c>
      <c r="M2272" t="s">
        <v>58</v>
      </c>
      <c r="N2272" t="s">
        <v>61</v>
      </c>
      <c r="Q2272" t="s">
        <v>58</v>
      </c>
      <c r="R2272" s="11" t="str">
        <f>HYPERLINK("\\imagefiles.bcgov\imagery\scanned_maps\moe_terrain_maps\Scanned_T_maps_all\M21\M21-1987","\\imagefiles.bcgov\imagery\scanned_maps\moe_terrain_maps\Scanned_T_maps_all\M21\M21-1987")</f>
        <v>\\imagefiles.bcgov\imagery\scanned_maps\moe_terrain_maps\Scanned_T_maps_all\M21\M21-1987</v>
      </c>
      <c r="S2272" t="s">
        <v>62</v>
      </c>
      <c r="T2272" s="11" t="str">
        <f>HYPERLINK("http://www.env.gov.bc.ca/esd/distdata/ecosystems/TEI_Scanned_Maps/M21/M21-1987","http://www.env.gov.bc.ca/esd/distdata/ecosystems/TEI_Scanned_Maps/M21/M21-1987")</f>
        <v>http://www.env.gov.bc.ca/esd/distdata/ecosystems/TEI_Scanned_Maps/M21/M21-1987</v>
      </c>
      <c r="U2272" t="s">
        <v>58</v>
      </c>
      <c r="V2272" t="s">
        <v>58</v>
      </c>
      <c r="W2272" t="s">
        <v>58</v>
      </c>
      <c r="X2272" t="s">
        <v>58</v>
      </c>
      <c r="Y2272" t="s">
        <v>58</v>
      </c>
      <c r="Z2272" t="s">
        <v>58</v>
      </c>
      <c r="AA2272" t="s">
        <v>58</v>
      </c>
      <c r="AC2272" t="s">
        <v>58</v>
      </c>
      <c r="AE2272" t="s">
        <v>58</v>
      </c>
      <c r="AG2272" t="s">
        <v>63</v>
      </c>
      <c r="AH2272" s="11" t="str">
        <f t="shared" si="154"/>
        <v>mailto: soilterrain@victoria1.gov.bc.ca</v>
      </c>
    </row>
    <row r="2273" spans="1:34">
      <c r="A2273" t="s">
        <v>5279</v>
      </c>
      <c r="B2273" t="s">
        <v>56</v>
      </c>
      <c r="C2273" s="10" t="s">
        <v>5275</v>
      </c>
      <c r="D2273" t="s">
        <v>61</v>
      </c>
      <c r="E2273" t="s">
        <v>5272</v>
      </c>
      <c r="F2273" t="s">
        <v>5280</v>
      </c>
      <c r="G2273">
        <v>20000</v>
      </c>
      <c r="H2273">
        <v>1979</v>
      </c>
      <c r="I2273" t="s">
        <v>58</v>
      </c>
      <c r="J2273" t="s">
        <v>61</v>
      </c>
      <c r="K2273" t="s">
        <v>61</v>
      </c>
      <c r="L2273" t="s">
        <v>61</v>
      </c>
      <c r="M2273" t="s">
        <v>58</v>
      </c>
      <c r="P2273" t="s">
        <v>61</v>
      </c>
      <c r="Q2273" t="s">
        <v>58</v>
      </c>
      <c r="R2273" s="11" t="str">
        <f>HYPERLINK("\\imagefiles.bcgov\imagery\scanned_maps\moe_terrain_maps\Scanned_T_maps_all\M21\M21-1988","\\imagefiles.bcgov\imagery\scanned_maps\moe_terrain_maps\Scanned_T_maps_all\M21\M21-1988")</f>
        <v>\\imagefiles.bcgov\imagery\scanned_maps\moe_terrain_maps\Scanned_T_maps_all\M21\M21-1988</v>
      </c>
      <c r="S2273" t="s">
        <v>62</v>
      </c>
      <c r="T2273" s="11" t="str">
        <f>HYPERLINK("http://www.env.gov.bc.ca/esd/distdata/ecosystems/TEI_Scanned_Maps/M21/M21-1988","http://www.env.gov.bc.ca/esd/distdata/ecosystems/TEI_Scanned_Maps/M21/M21-1988")</f>
        <v>http://www.env.gov.bc.ca/esd/distdata/ecosystems/TEI_Scanned_Maps/M21/M21-1988</v>
      </c>
      <c r="U2273" t="s">
        <v>58</v>
      </c>
      <c r="V2273" t="s">
        <v>58</v>
      </c>
      <c r="W2273" t="s">
        <v>58</v>
      </c>
      <c r="X2273" t="s">
        <v>58</v>
      </c>
      <c r="Y2273" t="s">
        <v>58</v>
      </c>
      <c r="Z2273" t="s">
        <v>58</v>
      </c>
      <c r="AA2273" t="s">
        <v>58</v>
      </c>
      <c r="AC2273" t="s">
        <v>58</v>
      </c>
      <c r="AE2273" t="s">
        <v>58</v>
      </c>
      <c r="AG2273" t="s">
        <v>63</v>
      </c>
      <c r="AH2273" s="11" t="str">
        <f t="shared" si="154"/>
        <v>mailto: soilterrain@victoria1.gov.bc.ca</v>
      </c>
    </row>
    <row r="2274" spans="1:34">
      <c r="A2274" t="s">
        <v>5281</v>
      </c>
      <c r="B2274" t="s">
        <v>56</v>
      </c>
      <c r="C2274" s="10" t="s">
        <v>5271</v>
      </c>
      <c r="D2274" t="s">
        <v>61</v>
      </c>
      <c r="E2274" t="s">
        <v>5272</v>
      </c>
      <c r="F2274" t="s">
        <v>5282</v>
      </c>
      <c r="G2274">
        <v>20000</v>
      </c>
      <c r="H2274">
        <v>1979</v>
      </c>
      <c r="I2274" t="s">
        <v>58</v>
      </c>
      <c r="J2274" t="s">
        <v>61</v>
      </c>
      <c r="K2274" t="s">
        <v>61</v>
      </c>
      <c r="L2274" t="s">
        <v>61</v>
      </c>
      <c r="M2274" t="s">
        <v>58</v>
      </c>
      <c r="P2274" t="s">
        <v>61</v>
      </c>
      <c r="Q2274" t="s">
        <v>58</v>
      </c>
      <c r="R2274" s="11" t="str">
        <f>HYPERLINK("\\imagefiles.bcgov\imagery\scanned_maps\moe_terrain_maps\Scanned_T_maps_all\M21\M21-1990","\\imagefiles.bcgov\imagery\scanned_maps\moe_terrain_maps\Scanned_T_maps_all\M21\M21-1990")</f>
        <v>\\imagefiles.bcgov\imagery\scanned_maps\moe_terrain_maps\Scanned_T_maps_all\M21\M21-1990</v>
      </c>
      <c r="S2274" t="s">
        <v>62</v>
      </c>
      <c r="T2274" s="11" t="str">
        <f>HYPERLINK("http://www.env.gov.bc.ca/esd/distdata/ecosystems/TEI_Scanned_Maps/M21/M21-1990","http://www.env.gov.bc.ca/esd/distdata/ecosystems/TEI_Scanned_Maps/M21/M21-1990")</f>
        <v>http://www.env.gov.bc.ca/esd/distdata/ecosystems/TEI_Scanned_Maps/M21/M21-1990</v>
      </c>
      <c r="U2274" t="s">
        <v>58</v>
      </c>
      <c r="V2274" t="s">
        <v>58</v>
      </c>
      <c r="W2274" t="s">
        <v>58</v>
      </c>
      <c r="X2274" t="s">
        <v>58</v>
      </c>
      <c r="Y2274" t="s">
        <v>58</v>
      </c>
      <c r="Z2274" t="s">
        <v>58</v>
      </c>
      <c r="AA2274" t="s">
        <v>58</v>
      </c>
      <c r="AC2274" t="s">
        <v>58</v>
      </c>
      <c r="AE2274" t="s">
        <v>58</v>
      </c>
      <c r="AG2274" t="s">
        <v>63</v>
      </c>
      <c r="AH2274" s="11" t="str">
        <f t="shared" si="154"/>
        <v>mailto: soilterrain@victoria1.gov.bc.ca</v>
      </c>
    </row>
    <row r="2275" spans="1:34">
      <c r="A2275" t="s">
        <v>5283</v>
      </c>
      <c r="B2275" t="s">
        <v>56</v>
      </c>
      <c r="C2275" s="10" t="s">
        <v>5275</v>
      </c>
      <c r="D2275" t="s">
        <v>58</v>
      </c>
      <c r="E2275" t="s">
        <v>5272</v>
      </c>
      <c r="F2275" t="s">
        <v>5284</v>
      </c>
      <c r="G2275">
        <v>20000</v>
      </c>
      <c r="H2275" t="s">
        <v>187</v>
      </c>
      <c r="I2275" t="s">
        <v>58</v>
      </c>
      <c r="J2275" t="s">
        <v>61</v>
      </c>
      <c r="K2275" t="s">
        <v>61</v>
      </c>
      <c r="L2275" t="s">
        <v>58</v>
      </c>
      <c r="M2275" t="s">
        <v>58</v>
      </c>
      <c r="Q2275" t="s">
        <v>58</v>
      </c>
      <c r="R2275" s="11" t="str">
        <f>HYPERLINK("\\imagefiles.bcgov\imagery\scanned_maps\moe_terrain_maps\Scanned_T_maps_all\M21\M21-1991","\\imagefiles.bcgov\imagery\scanned_maps\moe_terrain_maps\Scanned_T_maps_all\M21\M21-1991")</f>
        <v>\\imagefiles.bcgov\imagery\scanned_maps\moe_terrain_maps\Scanned_T_maps_all\M21\M21-1991</v>
      </c>
      <c r="S2275" t="s">
        <v>62</v>
      </c>
      <c r="T2275" s="11" t="str">
        <f>HYPERLINK("http://www.env.gov.bc.ca/esd/distdata/ecosystems/TEI_Scanned_Maps/M21/M21-1991","http://www.env.gov.bc.ca/esd/distdata/ecosystems/TEI_Scanned_Maps/M21/M21-1991")</f>
        <v>http://www.env.gov.bc.ca/esd/distdata/ecosystems/TEI_Scanned_Maps/M21/M21-1991</v>
      </c>
      <c r="U2275" t="s">
        <v>58</v>
      </c>
      <c r="V2275" t="s">
        <v>58</v>
      </c>
      <c r="W2275" t="s">
        <v>58</v>
      </c>
      <c r="X2275" t="s">
        <v>58</v>
      </c>
      <c r="Y2275" t="s">
        <v>58</v>
      </c>
      <c r="Z2275" t="s">
        <v>58</v>
      </c>
      <c r="AA2275" t="s">
        <v>58</v>
      </c>
      <c r="AC2275" t="s">
        <v>58</v>
      </c>
      <c r="AE2275" t="s">
        <v>58</v>
      </c>
      <c r="AG2275" t="s">
        <v>63</v>
      </c>
      <c r="AH2275" s="11" t="str">
        <f t="shared" si="154"/>
        <v>mailto: soilterrain@victoria1.gov.bc.ca</v>
      </c>
    </row>
    <row r="2276" spans="1:34">
      <c r="A2276" t="s">
        <v>5285</v>
      </c>
      <c r="B2276" t="s">
        <v>56</v>
      </c>
      <c r="C2276" s="10" t="s">
        <v>5271</v>
      </c>
      <c r="D2276" t="s">
        <v>58</v>
      </c>
      <c r="E2276" t="s">
        <v>5272</v>
      </c>
      <c r="F2276" t="s">
        <v>5286</v>
      </c>
      <c r="G2276">
        <v>20000</v>
      </c>
      <c r="H2276">
        <v>1983</v>
      </c>
      <c r="I2276" t="s">
        <v>58</v>
      </c>
      <c r="J2276" t="s">
        <v>61</v>
      </c>
      <c r="K2276" t="s">
        <v>61</v>
      </c>
      <c r="L2276" t="s">
        <v>58</v>
      </c>
      <c r="M2276" t="s">
        <v>58</v>
      </c>
      <c r="Q2276" t="s">
        <v>58</v>
      </c>
      <c r="R2276" s="11" t="str">
        <f>HYPERLINK("\\imagefiles.bcgov\imagery\scanned_maps\moe_terrain_maps\Scanned_T_maps_all\M21\M21-1992","\\imagefiles.bcgov\imagery\scanned_maps\moe_terrain_maps\Scanned_T_maps_all\M21\M21-1992")</f>
        <v>\\imagefiles.bcgov\imagery\scanned_maps\moe_terrain_maps\Scanned_T_maps_all\M21\M21-1992</v>
      </c>
      <c r="S2276" t="s">
        <v>62</v>
      </c>
      <c r="T2276" s="11" t="str">
        <f>HYPERLINK("http://www.env.gov.bc.ca/esd/distdata/ecosystems/TEI_Scanned_Maps/M21/M21-1992","http://www.env.gov.bc.ca/esd/distdata/ecosystems/TEI_Scanned_Maps/M21/M21-1992")</f>
        <v>http://www.env.gov.bc.ca/esd/distdata/ecosystems/TEI_Scanned_Maps/M21/M21-1992</v>
      </c>
      <c r="U2276" t="s">
        <v>58</v>
      </c>
      <c r="V2276" t="s">
        <v>58</v>
      </c>
      <c r="W2276" t="s">
        <v>58</v>
      </c>
      <c r="X2276" t="s">
        <v>58</v>
      </c>
      <c r="Y2276" t="s">
        <v>58</v>
      </c>
      <c r="Z2276" t="s">
        <v>58</v>
      </c>
      <c r="AA2276" t="s">
        <v>58</v>
      </c>
      <c r="AC2276" t="s">
        <v>58</v>
      </c>
      <c r="AE2276" t="s">
        <v>58</v>
      </c>
      <c r="AG2276" t="s">
        <v>63</v>
      </c>
      <c r="AH2276" s="11" t="str">
        <f t="shared" si="154"/>
        <v>mailto: soilterrain@victoria1.gov.bc.ca</v>
      </c>
    </row>
    <row r="2277" spans="1:34">
      <c r="A2277" t="s">
        <v>5287</v>
      </c>
      <c r="B2277" t="s">
        <v>56</v>
      </c>
      <c r="C2277" s="10" t="s">
        <v>5275</v>
      </c>
      <c r="D2277" t="s">
        <v>58</v>
      </c>
      <c r="E2277" t="s">
        <v>5272</v>
      </c>
      <c r="F2277" t="s">
        <v>5288</v>
      </c>
      <c r="G2277">
        <v>20000</v>
      </c>
      <c r="H2277">
        <v>1976</v>
      </c>
      <c r="I2277" t="s">
        <v>58</v>
      </c>
      <c r="J2277" t="s">
        <v>61</v>
      </c>
      <c r="K2277" t="s">
        <v>58</v>
      </c>
      <c r="L2277" t="s">
        <v>61</v>
      </c>
      <c r="M2277" t="s">
        <v>58</v>
      </c>
      <c r="Q2277" t="s">
        <v>58</v>
      </c>
      <c r="R2277" s="11" t="str">
        <f>HYPERLINK("\\imagefiles.bcgov\imagery\scanned_maps\moe_terrain_maps\Scanned_T_maps_all\M21\M21-1993","\\imagefiles.bcgov\imagery\scanned_maps\moe_terrain_maps\Scanned_T_maps_all\M21\M21-1993")</f>
        <v>\\imagefiles.bcgov\imagery\scanned_maps\moe_terrain_maps\Scanned_T_maps_all\M21\M21-1993</v>
      </c>
      <c r="S2277" t="s">
        <v>62</v>
      </c>
      <c r="T2277" s="11" t="str">
        <f>HYPERLINK("http://www.env.gov.bc.ca/esd/distdata/ecosystems/TEI_Scanned_Maps/M21/M21-1993","http://www.env.gov.bc.ca/esd/distdata/ecosystems/TEI_Scanned_Maps/M21/M21-1993")</f>
        <v>http://www.env.gov.bc.ca/esd/distdata/ecosystems/TEI_Scanned_Maps/M21/M21-1993</v>
      </c>
      <c r="U2277" t="s">
        <v>58</v>
      </c>
      <c r="V2277" t="s">
        <v>58</v>
      </c>
      <c r="W2277" t="s">
        <v>58</v>
      </c>
      <c r="X2277" t="s">
        <v>58</v>
      </c>
      <c r="Y2277" t="s">
        <v>58</v>
      </c>
      <c r="Z2277" t="s">
        <v>58</v>
      </c>
      <c r="AA2277" t="s">
        <v>58</v>
      </c>
      <c r="AC2277" t="s">
        <v>58</v>
      </c>
      <c r="AE2277" t="s">
        <v>58</v>
      </c>
      <c r="AG2277" t="s">
        <v>63</v>
      </c>
      <c r="AH2277" s="11" t="str">
        <f t="shared" si="154"/>
        <v>mailto: soilterrain@victoria1.gov.bc.ca</v>
      </c>
    </row>
    <row r="2278" spans="1:34">
      <c r="A2278" t="s">
        <v>5289</v>
      </c>
      <c r="B2278" t="s">
        <v>56</v>
      </c>
      <c r="C2278" s="10" t="s">
        <v>1363</v>
      </c>
      <c r="D2278" t="s">
        <v>58</v>
      </c>
      <c r="E2278" t="s">
        <v>5290</v>
      </c>
      <c r="F2278" t="s">
        <v>5291</v>
      </c>
      <c r="G2278">
        <v>50000</v>
      </c>
      <c r="H2278">
        <v>1992</v>
      </c>
      <c r="I2278" t="s">
        <v>58</v>
      </c>
      <c r="J2278" t="s">
        <v>61</v>
      </c>
      <c r="K2278" t="s">
        <v>58</v>
      </c>
      <c r="L2278" t="s">
        <v>61</v>
      </c>
      <c r="M2278" t="s">
        <v>61</v>
      </c>
      <c r="Q2278" t="s">
        <v>58</v>
      </c>
      <c r="R2278" s="11" t="str">
        <f>HYPERLINK("\\imagefiles.bcgov\imagery\scanned_maps\moe_terrain_maps\Scanned_T_maps_all\M21\M21-4504","\\imagefiles.bcgov\imagery\scanned_maps\moe_terrain_maps\Scanned_T_maps_all\M21\M21-4504")</f>
        <v>\\imagefiles.bcgov\imagery\scanned_maps\moe_terrain_maps\Scanned_T_maps_all\M21\M21-4504</v>
      </c>
      <c r="S2278" t="s">
        <v>62</v>
      </c>
      <c r="T2278" s="11" t="str">
        <f>HYPERLINK("http://www.env.gov.bc.ca/esd/distdata/ecosystems/TEI_Scanned_Maps/M21/M21-4504","http://www.env.gov.bc.ca/esd/distdata/ecosystems/TEI_Scanned_Maps/M21/M21-4504")</f>
        <v>http://www.env.gov.bc.ca/esd/distdata/ecosystems/TEI_Scanned_Maps/M21/M21-4504</v>
      </c>
      <c r="U2278" t="s">
        <v>58</v>
      </c>
      <c r="V2278" t="s">
        <v>58</v>
      </c>
      <c r="W2278" t="s">
        <v>58</v>
      </c>
      <c r="X2278" t="s">
        <v>58</v>
      </c>
      <c r="Y2278" t="s">
        <v>58</v>
      </c>
      <c r="Z2278" t="s">
        <v>58</v>
      </c>
      <c r="AA2278" t="s">
        <v>58</v>
      </c>
      <c r="AC2278" t="s">
        <v>58</v>
      </c>
      <c r="AE2278" t="s">
        <v>58</v>
      </c>
      <c r="AG2278" t="s">
        <v>63</v>
      </c>
      <c r="AH2278" s="11" t="str">
        <f t="shared" si="154"/>
        <v>mailto: soilterrain@victoria1.gov.bc.ca</v>
      </c>
    </row>
    <row r="2279" spans="1:34">
      <c r="A2279" t="s">
        <v>5292</v>
      </c>
      <c r="B2279" t="s">
        <v>56</v>
      </c>
      <c r="C2279" s="10" t="s">
        <v>1365</v>
      </c>
      <c r="D2279" t="s">
        <v>58</v>
      </c>
      <c r="E2279" t="s">
        <v>5290</v>
      </c>
      <c r="F2279" t="s">
        <v>5293</v>
      </c>
      <c r="G2279">
        <v>50000</v>
      </c>
      <c r="H2279" t="s">
        <v>187</v>
      </c>
      <c r="I2279" t="s">
        <v>58</v>
      </c>
      <c r="J2279" t="s">
        <v>61</v>
      </c>
      <c r="K2279" t="s">
        <v>58</v>
      </c>
      <c r="L2279" t="s">
        <v>61</v>
      </c>
      <c r="M2279" t="s">
        <v>61</v>
      </c>
      <c r="Q2279" t="s">
        <v>58</v>
      </c>
      <c r="R2279" s="11" t="str">
        <f>HYPERLINK("\\imagefiles.bcgov\imagery\scanned_maps\moe_terrain_maps\Scanned_T_maps_all\M21\M21-4505","\\imagefiles.bcgov\imagery\scanned_maps\moe_terrain_maps\Scanned_T_maps_all\M21\M21-4505")</f>
        <v>\\imagefiles.bcgov\imagery\scanned_maps\moe_terrain_maps\Scanned_T_maps_all\M21\M21-4505</v>
      </c>
      <c r="S2279" t="s">
        <v>62</v>
      </c>
      <c r="T2279" s="11" t="str">
        <f>HYPERLINK("http://www.env.gov.bc.ca/esd/distdata/ecosystems/TEI_Scanned_Maps/M21/M21-4505","http://www.env.gov.bc.ca/esd/distdata/ecosystems/TEI_Scanned_Maps/M21/M21-4505")</f>
        <v>http://www.env.gov.bc.ca/esd/distdata/ecosystems/TEI_Scanned_Maps/M21/M21-4505</v>
      </c>
      <c r="U2279" t="s">
        <v>58</v>
      </c>
      <c r="V2279" t="s">
        <v>58</v>
      </c>
      <c r="W2279" t="s">
        <v>58</v>
      </c>
      <c r="X2279" t="s">
        <v>58</v>
      </c>
      <c r="Y2279" t="s">
        <v>58</v>
      </c>
      <c r="Z2279" t="s">
        <v>58</v>
      </c>
      <c r="AA2279" t="s">
        <v>58</v>
      </c>
      <c r="AC2279" t="s">
        <v>58</v>
      </c>
      <c r="AE2279" t="s">
        <v>58</v>
      </c>
      <c r="AG2279" t="s">
        <v>63</v>
      </c>
      <c r="AH2279" s="11" t="str">
        <f t="shared" si="154"/>
        <v>mailto: soilterrain@victoria1.gov.bc.ca</v>
      </c>
    </row>
    <row r="2280" spans="1:34">
      <c r="A2280" t="s">
        <v>5294</v>
      </c>
      <c r="B2280" t="s">
        <v>56</v>
      </c>
      <c r="C2280" s="10" t="s">
        <v>1375</v>
      </c>
      <c r="D2280" t="s">
        <v>58</v>
      </c>
      <c r="E2280" t="s">
        <v>5290</v>
      </c>
      <c r="F2280" t="s">
        <v>5295</v>
      </c>
      <c r="G2280">
        <v>50000</v>
      </c>
      <c r="H2280" t="s">
        <v>187</v>
      </c>
      <c r="I2280" t="s">
        <v>58</v>
      </c>
      <c r="J2280" t="s">
        <v>61</v>
      </c>
      <c r="K2280" t="s">
        <v>58</v>
      </c>
      <c r="L2280" t="s">
        <v>61</v>
      </c>
      <c r="M2280" t="s">
        <v>61</v>
      </c>
      <c r="Q2280" t="s">
        <v>58</v>
      </c>
      <c r="R2280" s="11" t="str">
        <f>HYPERLINK("\\imagefiles.bcgov\imagery\scanned_maps\moe_terrain_maps\Scanned_T_maps_all\M21\M21-4506","\\imagefiles.bcgov\imagery\scanned_maps\moe_terrain_maps\Scanned_T_maps_all\M21\M21-4506")</f>
        <v>\\imagefiles.bcgov\imagery\scanned_maps\moe_terrain_maps\Scanned_T_maps_all\M21\M21-4506</v>
      </c>
      <c r="S2280" t="s">
        <v>62</v>
      </c>
      <c r="T2280" s="11" t="str">
        <f>HYPERLINK("http://www.env.gov.bc.ca/esd/distdata/ecosystems/TEI_Scanned_Maps/M21/M21-4506","http://www.env.gov.bc.ca/esd/distdata/ecosystems/TEI_Scanned_Maps/M21/M21-4506")</f>
        <v>http://www.env.gov.bc.ca/esd/distdata/ecosystems/TEI_Scanned_Maps/M21/M21-4506</v>
      </c>
      <c r="U2280" t="s">
        <v>58</v>
      </c>
      <c r="V2280" t="s">
        <v>58</v>
      </c>
      <c r="W2280" t="s">
        <v>58</v>
      </c>
      <c r="X2280" t="s">
        <v>58</v>
      </c>
      <c r="Y2280" t="s">
        <v>58</v>
      </c>
      <c r="Z2280" t="s">
        <v>58</v>
      </c>
      <c r="AA2280" t="s">
        <v>58</v>
      </c>
      <c r="AC2280" t="s">
        <v>58</v>
      </c>
      <c r="AE2280" t="s">
        <v>58</v>
      </c>
      <c r="AG2280" t="s">
        <v>63</v>
      </c>
      <c r="AH2280" s="11" t="str">
        <f t="shared" si="154"/>
        <v>mailto: soilterrain@victoria1.gov.bc.ca</v>
      </c>
    </row>
    <row r="2281" spans="1:34">
      <c r="A2281" t="s">
        <v>5296</v>
      </c>
      <c r="B2281" t="s">
        <v>56</v>
      </c>
      <c r="C2281" s="10" t="s">
        <v>1377</v>
      </c>
      <c r="D2281" t="s">
        <v>58</v>
      </c>
      <c r="E2281" t="s">
        <v>5290</v>
      </c>
      <c r="F2281" t="s">
        <v>5297</v>
      </c>
      <c r="G2281">
        <v>50000</v>
      </c>
      <c r="H2281" t="s">
        <v>187</v>
      </c>
      <c r="I2281" t="s">
        <v>58</v>
      </c>
      <c r="J2281" t="s">
        <v>61</v>
      </c>
      <c r="K2281" t="s">
        <v>58</v>
      </c>
      <c r="L2281" t="s">
        <v>61</v>
      </c>
      <c r="M2281" t="s">
        <v>61</v>
      </c>
      <c r="Q2281" t="s">
        <v>58</v>
      </c>
      <c r="R2281" s="11" t="str">
        <f>HYPERLINK("\\imagefiles.bcgov\imagery\scanned_maps\moe_terrain_maps\Scanned_T_maps_all\M21\M21-4507","\\imagefiles.bcgov\imagery\scanned_maps\moe_terrain_maps\Scanned_T_maps_all\M21\M21-4507")</f>
        <v>\\imagefiles.bcgov\imagery\scanned_maps\moe_terrain_maps\Scanned_T_maps_all\M21\M21-4507</v>
      </c>
      <c r="S2281" t="s">
        <v>62</v>
      </c>
      <c r="T2281" s="11" t="str">
        <f>HYPERLINK("http://www.env.gov.bc.ca/esd/distdata/ecosystems/TEI_Scanned_Maps/M21/M21-4507","http://www.env.gov.bc.ca/esd/distdata/ecosystems/TEI_Scanned_Maps/M21/M21-4507")</f>
        <v>http://www.env.gov.bc.ca/esd/distdata/ecosystems/TEI_Scanned_Maps/M21/M21-4507</v>
      </c>
      <c r="U2281" t="s">
        <v>58</v>
      </c>
      <c r="V2281" t="s">
        <v>58</v>
      </c>
      <c r="W2281" t="s">
        <v>58</v>
      </c>
      <c r="X2281" t="s">
        <v>58</v>
      </c>
      <c r="Y2281" t="s">
        <v>58</v>
      </c>
      <c r="Z2281" t="s">
        <v>58</v>
      </c>
      <c r="AA2281" t="s">
        <v>58</v>
      </c>
      <c r="AC2281" t="s">
        <v>58</v>
      </c>
      <c r="AE2281" t="s">
        <v>58</v>
      </c>
      <c r="AG2281" t="s">
        <v>63</v>
      </c>
      <c r="AH2281" s="11" t="str">
        <f t="shared" si="154"/>
        <v>mailto: soilterrain@victoria1.gov.bc.ca</v>
      </c>
    </row>
    <row r="2282" spans="1:34">
      <c r="A2282" t="s">
        <v>5298</v>
      </c>
      <c r="B2282" t="s">
        <v>56</v>
      </c>
      <c r="C2282" s="10" t="s">
        <v>1602</v>
      </c>
      <c r="D2282" t="s">
        <v>58</v>
      </c>
      <c r="E2282" t="s">
        <v>5290</v>
      </c>
      <c r="F2282" t="s">
        <v>5299</v>
      </c>
      <c r="G2282">
        <v>50000</v>
      </c>
      <c r="H2282" t="s">
        <v>187</v>
      </c>
      <c r="I2282" t="s">
        <v>58</v>
      </c>
      <c r="J2282" t="s">
        <v>61</v>
      </c>
      <c r="K2282" t="s">
        <v>58</v>
      </c>
      <c r="L2282" t="s">
        <v>61</v>
      </c>
      <c r="M2282" t="s">
        <v>61</v>
      </c>
      <c r="Q2282" t="s">
        <v>58</v>
      </c>
      <c r="R2282" s="11" t="str">
        <f>HYPERLINK("\\imagefiles.bcgov\imagery\scanned_maps\moe_terrain_maps\Scanned_T_maps_all\M21\M21-4508","\\imagefiles.bcgov\imagery\scanned_maps\moe_terrain_maps\Scanned_T_maps_all\M21\M21-4508")</f>
        <v>\\imagefiles.bcgov\imagery\scanned_maps\moe_terrain_maps\Scanned_T_maps_all\M21\M21-4508</v>
      </c>
      <c r="S2282" t="s">
        <v>62</v>
      </c>
      <c r="T2282" s="11" t="str">
        <f>HYPERLINK("http://www.env.gov.bc.ca/esd/distdata/ecosystems/TEI_Scanned_Maps/M21/M21-4508","http://www.env.gov.bc.ca/esd/distdata/ecosystems/TEI_Scanned_Maps/M21/M21-4508")</f>
        <v>http://www.env.gov.bc.ca/esd/distdata/ecosystems/TEI_Scanned_Maps/M21/M21-4508</v>
      </c>
      <c r="U2282" t="s">
        <v>58</v>
      </c>
      <c r="V2282" t="s">
        <v>58</v>
      </c>
      <c r="W2282" t="s">
        <v>58</v>
      </c>
      <c r="X2282" t="s">
        <v>58</v>
      </c>
      <c r="Y2282" t="s">
        <v>58</v>
      </c>
      <c r="Z2282" t="s">
        <v>58</v>
      </c>
      <c r="AA2282" t="s">
        <v>58</v>
      </c>
      <c r="AC2282" t="s">
        <v>58</v>
      </c>
      <c r="AE2282" t="s">
        <v>58</v>
      </c>
      <c r="AG2282" t="s">
        <v>63</v>
      </c>
      <c r="AH2282" s="11" t="str">
        <f t="shared" si="154"/>
        <v>mailto: soilterrain@victoria1.gov.bc.ca</v>
      </c>
    </row>
    <row r="2283" spans="1:34">
      <c r="A2283" t="s">
        <v>5300</v>
      </c>
      <c r="B2283" t="s">
        <v>56</v>
      </c>
      <c r="C2283" s="10" t="s">
        <v>1444</v>
      </c>
      <c r="D2283" t="s">
        <v>58</v>
      </c>
      <c r="E2283" t="s">
        <v>5290</v>
      </c>
      <c r="F2283" t="s">
        <v>5301</v>
      </c>
      <c r="G2283">
        <v>50000</v>
      </c>
      <c r="H2283" t="s">
        <v>187</v>
      </c>
      <c r="I2283" t="s">
        <v>58</v>
      </c>
      <c r="J2283" t="s">
        <v>61</v>
      </c>
      <c r="K2283" t="s">
        <v>58</v>
      </c>
      <c r="L2283" t="s">
        <v>61</v>
      </c>
      <c r="M2283" t="s">
        <v>61</v>
      </c>
      <c r="Q2283" t="s">
        <v>58</v>
      </c>
      <c r="R2283" s="11" t="str">
        <f>HYPERLINK("\\imagefiles.bcgov\imagery\scanned_maps\moe_terrain_maps\Scanned_T_maps_all\M21\M21-4509","\\imagefiles.bcgov\imagery\scanned_maps\moe_terrain_maps\Scanned_T_maps_all\M21\M21-4509")</f>
        <v>\\imagefiles.bcgov\imagery\scanned_maps\moe_terrain_maps\Scanned_T_maps_all\M21\M21-4509</v>
      </c>
      <c r="S2283" t="s">
        <v>62</v>
      </c>
      <c r="T2283" s="11" t="str">
        <f>HYPERLINK("http://www.env.gov.bc.ca/esd/distdata/ecosystems/TEI_Scanned_Maps/M21/M21-4509","http://www.env.gov.bc.ca/esd/distdata/ecosystems/TEI_Scanned_Maps/M21/M21-4509")</f>
        <v>http://www.env.gov.bc.ca/esd/distdata/ecosystems/TEI_Scanned_Maps/M21/M21-4509</v>
      </c>
      <c r="U2283" t="s">
        <v>58</v>
      </c>
      <c r="V2283" t="s">
        <v>58</v>
      </c>
      <c r="W2283" t="s">
        <v>58</v>
      </c>
      <c r="X2283" t="s">
        <v>58</v>
      </c>
      <c r="Y2283" t="s">
        <v>58</v>
      </c>
      <c r="Z2283" t="s">
        <v>58</v>
      </c>
      <c r="AA2283" t="s">
        <v>58</v>
      </c>
      <c r="AC2283" t="s">
        <v>58</v>
      </c>
      <c r="AE2283" t="s">
        <v>58</v>
      </c>
      <c r="AG2283" t="s">
        <v>63</v>
      </c>
      <c r="AH2283" s="11" t="str">
        <f t="shared" si="154"/>
        <v>mailto: soilterrain@victoria1.gov.bc.ca</v>
      </c>
    </row>
    <row r="2284" spans="1:34">
      <c r="A2284" t="s">
        <v>5302</v>
      </c>
      <c r="B2284" t="s">
        <v>56</v>
      </c>
      <c r="C2284" s="10" t="s">
        <v>4598</v>
      </c>
      <c r="D2284" t="s">
        <v>61</v>
      </c>
      <c r="E2284" t="s">
        <v>4599</v>
      </c>
      <c r="F2284" t="s">
        <v>5303</v>
      </c>
      <c r="G2284">
        <v>250000</v>
      </c>
      <c r="H2284">
        <v>1976</v>
      </c>
      <c r="I2284" t="s">
        <v>5304</v>
      </c>
      <c r="J2284" t="s">
        <v>61</v>
      </c>
      <c r="K2284" t="s">
        <v>58</v>
      </c>
      <c r="L2284" t="s">
        <v>58</v>
      </c>
      <c r="M2284" t="s">
        <v>58</v>
      </c>
      <c r="O2284" t="s">
        <v>61</v>
      </c>
      <c r="Q2284" t="s">
        <v>58</v>
      </c>
      <c r="R2284" s="11" t="str">
        <f>HYPERLINK("\\imagefiles.bcgov\imagery\scanned_maps\moe_terrain_maps\Scanned_T_maps_all\M22\M22-305096","\\imagefiles.bcgov\imagery\scanned_maps\moe_terrain_maps\Scanned_T_maps_all\M22\M22-305096")</f>
        <v>\\imagefiles.bcgov\imagery\scanned_maps\moe_terrain_maps\Scanned_T_maps_all\M22\M22-305096</v>
      </c>
      <c r="S2284" t="s">
        <v>62</v>
      </c>
      <c r="T2284" s="11" t="str">
        <f>HYPERLINK("http://www.env.gov.bc.ca/esd/distdata/ecosystems/TEI_Scanned_Maps/M22/M22-305096","http://www.env.gov.bc.ca/esd/distdata/ecosystems/TEI_Scanned_Maps/M22/M22-305096")</f>
        <v>http://www.env.gov.bc.ca/esd/distdata/ecosystems/TEI_Scanned_Maps/M22/M22-305096</v>
      </c>
      <c r="U2284" t="s">
        <v>269</v>
      </c>
      <c r="V2284" s="11" t="str">
        <f>HYPERLINK("http://www.library.for.gov.bc.ca/#focus","http://www.library.for.gov.bc.ca/#focus")</f>
        <v>http://www.library.for.gov.bc.ca/#focus</v>
      </c>
      <c r="W2284" t="s">
        <v>58</v>
      </c>
      <c r="X2284" t="s">
        <v>58</v>
      </c>
      <c r="Y2284" t="s">
        <v>58</v>
      </c>
      <c r="Z2284" t="s">
        <v>58</v>
      </c>
      <c r="AA2284" t="s">
        <v>58</v>
      </c>
      <c r="AC2284" t="s">
        <v>58</v>
      </c>
      <c r="AE2284" t="s">
        <v>58</v>
      </c>
      <c r="AG2284" t="s">
        <v>63</v>
      </c>
      <c r="AH2284" s="11" t="str">
        <f t="shared" si="154"/>
        <v>mailto: soilterrain@victoria1.gov.bc.ca</v>
      </c>
    </row>
    <row r="2285" spans="1:34">
      <c r="A2285" t="s">
        <v>5305</v>
      </c>
      <c r="B2285" t="s">
        <v>56</v>
      </c>
      <c r="C2285" s="10" t="s">
        <v>4598</v>
      </c>
      <c r="D2285" t="s">
        <v>61</v>
      </c>
      <c r="E2285" t="s">
        <v>4599</v>
      </c>
      <c r="F2285" t="s">
        <v>5306</v>
      </c>
      <c r="G2285">
        <v>250000</v>
      </c>
      <c r="H2285" t="s">
        <v>187</v>
      </c>
      <c r="I2285" t="s">
        <v>5304</v>
      </c>
      <c r="J2285" t="s">
        <v>61</v>
      </c>
      <c r="K2285" t="s">
        <v>58</v>
      </c>
      <c r="L2285" t="s">
        <v>58</v>
      </c>
      <c r="M2285" t="s">
        <v>58</v>
      </c>
      <c r="O2285" t="s">
        <v>61</v>
      </c>
      <c r="Q2285" t="s">
        <v>58</v>
      </c>
      <c r="R2285" s="11" t="str">
        <f>HYPERLINK("\\imagefiles.bcgov\imagery\scanned_maps\moe_terrain_maps\Scanned_T_maps_all\M22\M22-305097","\\imagefiles.bcgov\imagery\scanned_maps\moe_terrain_maps\Scanned_T_maps_all\M22\M22-305097")</f>
        <v>\\imagefiles.bcgov\imagery\scanned_maps\moe_terrain_maps\Scanned_T_maps_all\M22\M22-305097</v>
      </c>
      <c r="S2285" t="s">
        <v>62</v>
      </c>
      <c r="T2285" s="11" t="str">
        <f>HYPERLINK("http://www.env.gov.bc.ca/esd/distdata/ecosystems/TEI_Scanned_Maps/M22/M22-305097","http://www.env.gov.bc.ca/esd/distdata/ecosystems/TEI_Scanned_Maps/M22/M22-305097")</f>
        <v>http://www.env.gov.bc.ca/esd/distdata/ecosystems/TEI_Scanned_Maps/M22/M22-305097</v>
      </c>
      <c r="U2285" t="s">
        <v>269</v>
      </c>
      <c r="V2285" s="11" t="str">
        <f>HYPERLINK("http://www.library.for.gov.bc.ca/#focus","http://www.library.for.gov.bc.ca/#focus")</f>
        <v>http://www.library.for.gov.bc.ca/#focus</v>
      </c>
      <c r="W2285" t="s">
        <v>58</v>
      </c>
      <c r="X2285" t="s">
        <v>58</v>
      </c>
      <c r="Y2285" t="s">
        <v>58</v>
      </c>
      <c r="Z2285" t="s">
        <v>58</v>
      </c>
      <c r="AA2285" t="s">
        <v>58</v>
      </c>
      <c r="AC2285" t="s">
        <v>58</v>
      </c>
      <c r="AE2285" t="s">
        <v>58</v>
      </c>
      <c r="AG2285" t="s">
        <v>63</v>
      </c>
      <c r="AH2285" s="11" t="str">
        <f t="shared" si="154"/>
        <v>mailto: soilterrain@victoria1.gov.bc.ca</v>
      </c>
    </row>
    <row r="2286" spans="1:34">
      <c r="A2286" t="s">
        <v>5307</v>
      </c>
      <c r="B2286" t="s">
        <v>56</v>
      </c>
      <c r="C2286" s="10" t="s">
        <v>4967</v>
      </c>
      <c r="D2286" t="s">
        <v>61</v>
      </c>
      <c r="E2286" t="s">
        <v>5308</v>
      </c>
      <c r="F2286" t="s">
        <v>5309</v>
      </c>
      <c r="G2286">
        <v>20000</v>
      </c>
      <c r="H2286" t="s">
        <v>187</v>
      </c>
      <c r="I2286" t="s">
        <v>58</v>
      </c>
      <c r="J2286" t="s">
        <v>61</v>
      </c>
      <c r="K2286" t="s">
        <v>61</v>
      </c>
      <c r="L2286" t="s">
        <v>58</v>
      </c>
      <c r="M2286" t="s">
        <v>58</v>
      </c>
      <c r="Q2286" t="s">
        <v>637</v>
      </c>
      <c r="R2286" s="11" t="str">
        <f>HYPERLINK("\\imagefiles.bcgov\imagery\scanned_maps\moe_terrain_maps\Scanned_T_maps_all\M22\M22-305464","\\imagefiles.bcgov\imagery\scanned_maps\moe_terrain_maps\Scanned_T_maps_all\M22\M22-305464")</f>
        <v>\\imagefiles.bcgov\imagery\scanned_maps\moe_terrain_maps\Scanned_T_maps_all\M22\M22-305464</v>
      </c>
      <c r="S2286" t="s">
        <v>62</v>
      </c>
      <c r="T2286" s="11" t="str">
        <f>HYPERLINK("http://www.env.gov.bc.ca/esd/distdata/ecosystems/TEI_Scanned_Maps/M22/M22-305464","http://www.env.gov.bc.ca/esd/distdata/ecosystems/TEI_Scanned_Maps/M22/M22-305464")</f>
        <v>http://www.env.gov.bc.ca/esd/distdata/ecosystems/TEI_Scanned_Maps/M22/M22-305464</v>
      </c>
      <c r="U2286" t="s">
        <v>58</v>
      </c>
      <c r="V2286" t="s">
        <v>58</v>
      </c>
      <c r="W2286" t="s">
        <v>58</v>
      </c>
      <c r="X2286" t="s">
        <v>58</v>
      </c>
      <c r="Y2286" t="s">
        <v>58</v>
      </c>
      <c r="Z2286" t="s">
        <v>58</v>
      </c>
      <c r="AA2286" t="s">
        <v>58</v>
      </c>
      <c r="AC2286" t="s">
        <v>58</v>
      </c>
      <c r="AE2286" t="s">
        <v>58</v>
      </c>
      <c r="AG2286" t="s">
        <v>63</v>
      </c>
      <c r="AH2286" s="11" t="str">
        <f t="shared" si="154"/>
        <v>mailto: soilterrain@victoria1.gov.bc.ca</v>
      </c>
    </row>
    <row r="2287" spans="1:34">
      <c r="A2287" t="s">
        <v>5310</v>
      </c>
      <c r="B2287" t="s">
        <v>56</v>
      </c>
      <c r="C2287" s="10" t="s">
        <v>4967</v>
      </c>
      <c r="D2287" t="s">
        <v>61</v>
      </c>
      <c r="E2287" t="s">
        <v>5308</v>
      </c>
      <c r="F2287" t="s">
        <v>5311</v>
      </c>
      <c r="G2287">
        <v>20000</v>
      </c>
      <c r="H2287" t="s">
        <v>187</v>
      </c>
      <c r="I2287" t="s">
        <v>58</v>
      </c>
      <c r="J2287" t="s">
        <v>61</v>
      </c>
      <c r="K2287" t="s">
        <v>58</v>
      </c>
      <c r="L2287" t="s">
        <v>58</v>
      </c>
      <c r="M2287" t="s">
        <v>58</v>
      </c>
      <c r="P2287" t="s">
        <v>61</v>
      </c>
      <c r="Q2287" t="s">
        <v>637</v>
      </c>
      <c r="R2287" s="11" t="str">
        <f>HYPERLINK("\\imagefiles.bcgov\imagery\scanned_maps\moe_terrain_maps\Scanned_T_maps_all\M22\M22-305467","\\imagefiles.bcgov\imagery\scanned_maps\moe_terrain_maps\Scanned_T_maps_all\M22\M22-305467")</f>
        <v>\\imagefiles.bcgov\imagery\scanned_maps\moe_terrain_maps\Scanned_T_maps_all\M22\M22-305467</v>
      </c>
      <c r="S2287" t="s">
        <v>62</v>
      </c>
      <c r="T2287" s="11" t="str">
        <f>HYPERLINK("http://www.env.gov.bc.ca/esd/distdata/ecosystems/TEI_Scanned_Maps/M22/M22-305467","http://www.env.gov.bc.ca/esd/distdata/ecosystems/TEI_Scanned_Maps/M22/M22-305467")</f>
        <v>http://www.env.gov.bc.ca/esd/distdata/ecosystems/TEI_Scanned_Maps/M22/M22-305467</v>
      </c>
      <c r="U2287" t="s">
        <v>58</v>
      </c>
      <c r="V2287" t="s">
        <v>58</v>
      </c>
      <c r="W2287" t="s">
        <v>58</v>
      </c>
      <c r="X2287" t="s">
        <v>58</v>
      </c>
      <c r="Y2287" t="s">
        <v>58</v>
      </c>
      <c r="Z2287" t="s">
        <v>58</v>
      </c>
      <c r="AA2287" t="s">
        <v>58</v>
      </c>
      <c r="AC2287" t="s">
        <v>58</v>
      </c>
      <c r="AE2287" t="s">
        <v>58</v>
      </c>
      <c r="AG2287" t="s">
        <v>63</v>
      </c>
      <c r="AH2287" s="11" t="str">
        <f t="shared" si="154"/>
        <v>mailto: soilterrain@victoria1.gov.bc.ca</v>
      </c>
    </row>
    <row r="2288" spans="1:34">
      <c r="A2288" t="s">
        <v>5312</v>
      </c>
      <c r="B2288" t="s">
        <v>56</v>
      </c>
      <c r="C2288" s="10" t="s">
        <v>656</v>
      </c>
      <c r="D2288" t="s">
        <v>58</v>
      </c>
      <c r="E2288" t="s">
        <v>5051</v>
      </c>
      <c r="F2288" t="s">
        <v>5313</v>
      </c>
      <c r="G2288">
        <v>50000</v>
      </c>
      <c r="H2288" t="s">
        <v>187</v>
      </c>
      <c r="I2288" t="s">
        <v>4635</v>
      </c>
      <c r="J2288" t="s">
        <v>61</v>
      </c>
      <c r="K2288" t="s">
        <v>61</v>
      </c>
      <c r="L2288" t="s">
        <v>58</v>
      </c>
      <c r="M2288" t="s">
        <v>58</v>
      </c>
      <c r="Q2288" t="s">
        <v>58</v>
      </c>
      <c r="R2288" s="11" t="str">
        <f>HYPERLINK("\\imagefiles.bcgov\imagery\scanned_maps\moe_terrain_maps\Scanned_T_maps_all\M22\M22-305967","\\imagefiles.bcgov\imagery\scanned_maps\moe_terrain_maps\Scanned_T_maps_all\M22\M22-305967")</f>
        <v>\\imagefiles.bcgov\imagery\scanned_maps\moe_terrain_maps\Scanned_T_maps_all\M22\M22-305967</v>
      </c>
      <c r="S2288" t="s">
        <v>62</v>
      </c>
      <c r="T2288" s="11" t="str">
        <f>HYPERLINK("http://www.env.gov.bc.ca/esd/distdata/ecosystems/TEI_Scanned_Maps/M22/M22-305967","http://www.env.gov.bc.ca/esd/distdata/ecosystems/TEI_Scanned_Maps/M22/M22-305967")</f>
        <v>http://www.env.gov.bc.ca/esd/distdata/ecosystems/TEI_Scanned_Maps/M22/M22-305967</v>
      </c>
      <c r="U2288" t="s">
        <v>269</v>
      </c>
      <c r="V2288" s="11" t="str">
        <f>HYPERLINK("http://www.library.for.gov.bc.ca/#focus","http://www.library.for.gov.bc.ca/#focus")</f>
        <v>http://www.library.for.gov.bc.ca/#focus</v>
      </c>
      <c r="W2288" t="s">
        <v>58</v>
      </c>
      <c r="X2288" t="s">
        <v>58</v>
      </c>
      <c r="Y2288" t="s">
        <v>58</v>
      </c>
      <c r="Z2288" t="s">
        <v>58</v>
      </c>
      <c r="AA2288" t="s">
        <v>58</v>
      </c>
      <c r="AC2288" t="s">
        <v>58</v>
      </c>
      <c r="AE2288" t="s">
        <v>58</v>
      </c>
      <c r="AG2288" t="s">
        <v>63</v>
      </c>
      <c r="AH2288" s="11" t="str">
        <f t="shared" si="154"/>
        <v>mailto: soilterrain@victoria1.gov.bc.ca</v>
      </c>
    </row>
    <row r="2289" spans="1:34">
      <c r="A2289" t="s">
        <v>5314</v>
      </c>
      <c r="B2289" t="s">
        <v>56</v>
      </c>
      <c r="C2289" s="10" t="s">
        <v>165</v>
      </c>
      <c r="D2289" t="s">
        <v>58</v>
      </c>
      <c r="E2289" t="s">
        <v>5315</v>
      </c>
      <c r="F2289" t="s">
        <v>5316</v>
      </c>
      <c r="G2289">
        <v>50000</v>
      </c>
      <c r="H2289" t="s">
        <v>187</v>
      </c>
      <c r="I2289" t="s">
        <v>4635</v>
      </c>
      <c r="J2289" t="s">
        <v>61</v>
      </c>
      <c r="K2289" t="s">
        <v>61</v>
      </c>
      <c r="L2289" t="s">
        <v>58</v>
      </c>
      <c r="M2289" t="s">
        <v>58</v>
      </c>
      <c r="Q2289" t="s">
        <v>58</v>
      </c>
      <c r="R2289" s="11" t="str">
        <f>HYPERLINK("\\imagefiles.bcgov\imagery\scanned_maps\moe_terrain_maps\Scanned_T_maps_all\M22\M22-305989","\\imagefiles.bcgov\imagery\scanned_maps\moe_terrain_maps\Scanned_T_maps_all\M22\M22-305989")</f>
        <v>\\imagefiles.bcgov\imagery\scanned_maps\moe_terrain_maps\Scanned_T_maps_all\M22\M22-305989</v>
      </c>
      <c r="S2289" t="s">
        <v>62</v>
      </c>
      <c r="T2289" s="11" t="str">
        <f>HYPERLINK("http://www.env.gov.bc.ca/esd/distdata/ecosystems/TEI_Scanned_Maps/M22/M22-305989","http://www.env.gov.bc.ca/esd/distdata/ecosystems/TEI_Scanned_Maps/M22/M22-305989")</f>
        <v>http://www.env.gov.bc.ca/esd/distdata/ecosystems/TEI_Scanned_Maps/M22/M22-305989</v>
      </c>
      <c r="U2289" t="s">
        <v>269</v>
      </c>
      <c r="V2289" s="11" t="str">
        <f>HYPERLINK("http://www.library.for.gov.bc.ca/#focus","http://www.library.for.gov.bc.ca/#focus")</f>
        <v>http://www.library.for.gov.bc.ca/#focus</v>
      </c>
      <c r="W2289" t="s">
        <v>58</v>
      </c>
      <c r="X2289" t="s">
        <v>58</v>
      </c>
      <c r="Y2289" t="s">
        <v>58</v>
      </c>
      <c r="Z2289" t="s">
        <v>58</v>
      </c>
      <c r="AA2289" t="s">
        <v>58</v>
      </c>
      <c r="AC2289" t="s">
        <v>58</v>
      </c>
      <c r="AE2289" t="s">
        <v>58</v>
      </c>
      <c r="AG2289" t="s">
        <v>63</v>
      </c>
      <c r="AH2289" s="11" t="str">
        <f t="shared" si="154"/>
        <v>mailto: soilterrain@victoria1.gov.bc.ca</v>
      </c>
    </row>
    <row r="2290" spans="1:34">
      <c r="A2290" t="s">
        <v>5317</v>
      </c>
      <c r="B2290" t="s">
        <v>56</v>
      </c>
      <c r="C2290" s="10" t="s">
        <v>594</v>
      </c>
      <c r="D2290" t="s">
        <v>58</v>
      </c>
      <c r="E2290" t="s">
        <v>5318</v>
      </c>
      <c r="F2290" t="s">
        <v>5319</v>
      </c>
      <c r="G2290">
        <v>50000</v>
      </c>
      <c r="H2290" t="s">
        <v>187</v>
      </c>
      <c r="I2290" t="s">
        <v>4635</v>
      </c>
      <c r="J2290" t="s">
        <v>61</v>
      </c>
      <c r="K2290" t="s">
        <v>61</v>
      </c>
      <c r="L2290" t="s">
        <v>58</v>
      </c>
      <c r="M2290" t="s">
        <v>58</v>
      </c>
      <c r="Q2290" t="s">
        <v>58</v>
      </c>
      <c r="R2290" s="11" t="str">
        <f>HYPERLINK("\\imagefiles.bcgov\imagery\scanned_maps\moe_terrain_maps\Scanned_T_maps_all\M22\M22-306009","\\imagefiles.bcgov\imagery\scanned_maps\moe_terrain_maps\Scanned_T_maps_all\M22\M22-306009")</f>
        <v>\\imagefiles.bcgov\imagery\scanned_maps\moe_terrain_maps\Scanned_T_maps_all\M22\M22-306009</v>
      </c>
      <c r="S2290" t="s">
        <v>62</v>
      </c>
      <c r="T2290" s="11" t="str">
        <f>HYPERLINK("http://www.env.gov.bc.ca/esd/distdata/ecosystems/TEI_Scanned_Maps/M22/M22-306009","http://www.env.gov.bc.ca/esd/distdata/ecosystems/TEI_Scanned_Maps/M22/M22-306009")</f>
        <v>http://www.env.gov.bc.ca/esd/distdata/ecosystems/TEI_Scanned_Maps/M22/M22-306009</v>
      </c>
      <c r="U2290" t="s">
        <v>269</v>
      </c>
      <c r="V2290" s="11" t="str">
        <f>HYPERLINK("http://www.library.for.gov.bc.ca/#focus","http://www.library.for.gov.bc.ca/#focus")</f>
        <v>http://www.library.for.gov.bc.ca/#focus</v>
      </c>
      <c r="W2290" t="s">
        <v>58</v>
      </c>
      <c r="X2290" t="s">
        <v>58</v>
      </c>
      <c r="Y2290" t="s">
        <v>58</v>
      </c>
      <c r="Z2290" t="s">
        <v>58</v>
      </c>
      <c r="AA2290" t="s">
        <v>58</v>
      </c>
      <c r="AC2290" t="s">
        <v>58</v>
      </c>
      <c r="AE2290" t="s">
        <v>58</v>
      </c>
      <c r="AG2290" t="s">
        <v>63</v>
      </c>
      <c r="AH2290" s="11" t="str">
        <f t="shared" si="154"/>
        <v>mailto: soilterrain@victoria1.gov.bc.ca</v>
      </c>
    </row>
    <row r="2291" spans="1:34">
      <c r="A2291" t="s">
        <v>5320</v>
      </c>
      <c r="B2291" t="s">
        <v>56</v>
      </c>
      <c r="C2291" s="10" t="s">
        <v>176</v>
      </c>
      <c r="D2291" t="s">
        <v>58</v>
      </c>
      <c r="E2291" t="s">
        <v>5054</v>
      </c>
      <c r="F2291" t="s">
        <v>5321</v>
      </c>
      <c r="G2291">
        <v>50000</v>
      </c>
      <c r="H2291" t="s">
        <v>187</v>
      </c>
      <c r="I2291" t="s">
        <v>4635</v>
      </c>
      <c r="J2291" t="s">
        <v>61</v>
      </c>
      <c r="K2291" t="s">
        <v>61</v>
      </c>
      <c r="L2291" t="s">
        <v>58</v>
      </c>
      <c r="M2291" t="s">
        <v>58</v>
      </c>
      <c r="Q2291" t="s">
        <v>58</v>
      </c>
      <c r="R2291" s="11" t="str">
        <f>HYPERLINK("\\imagefiles.bcgov\imagery\scanned_maps\moe_terrain_maps\Scanned_T_maps_all\M22\M22-306039","\\imagefiles.bcgov\imagery\scanned_maps\moe_terrain_maps\Scanned_T_maps_all\M22\M22-306039")</f>
        <v>\\imagefiles.bcgov\imagery\scanned_maps\moe_terrain_maps\Scanned_T_maps_all\M22\M22-306039</v>
      </c>
      <c r="S2291" t="s">
        <v>62</v>
      </c>
      <c r="T2291" s="11" t="str">
        <f>HYPERLINK("http://www.env.gov.bc.ca/esd/distdata/ecosystems/TEI_Scanned_Maps/M22/M22-306039","http://www.env.gov.bc.ca/esd/distdata/ecosystems/TEI_Scanned_Maps/M22/M22-306039")</f>
        <v>http://www.env.gov.bc.ca/esd/distdata/ecosystems/TEI_Scanned_Maps/M22/M22-306039</v>
      </c>
      <c r="U2291" t="s">
        <v>269</v>
      </c>
      <c r="V2291" s="11" t="str">
        <f>HYPERLINK("http://www.library.for.gov.bc.ca/#focus","http://www.library.for.gov.bc.ca/#focus")</f>
        <v>http://www.library.for.gov.bc.ca/#focus</v>
      </c>
      <c r="W2291" t="s">
        <v>58</v>
      </c>
      <c r="X2291" t="s">
        <v>58</v>
      </c>
      <c r="Y2291" t="s">
        <v>58</v>
      </c>
      <c r="Z2291" t="s">
        <v>58</v>
      </c>
      <c r="AA2291" t="s">
        <v>58</v>
      </c>
      <c r="AC2291" t="s">
        <v>58</v>
      </c>
      <c r="AE2291" t="s">
        <v>58</v>
      </c>
      <c r="AG2291" t="s">
        <v>63</v>
      </c>
      <c r="AH2291" s="11" t="str">
        <f t="shared" si="154"/>
        <v>mailto: soilterrain@victoria1.gov.bc.ca</v>
      </c>
    </row>
    <row r="2292" spans="1:34">
      <c r="A2292" t="s">
        <v>5322</v>
      </c>
      <c r="B2292" t="s">
        <v>56</v>
      </c>
      <c r="C2292" s="10" t="s">
        <v>1559</v>
      </c>
      <c r="D2292" t="s">
        <v>58</v>
      </c>
      <c r="E2292" t="s">
        <v>5323</v>
      </c>
      <c r="F2292" t="s">
        <v>5324</v>
      </c>
      <c r="G2292">
        <v>50000</v>
      </c>
      <c r="H2292" t="s">
        <v>187</v>
      </c>
      <c r="I2292" t="s">
        <v>58</v>
      </c>
      <c r="J2292" t="s">
        <v>61</v>
      </c>
      <c r="K2292" t="s">
        <v>58</v>
      </c>
      <c r="L2292" t="s">
        <v>61</v>
      </c>
      <c r="M2292" t="s">
        <v>58</v>
      </c>
      <c r="Q2292" t="s">
        <v>58</v>
      </c>
      <c r="R2292" s="11" t="str">
        <f>HYPERLINK("\\imagefiles.bcgov\imagery\scanned_maps\moe_terrain_maps\Scanned_T_maps_all\M22\M22-308746","\\imagefiles.bcgov\imagery\scanned_maps\moe_terrain_maps\Scanned_T_maps_all\M22\M22-308746")</f>
        <v>\\imagefiles.bcgov\imagery\scanned_maps\moe_terrain_maps\Scanned_T_maps_all\M22\M22-308746</v>
      </c>
      <c r="S2292" t="s">
        <v>62</v>
      </c>
      <c r="T2292" s="11" t="str">
        <f>HYPERLINK("http://www.env.gov.bc.ca/esd/distdata/ecosystems/TEI_Scanned_Maps/M22/M22-308746","http://www.env.gov.bc.ca/esd/distdata/ecosystems/TEI_Scanned_Maps/M22/M22-308746")</f>
        <v>http://www.env.gov.bc.ca/esd/distdata/ecosystems/TEI_Scanned_Maps/M22/M22-308746</v>
      </c>
      <c r="U2292" t="s">
        <v>58</v>
      </c>
      <c r="V2292" t="s">
        <v>58</v>
      </c>
      <c r="W2292" t="s">
        <v>58</v>
      </c>
      <c r="X2292" t="s">
        <v>58</v>
      </c>
      <c r="Y2292" t="s">
        <v>58</v>
      </c>
      <c r="Z2292" t="s">
        <v>58</v>
      </c>
      <c r="AA2292" t="s">
        <v>58</v>
      </c>
      <c r="AC2292" t="s">
        <v>58</v>
      </c>
      <c r="AE2292" t="s">
        <v>58</v>
      </c>
      <c r="AG2292" t="s">
        <v>63</v>
      </c>
      <c r="AH2292" s="11" t="str">
        <f t="shared" si="154"/>
        <v>mailto: soilterrain@victoria1.gov.bc.ca</v>
      </c>
    </row>
    <row r="2293" spans="1:34">
      <c r="A2293" t="s">
        <v>5325</v>
      </c>
      <c r="B2293" t="s">
        <v>56</v>
      </c>
      <c r="C2293" s="10" t="s">
        <v>1559</v>
      </c>
      <c r="D2293" t="s">
        <v>58</v>
      </c>
      <c r="E2293" t="s">
        <v>5323</v>
      </c>
      <c r="F2293" t="s">
        <v>5326</v>
      </c>
      <c r="G2293">
        <v>50000</v>
      </c>
      <c r="H2293" t="s">
        <v>187</v>
      </c>
      <c r="I2293" t="s">
        <v>58</v>
      </c>
      <c r="J2293" t="s">
        <v>61</v>
      </c>
      <c r="K2293" t="s">
        <v>58</v>
      </c>
      <c r="L2293" t="s">
        <v>58</v>
      </c>
      <c r="M2293" t="s">
        <v>58</v>
      </c>
      <c r="P2293" t="s">
        <v>61</v>
      </c>
      <c r="Q2293" t="s">
        <v>58</v>
      </c>
      <c r="R2293" s="11" t="str">
        <f>HYPERLINK("\\imagefiles.bcgov\imagery\scanned_maps\moe_terrain_maps\Scanned_T_maps_all\M22\M22-308749","\\imagefiles.bcgov\imagery\scanned_maps\moe_terrain_maps\Scanned_T_maps_all\M22\M22-308749")</f>
        <v>\\imagefiles.bcgov\imagery\scanned_maps\moe_terrain_maps\Scanned_T_maps_all\M22\M22-308749</v>
      </c>
      <c r="S2293" t="s">
        <v>62</v>
      </c>
      <c r="T2293" s="11" t="str">
        <f>HYPERLINK("http://www.env.gov.bc.ca/esd/distdata/ecosystems/TEI_Scanned_Maps/M22/M22-308749","http://www.env.gov.bc.ca/esd/distdata/ecosystems/TEI_Scanned_Maps/M22/M22-308749")</f>
        <v>http://www.env.gov.bc.ca/esd/distdata/ecosystems/TEI_Scanned_Maps/M22/M22-308749</v>
      </c>
      <c r="U2293" t="s">
        <v>58</v>
      </c>
      <c r="V2293" t="s">
        <v>58</v>
      </c>
      <c r="W2293" t="s">
        <v>58</v>
      </c>
      <c r="X2293" t="s">
        <v>58</v>
      </c>
      <c r="Y2293" t="s">
        <v>58</v>
      </c>
      <c r="Z2293" t="s">
        <v>58</v>
      </c>
      <c r="AA2293" t="s">
        <v>58</v>
      </c>
      <c r="AC2293" t="s">
        <v>58</v>
      </c>
      <c r="AE2293" t="s">
        <v>58</v>
      </c>
      <c r="AG2293" t="s">
        <v>63</v>
      </c>
      <c r="AH2293" s="11" t="str">
        <f t="shared" si="154"/>
        <v>mailto: soilterrain@victoria1.gov.bc.ca</v>
      </c>
    </row>
    <row r="2294" spans="1:34">
      <c r="A2294" t="s">
        <v>5327</v>
      </c>
      <c r="B2294" t="s">
        <v>56</v>
      </c>
      <c r="C2294" s="10" t="s">
        <v>2987</v>
      </c>
      <c r="D2294" t="s">
        <v>58</v>
      </c>
      <c r="E2294" t="s">
        <v>2952</v>
      </c>
      <c r="F2294" t="s">
        <v>5328</v>
      </c>
      <c r="G2294">
        <v>20000</v>
      </c>
      <c r="H2294">
        <v>1980</v>
      </c>
      <c r="I2294" t="s">
        <v>58</v>
      </c>
      <c r="J2294" t="s">
        <v>58</v>
      </c>
      <c r="K2294" t="s">
        <v>58</v>
      </c>
      <c r="L2294" t="s">
        <v>58</v>
      </c>
      <c r="M2294" t="s">
        <v>58</v>
      </c>
      <c r="P2294" t="s">
        <v>61</v>
      </c>
      <c r="Q2294" t="s">
        <v>58</v>
      </c>
      <c r="R2294" s="11" t="str">
        <f>HYPERLINK("\\imagefiles.bcgov\imagery\scanned_maps\moe_terrain_maps\Scanned_T_maps_all\R01\R01-1008","\\imagefiles.bcgov\imagery\scanned_maps\moe_terrain_maps\Scanned_T_maps_all\R01\R01-1008")</f>
        <v>\\imagefiles.bcgov\imagery\scanned_maps\moe_terrain_maps\Scanned_T_maps_all\R01\R01-1008</v>
      </c>
      <c r="S2294" t="s">
        <v>62</v>
      </c>
      <c r="T2294" s="11" t="str">
        <f>HYPERLINK("http://www.env.gov.bc.ca/esd/distdata/ecosystems/TEI_Scanned_Maps/R01/R01-1008","http://www.env.gov.bc.ca/esd/distdata/ecosystems/TEI_Scanned_Maps/R01/R01-1008")</f>
        <v>http://www.env.gov.bc.ca/esd/distdata/ecosystems/TEI_Scanned_Maps/R01/R01-1008</v>
      </c>
      <c r="U2294" t="s">
        <v>58</v>
      </c>
      <c r="V2294" t="s">
        <v>58</v>
      </c>
      <c r="W2294" t="s">
        <v>58</v>
      </c>
      <c r="X2294" t="s">
        <v>58</v>
      </c>
      <c r="Y2294" t="s">
        <v>58</v>
      </c>
      <c r="Z2294" t="s">
        <v>58</v>
      </c>
      <c r="AA2294" t="s">
        <v>58</v>
      </c>
      <c r="AC2294" t="s">
        <v>58</v>
      </c>
      <c r="AE2294" t="s">
        <v>58</v>
      </c>
      <c r="AG2294" t="s">
        <v>63</v>
      </c>
      <c r="AH2294" s="11" t="str">
        <f t="shared" si="154"/>
        <v>mailto: soilterrain@victoria1.gov.bc.ca</v>
      </c>
    </row>
    <row r="2295" spans="1:34">
      <c r="A2295" t="s">
        <v>5329</v>
      </c>
      <c r="B2295" t="s">
        <v>56</v>
      </c>
      <c r="C2295" s="10" t="s">
        <v>5330</v>
      </c>
      <c r="D2295" t="s">
        <v>58</v>
      </c>
      <c r="E2295" t="s">
        <v>2952</v>
      </c>
      <c r="F2295" t="s">
        <v>5328</v>
      </c>
      <c r="G2295">
        <v>20000</v>
      </c>
      <c r="H2295">
        <v>1979</v>
      </c>
      <c r="I2295" t="s">
        <v>58</v>
      </c>
      <c r="J2295" t="s">
        <v>58</v>
      </c>
      <c r="K2295" t="s">
        <v>58</v>
      </c>
      <c r="L2295" t="s">
        <v>58</v>
      </c>
      <c r="M2295" t="s">
        <v>58</v>
      </c>
      <c r="P2295" t="s">
        <v>61</v>
      </c>
      <c r="Q2295" t="s">
        <v>58</v>
      </c>
      <c r="R2295" s="11" t="str">
        <f>HYPERLINK("\\imagefiles.bcgov\imagery\scanned_maps\moe_terrain_maps\Scanned_T_maps_all\R01\R01-1017","\\imagefiles.bcgov\imagery\scanned_maps\moe_terrain_maps\Scanned_T_maps_all\R01\R01-1017")</f>
        <v>\\imagefiles.bcgov\imagery\scanned_maps\moe_terrain_maps\Scanned_T_maps_all\R01\R01-1017</v>
      </c>
      <c r="S2295" t="s">
        <v>62</v>
      </c>
      <c r="T2295" s="11" t="str">
        <f>HYPERLINK("http://www.env.gov.bc.ca/esd/distdata/ecosystems/TEI_Scanned_Maps/R01/R01-1017","http://www.env.gov.bc.ca/esd/distdata/ecosystems/TEI_Scanned_Maps/R01/R01-1017")</f>
        <v>http://www.env.gov.bc.ca/esd/distdata/ecosystems/TEI_Scanned_Maps/R01/R01-1017</v>
      </c>
      <c r="U2295" t="s">
        <v>58</v>
      </c>
      <c r="V2295" t="s">
        <v>58</v>
      </c>
      <c r="W2295" t="s">
        <v>58</v>
      </c>
      <c r="X2295" t="s">
        <v>58</v>
      </c>
      <c r="Y2295" t="s">
        <v>58</v>
      </c>
      <c r="Z2295" t="s">
        <v>58</v>
      </c>
      <c r="AA2295" t="s">
        <v>58</v>
      </c>
      <c r="AC2295" t="s">
        <v>58</v>
      </c>
      <c r="AE2295" t="s">
        <v>58</v>
      </c>
      <c r="AG2295" t="s">
        <v>63</v>
      </c>
      <c r="AH2295" s="11" t="str">
        <f t="shared" si="154"/>
        <v>mailto: soilterrain@victoria1.gov.bc.ca</v>
      </c>
    </row>
    <row r="2296" spans="1:34">
      <c r="A2296" t="s">
        <v>5331</v>
      </c>
      <c r="B2296" t="s">
        <v>56</v>
      </c>
      <c r="C2296" s="10" t="s">
        <v>5332</v>
      </c>
      <c r="D2296" t="s">
        <v>58</v>
      </c>
      <c r="E2296" t="s">
        <v>2952</v>
      </c>
      <c r="F2296" t="s">
        <v>5328</v>
      </c>
      <c r="G2296">
        <v>20000</v>
      </c>
      <c r="H2296">
        <v>1978</v>
      </c>
      <c r="I2296" t="s">
        <v>58</v>
      </c>
      <c r="J2296" t="s">
        <v>58</v>
      </c>
      <c r="K2296" t="s">
        <v>58</v>
      </c>
      <c r="L2296" t="s">
        <v>58</v>
      </c>
      <c r="M2296" t="s">
        <v>58</v>
      </c>
      <c r="P2296" t="s">
        <v>61</v>
      </c>
      <c r="Q2296" t="s">
        <v>58</v>
      </c>
      <c r="R2296" s="11" t="str">
        <f>HYPERLINK("\\imagefiles.bcgov\imagery\scanned_maps\moe_terrain_maps\Scanned_T_maps_all\R01\R01-1026","\\imagefiles.bcgov\imagery\scanned_maps\moe_terrain_maps\Scanned_T_maps_all\R01\R01-1026")</f>
        <v>\\imagefiles.bcgov\imagery\scanned_maps\moe_terrain_maps\Scanned_T_maps_all\R01\R01-1026</v>
      </c>
      <c r="S2296" t="s">
        <v>62</v>
      </c>
      <c r="T2296" s="11" t="str">
        <f>HYPERLINK("http://www.env.gov.bc.ca/esd/distdata/ecosystems/TEI_Scanned_Maps/R01/R01-1026","http://www.env.gov.bc.ca/esd/distdata/ecosystems/TEI_Scanned_Maps/R01/R01-1026")</f>
        <v>http://www.env.gov.bc.ca/esd/distdata/ecosystems/TEI_Scanned_Maps/R01/R01-1026</v>
      </c>
      <c r="U2296" t="s">
        <v>58</v>
      </c>
      <c r="V2296" t="s">
        <v>58</v>
      </c>
      <c r="W2296" t="s">
        <v>58</v>
      </c>
      <c r="X2296" t="s">
        <v>58</v>
      </c>
      <c r="Y2296" t="s">
        <v>58</v>
      </c>
      <c r="Z2296" t="s">
        <v>58</v>
      </c>
      <c r="AA2296" t="s">
        <v>58</v>
      </c>
      <c r="AC2296" t="s">
        <v>58</v>
      </c>
      <c r="AE2296" t="s">
        <v>58</v>
      </c>
      <c r="AG2296" t="s">
        <v>63</v>
      </c>
      <c r="AH2296" s="11" t="str">
        <f t="shared" si="154"/>
        <v>mailto: soilterrain@victoria1.gov.bc.ca</v>
      </c>
    </row>
    <row r="2297" spans="1:34">
      <c r="A2297" t="s">
        <v>5333</v>
      </c>
      <c r="B2297" t="s">
        <v>56</v>
      </c>
      <c r="C2297" s="10" t="s">
        <v>5258</v>
      </c>
      <c r="D2297" t="s">
        <v>58</v>
      </c>
      <c r="E2297" t="s">
        <v>2952</v>
      </c>
      <c r="F2297" t="s">
        <v>5328</v>
      </c>
      <c r="G2297">
        <v>20000</v>
      </c>
      <c r="H2297">
        <v>1980</v>
      </c>
      <c r="I2297" t="s">
        <v>58</v>
      </c>
      <c r="J2297" t="s">
        <v>58</v>
      </c>
      <c r="K2297" t="s">
        <v>58</v>
      </c>
      <c r="L2297" t="s">
        <v>58</v>
      </c>
      <c r="M2297" t="s">
        <v>58</v>
      </c>
      <c r="P2297" t="s">
        <v>61</v>
      </c>
      <c r="Q2297" t="s">
        <v>58</v>
      </c>
      <c r="R2297" s="11" t="str">
        <f>HYPERLINK("\\imagefiles.bcgov\imagery\scanned_maps\moe_terrain_maps\Scanned_T_maps_all\R01\R01-1035","\\imagefiles.bcgov\imagery\scanned_maps\moe_terrain_maps\Scanned_T_maps_all\R01\R01-1035")</f>
        <v>\\imagefiles.bcgov\imagery\scanned_maps\moe_terrain_maps\Scanned_T_maps_all\R01\R01-1035</v>
      </c>
      <c r="S2297" t="s">
        <v>62</v>
      </c>
      <c r="T2297" s="11" t="str">
        <f>HYPERLINK("http://www.env.gov.bc.ca/esd/distdata/ecosystems/TEI_Scanned_Maps/R01/R01-1035","http://www.env.gov.bc.ca/esd/distdata/ecosystems/TEI_Scanned_Maps/R01/R01-1035")</f>
        <v>http://www.env.gov.bc.ca/esd/distdata/ecosystems/TEI_Scanned_Maps/R01/R01-1035</v>
      </c>
      <c r="U2297" t="s">
        <v>58</v>
      </c>
      <c r="V2297" t="s">
        <v>58</v>
      </c>
      <c r="W2297" t="s">
        <v>58</v>
      </c>
      <c r="X2297" t="s">
        <v>58</v>
      </c>
      <c r="Y2297" t="s">
        <v>58</v>
      </c>
      <c r="Z2297" t="s">
        <v>58</v>
      </c>
      <c r="AA2297" t="s">
        <v>58</v>
      </c>
      <c r="AC2297" t="s">
        <v>58</v>
      </c>
      <c r="AE2297" t="s">
        <v>58</v>
      </c>
      <c r="AG2297" t="s">
        <v>63</v>
      </c>
      <c r="AH2297" s="11" t="str">
        <f t="shared" si="154"/>
        <v>mailto: soilterrain@victoria1.gov.bc.ca</v>
      </c>
    </row>
    <row r="2298" spans="1:34">
      <c r="A2298" t="s">
        <v>5334</v>
      </c>
      <c r="B2298" t="s">
        <v>56</v>
      </c>
      <c r="C2298" s="10" t="s">
        <v>5335</v>
      </c>
      <c r="D2298" t="s">
        <v>58</v>
      </c>
      <c r="E2298" t="s">
        <v>2952</v>
      </c>
      <c r="F2298" t="s">
        <v>5328</v>
      </c>
      <c r="G2298">
        <v>20000</v>
      </c>
      <c r="H2298">
        <v>1983</v>
      </c>
      <c r="I2298" t="s">
        <v>58</v>
      </c>
      <c r="J2298" t="s">
        <v>58</v>
      </c>
      <c r="K2298" t="s">
        <v>58</v>
      </c>
      <c r="L2298" t="s">
        <v>58</v>
      </c>
      <c r="M2298" t="s">
        <v>58</v>
      </c>
      <c r="P2298" t="s">
        <v>61</v>
      </c>
      <c r="Q2298" t="s">
        <v>58</v>
      </c>
      <c r="R2298" s="11" t="str">
        <f>HYPERLINK("\\imagefiles.bcgov\imagery\scanned_maps\moe_terrain_maps\Scanned_T_maps_all\R01\R01-1043","\\imagefiles.bcgov\imagery\scanned_maps\moe_terrain_maps\Scanned_T_maps_all\R01\R01-1043")</f>
        <v>\\imagefiles.bcgov\imagery\scanned_maps\moe_terrain_maps\Scanned_T_maps_all\R01\R01-1043</v>
      </c>
      <c r="S2298" t="s">
        <v>62</v>
      </c>
      <c r="T2298" s="11" t="str">
        <f>HYPERLINK("http://www.env.gov.bc.ca/esd/distdata/ecosystems/TEI_Scanned_Maps/R01/R01-1043","http://www.env.gov.bc.ca/esd/distdata/ecosystems/TEI_Scanned_Maps/R01/R01-1043")</f>
        <v>http://www.env.gov.bc.ca/esd/distdata/ecosystems/TEI_Scanned_Maps/R01/R01-1043</v>
      </c>
      <c r="U2298" t="s">
        <v>58</v>
      </c>
      <c r="V2298" t="s">
        <v>58</v>
      </c>
      <c r="W2298" t="s">
        <v>58</v>
      </c>
      <c r="X2298" t="s">
        <v>58</v>
      </c>
      <c r="Y2298" t="s">
        <v>58</v>
      </c>
      <c r="Z2298" t="s">
        <v>58</v>
      </c>
      <c r="AA2298" t="s">
        <v>58</v>
      </c>
      <c r="AC2298" t="s">
        <v>58</v>
      </c>
      <c r="AE2298" t="s">
        <v>58</v>
      </c>
      <c r="AG2298" t="s">
        <v>63</v>
      </c>
      <c r="AH2298" s="11" t="str">
        <f t="shared" si="154"/>
        <v>mailto: soilterrain@victoria1.gov.bc.ca</v>
      </c>
    </row>
    <row r="2299" spans="1:34">
      <c r="A2299" t="s">
        <v>5336</v>
      </c>
      <c r="B2299" t="s">
        <v>56</v>
      </c>
      <c r="C2299" s="10" t="s">
        <v>5027</v>
      </c>
      <c r="D2299" t="s">
        <v>58</v>
      </c>
      <c r="E2299" t="s">
        <v>2952</v>
      </c>
      <c r="F2299" t="s">
        <v>5328</v>
      </c>
      <c r="G2299">
        <v>20000</v>
      </c>
      <c r="H2299">
        <v>1980</v>
      </c>
      <c r="I2299" t="s">
        <v>58</v>
      </c>
      <c r="J2299" t="s">
        <v>58</v>
      </c>
      <c r="K2299" t="s">
        <v>58</v>
      </c>
      <c r="L2299" t="s">
        <v>58</v>
      </c>
      <c r="M2299" t="s">
        <v>58</v>
      </c>
      <c r="P2299" t="s">
        <v>61</v>
      </c>
      <c r="Q2299" t="s">
        <v>58</v>
      </c>
      <c r="R2299" s="11" t="str">
        <f>HYPERLINK("\\imagefiles.bcgov\imagery\scanned_maps\moe_terrain_maps\Scanned_T_maps_all\R01\R01-1051","\\imagefiles.bcgov\imagery\scanned_maps\moe_terrain_maps\Scanned_T_maps_all\R01\R01-1051")</f>
        <v>\\imagefiles.bcgov\imagery\scanned_maps\moe_terrain_maps\Scanned_T_maps_all\R01\R01-1051</v>
      </c>
      <c r="S2299" t="s">
        <v>62</v>
      </c>
      <c r="T2299" s="11" t="str">
        <f>HYPERLINK("http://www.env.gov.bc.ca/esd/distdata/ecosystems/TEI_Scanned_Maps/R01/R01-1051","http://www.env.gov.bc.ca/esd/distdata/ecosystems/TEI_Scanned_Maps/R01/R01-1051")</f>
        <v>http://www.env.gov.bc.ca/esd/distdata/ecosystems/TEI_Scanned_Maps/R01/R01-1051</v>
      </c>
      <c r="U2299" t="s">
        <v>58</v>
      </c>
      <c r="V2299" t="s">
        <v>58</v>
      </c>
      <c r="W2299" t="s">
        <v>58</v>
      </c>
      <c r="X2299" t="s">
        <v>58</v>
      </c>
      <c r="Y2299" t="s">
        <v>58</v>
      </c>
      <c r="Z2299" t="s">
        <v>58</v>
      </c>
      <c r="AA2299" t="s">
        <v>58</v>
      </c>
      <c r="AC2299" t="s">
        <v>58</v>
      </c>
      <c r="AE2299" t="s">
        <v>58</v>
      </c>
      <c r="AG2299" t="s">
        <v>63</v>
      </c>
      <c r="AH2299" s="11" t="str">
        <f t="shared" si="154"/>
        <v>mailto: soilterrain@victoria1.gov.bc.ca</v>
      </c>
    </row>
    <row r="2300" spans="1:34">
      <c r="A2300" t="s">
        <v>5337</v>
      </c>
      <c r="B2300" t="s">
        <v>56</v>
      </c>
      <c r="C2300" s="10" t="s">
        <v>5338</v>
      </c>
      <c r="D2300" t="s">
        <v>58</v>
      </c>
      <c r="E2300" t="s">
        <v>2952</v>
      </c>
      <c r="F2300" t="s">
        <v>5328</v>
      </c>
      <c r="G2300">
        <v>20000</v>
      </c>
      <c r="H2300">
        <v>1980</v>
      </c>
      <c r="I2300" t="s">
        <v>58</v>
      </c>
      <c r="J2300" t="s">
        <v>58</v>
      </c>
      <c r="K2300" t="s">
        <v>58</v>
      </c>
      <c r="L2300" t="s">
        <v>58</v>
      </c>
      <c r="M2300" t="s">
        <v>58</v>
      </c>
      <c r="P2300" t="s">
        <v>61</v>
      </c>
      <c r="Q2300" t="s">
        <v>58</v>
      </c>
      <c r="R2300" s="11" t="str">
        <f>HYPERLINK("\\imagefiles.bcgov\imagery\scanned_maps\moe_terrain_maps\Scanned_T_maps_all\R01\R01-1119","\\imagefiles.bcgov\imagery\scanned_maps\moe_terrain_maps\Scanned_T_maps_all\R01\R01-1119")</f>
        <v>\\imagefiles.bcgov\imagery\scanned_maps\moe_terrain_maps\Scanned_T_maps_all\R01\R01-1119</v>
      </c>
      <c r="S2300" t="s">
        <v>62</v>
      </c>
      <c r="T2300" s="11" t="str">
        <f>HYPERLINK("http://www.env.gov.bc.ca/esd/distdata/ecosystems/TEI_Scanned_Maps/R01/R01-1119","http://www.env.gov.bc.ca/esd/distdata/ecosystems/TEI_Scanned_Maps/R01/R01-1119")</f>
        <v>http://www.env.gov.bc.ca/esd/distdata/ecosystems/TEI_Scanned_Maps/R01/R01-1119</v>
      </c>
      <c r="U2300" t="s">
        <v>58</v>
      </c>
      <c r="V2300" t="s">
        <v>58</v>
      </c>
      <c r="W2300" t="s">
        <v>58</v>
      </c>
      <c r="X2300" t="s">
        <v>58</v>
      </c>
      <c r="Y2300" t="s">
        <v>58</v>
      </c>
      <c r="Z2300" t="s">
        <v>58</v>
      </c>
      <c r="AA2300" t="s">
        <v>58</v>
      </c>
      <c r="AC2300" t="s">
        <v>58</v>
      </c>
      <c r="AE2300" t="s">
        <v>58</v>
      </c>
      <c r="AG2300" t="s">
        <v>63</v>
      </c>
      <c r="AH2300" s="11" t="str">
        <f t="shared" si="154"/>
        <v>mailto: soilterrain@victoria1.gov.bc.ca</v>
      </c>
    </row>
    <row r="2301" spans="1:34">
      <c r="A2301" t="s">
        <v>5339</v>
      </c>
      <c r="B2301" t="s">
        <v>56</v>
      </c>
      <c r="C2301" s="10" t="s">
        <v>5340</v>
      </c>
      <c r="D2301" t="s">
        <v>58</v>
      </c>
      <c r="E2301" t="s">
        <v>2952</v>
      </c>
      <c r="F2301" t="s">
        <v>5328</v>
      </c>
      <c r="G2301">
        <v>20000</v>
      </c>
      <c r="H2301">
        <v>1979</v>
      </c>
      <c r="I2301" t="s">
        <v>58</v>
      </c>
      <c r="J2301" t="s">
        <v>58</v>
      </c>
      <c r="K2301" t="s">
        <v>58</v>
      </c>
      <c r="L2301" t="s">
        <v>58</v>
      </c>
      <c r="M2301" t="s">
        <v>58</v>
      </c>
      <c r="P2301" t="s">
        <v>61</v>
      </c>
      <c r="Q2301" t="s">
        <v>58</v>
      </c>
      <c r="R2301" s="11" t="str">
        <f>HYPERLINK("\\imagefiles.bcgov\imagery\scanned_maps\moe_terrain_maps\Scanned_T_maps_all\R01\R01-1127","\\imagefiles.bcgov\imagery\scanned_maps\moe_terrain_maps\Scanned_T_maps_all\R01\R01-1127")</f>
        <v>\\imagefiles.bcgov\imagery\scanned_maps\moe_terrain_maps\Scanned_T_maps_all\R01\R01-1127</v>
      </c>
      <c r="S2301" t="s">
        <v>62</v>
      </c>
      <c r="T2301" s="11" t="str">
        <f>HYPERLINK("http://www.env.gov.bc.ca/esd/distdata/ecosystems/TEI_Scanned_Maps/R01/R01-1127","http://www.env.gov.bc.ca/esd/distdata/ecosystems/TEI_Scanned_Maps/R01/R01-1127")</f>
        <v>http://www.env.gov.bc.ca/esd/distdata/ecosystems/TEI_Scanned_Maps/R01/R01-1127</v>
      </c>
      <c r="U2301" t="s">
        <v>58</v>
      </c>
      <c r="V2301" t="s">
        <v>58</v>
      </c>
      <c r="W2301" t="s">
        <v>58</v>
      </c>
      <c r="X2301" t="s">
        <v>58</v>
      </c>
      <c r="Y2301" t="s">
        <v>58</v>
      </c>
      <c r="Z2301" t="s">
        <v>58</v>
      </c>
      <c r="AA2301" t="s">
        <v>58</v>
      </c>
      <c r="AC2301" t="s">
        <v>58</v>
      </c>
      <c r="AE2301" t="s">
        <v>58</v>
      </c>
      <c r="AG2301" t="s">
        <v>63</v>
      </c>
      <c r="AH2301" s="11" t="str">
        <f t="shared" si="154"/>
        <v>mailto: soilterrain@victoria1.gov.bc.ca</v>
      </c>
    </row>
    <row r="2302" spans="1:34">
      <c r="A2302" t="s">
        <v>5341</v>
      </c>
      <c r="B2302" t="s">
        <v>56</v>
      </c>
      <c r="C2302" s="10" t="s">
        <v>5342</v>
      </c>
      <c r="D2302" t="s">
        <v>58</v>
      </c>
      <c r="E2302" t="s">
        <v>2952</v>
      </c>
      <c r="F2302" t="s">
        <v>5328</v>
      </c>
      <c r="G2302">
        <v>20000</v>
      </c>
      <c r="H2302">
        <v>1978</v>
      </c>
      <c r="I2302" t="s">
        <v>58</v>
      </c>
      <c r="J2302" t="s">
        <v>58</v>
      </c>
      <c r="K2302" t="s">
        <v>58</v>
      </c>
      <c r="L2302" t="s">
        <v>58</v>
      </c>
      <c r="M2302" t="s">
        <v>58</v>
      </c>
      <c r="P2302" t="s">
        <v>61</v>
      </c>
      <c r="Q2302" t="s">
        <v>58</v>
      </c>
      <c r="R2302" s="11" t="str">
        <f>HYPERLINK("\\imagefiles.bcgov\imagery\scanned_maps\moe_terrain_maps\Scanned_T_maps_all\R01\R01-1135","\\imagefiles.bcgov\imagery\scanned_maps\moe_terrain_maps\Scanned_T_maps_all\R01\R01-1135")</f>
        <v>\\imagefiles.bcgov\imagery\scanned_maps\moe_terrain_maps\Scanned_T_maps_all\R01\R01-1135</v>
      </c>
      <c r="S2302" t="s">
        <v>62</v>
      </c>
      <c r="T2302" s="11" t="str">
        <f>HYPERLINK("http://www.env.gov.bc.ca/esd/distdata/ecosystems/TEI_Scanned_Maps/R01/R01-1135","http://www.env.gov.bc.ca/esd/distdata/ecosystems/TEI_Scanned_Maps/R01/R01-1135")</f>
        <v>http://www.env.gov.bc.ca/esd/distdata/ecosystems/TEI_Scanned_Maps/R01/R01-1135</v>
      </c>
      <c r="U2302" t="s">
        <v>58</v>
      </c>
      <c r="V2302" t="s">
        <v>58</v>
      </c>
      <c r="W2302" t="s">
        <v>58</v>
      </c>
      <c r="X2302" t="s">
        <v>58</v>
      </c>
      <c r="Y2302" t="s">
        <v>58</v>
      </c>
      <c r="Z2302" t="s">
        <v>58</v>
      </c>
      <c r="AA2302" t="s">
        <v>58</v>
      </c>
      <c r="AC2302" t="s">
        <v>58</v>
      </c>
      <c r="AE2302" t="s">
        <v>58</v>
      </c>
      <c r="AG2302" t="s">
        <v>63</v>
      </c>
      <c r="AH2302" s="11" t="str">
        <f t="shared" si="154"/>
        <v>mailto: soilterrain@victoria1.gov.bc.ca</v>
      </c>
    </row>
    <row r="2303" spans="1:34">
      <c r="A2303" t="s">
        <v>5343</v>
      </c>
      <c r="B2303" t="s">
        <v>56</v>
      </c>
      <c r="C2303" s="10" t="s">
        <v>5344</v>
      </c>
      <c r="D2303" t="s">
        <v>58</v>
      </c>
      <c r="E2303" t="s">
        <v>2952</v>
      </c>
      <c r="F2303" t="s">
        <v>5328</v>
      </c>
      <c r="G2303">
        <v>20000</v>
      </c>
      <c r="H2303">
        <v>1980</v>
      </c>
      <c r="I2303" t="s">
        <v>58</v>
      </c>
      <c r="J2303" t="s">
        <v>58</v>
      </c>
      <c r="K2303" t="s">
        <v>58</v>
      </c>
      <c r="L2303" t="s">
        <v>58</v>
      </c>
      <c r="M2303" t="s">
        <v>58</v>
      </c>
      <c r="P2303" t="s">
        <v>61</v>
      </c>
      <c r="Q2303" t="s">
        <v>58</v>
      </c>
      <c r="R2303" s="11" t="str">
        <f>HYPERLINK("\\imagefiles.bcgov\imagery\scanned_maps\moe_terrain_maps\Scanned_T_maps_all\R01\R01-1145","\\imagefiles.bcgov\imagery\scanned_maps\moe_terrain_maps\Scanned_T_maps_all\R01\R01-1145")</f>
        <v>\\imagefiles.bcgov\imagery\scanned_maps\moe_terrain_maps\Scanned_T_maps_all\R01\R01-1145</v>
      </c>
      <c r="S2303" t="s">
        <v>62</v>
      </c>
      <c r="T2303" s="11" t="str">
        <f>HYPERLINK("http://www.env.gov.bc.ca/esd/distdata/ecosystems/TEI_Scanned_Maps/R01/R01-1145","http://www.env.gov.bc.ca/esd/distdata/ecosystems/TEI_Scanned_Maps/R01/R01-1145")</f>
        <v>http://www.env.gov.bc.ca/esd/distdata/ecosystems/TEI_Scanned_Maps/R01/R01-1145</v>
      </c>
      <c r="U2303" t="s">
        <v>58</v>
      </c>
      <c r="V2303" t="s">
        <v>58</v>
      </c>
      <c r="W2303" t="s">
        <v>58</v>
      </c>
      <c r="X2303" t="s">
        <v>58</v>
      </c>
      <c r="Y2303" t="s">
        <v>58</v>
      </c>
      <c r="Z2303" t="s">
        <v>58</v>
      </c>
      <c r="AA2303" t="s">
        <v>58</v>
      </c>
      <c r="AC2303" t="s">
        <v>58</v>
      </c>
      <c r="AE2303" t="s">
        <v>58</v>
      </c>
      <c r="AG2303" t="s">
        <v>63</v>
      </c>
      <c r="AH2303" s="11" t="str">
        <f t="shared" si="154"/>
        <v>mailto: soilterrain@victoria1.gov.bc.ca</v>
      </c>
    </row>
    <row r="2304" spans="1:34">
      <c r="A2304" t="s">
        <v>5345</v>
      </c>
      <c r="B2304" t="s">
        <v>56</v>
      </c>
      <c r="C2304" s="10" t="s">
        <v>5346</v>
      </c>
      <c r="D2304" t="s">
        <v>58</v>
      </c>
      <c r="E2304" t="s">
        <v>2952</v>
      </c>
      <c r="F2304" t="s">
        <v>5328</v>
      </c>
      <c r="G2304">
        <v>20000</v>
      </c>
      <c r="H2304">
        <v>1983</v>
      </c>
      <c r="I2304" t="s">
        <v>58</v>
      </c>
      <c r="J2304" t="s">
        <v>58</v>
      </c>
      <c r="K2304" t="s">
        <v>58</v>
      </c>
      <c r="L2304" t="s">
        <v>58</v>
      </c>
      <c r="M2304" t="s">
        <v>58</v>
      </c>
      <c r="P2304" t="s">
        <v>61</v>
      </c>
      <c r="Q2304" t="s">
        <v>58</v>
      </c>
      <c r="R2304" s="11" t="str">
        <f>HYPERLINK("\\imagefiles.bcgov\imagery\scanned_maps\moe_terrain_maps\Scanned_T_maps_all\R01\R01-1154","\\imagefiles.bcgov\imagery\scanned_maps\moe_terrain_maps\Scanned_T_maps_all\R01\R01-1154")</f>
        <v>\\imagefiles.bcgov\imagery\scanned_maps\moe_terrain_maps\Scanned_T_maps_all\R01\R01-1154</v>
      </c>
      <c r="S2304" t="s">
        <v>62</v>
      </c>
      <c r="T2304" s="11" t="str">
        <f>HYPERLINK("http://www.env.gov.bc.ca/esd/distdata/ecosystems/TEI_Scanned_Maps/R01/R01-1154","http://www.env.gov.bc.ca/esd/distdata/ecosystems/TEI_Scanned_Maps/R01/R01-1154")</f>
        <v>http://www.env.gov.bc.ca/esd/distdata/ecosystems/TEI_Scanned_Maps/R01/R01-1154</v>
      </c>
      <c r="U2304" t="s">
        <v>58</v>
      </c>
      <c r="V2304" t="s">
        <v>58</v>
      </c>
      <c r="W2304" t="s">
        <v>58</v>
      </c>
      <c r="X2304" t="s">
        <v>58</v>
      </c>
      <c r="Y2304" t="s">
        <v>58</v>
      </c>
      <c r="Z2304" t="s">
        <v>58</v>
      </c>
      <c r="AA2304" t="s">
        <v>58</v>
      </c>
      <c r="AC2304" t="s">
        <v>58</v>
      </c>
      <c r="AE2304" t="s">
        <v>58</v>
      </c>
      <c r="AG2304" t="s">
        <v>63</v>
      </c>
      <c r="AH2304" s="11" t="str">
        <f t="shared" si="154"/>
        <v>mailto: soilterrain@victoria1.gov.bc.ca</v>
      </c>
    </row>
    <row r="2305" spans="1:34">
      <c r="A2305" t="s">
        <v>5347</v>
      </c>
      <c r="B2305" t="s">
        <v>56</v>
      </c>
      <c r="C2305" s="10" t="s">
        <v>5348</v>
      </c>
      <c r="D2305" t="s">
        <v>58</v>
      </c>
      <c r="E2305" t="s">
        <v>2952</v>
      </c>
      <c r="F2305" t="s">
        <v>5328</v>
      </c>
      <c r="G2305">
        <v>20000</v>
      </c>
      <c r="H2305">
        <v>1976</v>
      </c>
      <c r="I2305" t="s">
        <v>58</v>
      </c>
      <c r="J2305" t="s">
        <v>58</v>
      </c>
      <c r="K2305" t="s">
        <v>58</v>
      </c>
      <c r="L2305" t="s">
        <v>58</v>
      </c>
      <c r="M2305" t="s">
        <v>58</v>
      </c>
      <c r="P2305" t="s">
        <v>61</v>
      </c>
      <c r="Q2305" t="s">
        <v>58</v>
      </c>
      <c r="R2305" s="11" t="str">
        <f>HYPERLINK("\\imagefiles.bcgov\imagery\scanned_maps\moe_terrain_maps\Scanned_T_maps_all\R01\R01-1163","\\imagefiles.bcgov\imagery\scanned_maps\moe_terrain_maps\Scanned_T_maps_all\R01\R01-1163")</f>
        <v>\\imagefiles.bcgov\imagery\scanned_maps\moe_terrain_maps\Scanned_T_maps_all\R01\R01-1163</v>
      </c>
      <c r="S2305" t="s">
        <v>62</v>
      </c>
      <c r="T2305" s="11" t="str">
        <f>HYPERLINK("http://www.env.gov.bc.ca/esd/distdata/ecosystems/TEI_Scanned_Maps/R01/R01-1163","http://www.env.gov.bc.ca/esd/distdata/ecosystems/TEI_Scanned_Maps/R01/R01-1163")</f>
        <v>http://www.env.gov.bc.ca/esd/distdata/ecosystems/TEI_Scanned_Maps/R01/R01-1163</v>
      </c>
      <c r="U2305" t="s">
        <v>58</v>
      </c>
      <c r="V2305" t="s">
        <v>58</v>
      </c>
      <c r="W2305" t="s">
        <v>58</v>
      </c>
      <c r="X2305" t="s">
        <v>58</v>
      </c>
      <c r="Y2305" t="s">
        <v>58</v>
      </c>
      <c r="Z2305" t="s">
        <v>58</v>
      </c>
      <c r="AA2305" t="s">
        <v>58</v>
      </c>
      <c r="AC2305" t="s">
        <v>58</v>
      </c>
      <c r="AE2305" t="s">
        <v>58</v>
      </c>
      <c r="AG2305" t="s">
        <v>63</v>
      </c>
      <c r="AH2305" s="11" t="str">
        <f t="shared" si="154"/>
        <v>mailto: soilterrain@victoria1.gov.bc.ca</v>
      </c>
    </row>
    <row r="2306" spans="1:34">
      <c r="A2306" t="s">
        <v>5349</v>
      </c>
      <c r="B2306" t="s">
        <v>56</v>
      </c>
      <c r="C2306" s="10" t="s">
        <v>5350</v>
      </c>
      <c r="D2306" t="s">
        <v>58</v>
      </c>
      <c r="E2306" t="s">
        <v>2952</v>
      </c>
      <c r="F2306" t="s">
        <v>5328</v>
      </c>
      <c r="G2306">
        <v>20000</v>
      </c>
      <c r="H2306">
        <v>1980</v>
      </c>
      <c r="I2306" t="s">
        <v>58</v>
      </c>
      <c r="J2306" t="s">
        <v>58</v>
      </c>
      <c r="K2306" t="s">
        <v>58</v>
      </c>
      <c r="L2306" t="s">
        <v>58</v>
      </c>
      <c r="M2306" t="s">
        <v>58</v>
      </c>
      <c r="P2306" t="s">
        <v>61</v>
      </c>
      <c r="Q2306" t="s">
        <v>58</v>
      </c>
      <c r="R2306" s="11" t="str">
        <f>HYPERLINK("\\imagefiles.bcgov\imagery\scanned_maps\moe_terrain_maps\Scanned_T_maps_all\R01\R01-1171","\\imagefiles.bcgov\imagery\scanned_maps\moe_terrain_maps\Scanned_T_maps_all\R01\R01-1171")</f>
        <v>\\imagefiles.bcgov\imagery\scanned_maps\moe_terrain_maps\Scanned_T_maps_all\R01\R01-1171</v>
      </c>
      <c r="S2306" t="s">
        <v>62</v>
      </c>
      <c r="T2306" s="11" t="str">
        <f>HYPERLINK("http://www.env.gov.bc.ca/esd/distdata/ecosystems/TEI_Scanned_Maps/R01/R01-1171","http://www.env.gov.bc.ca/esd/distdata/ecosystems/TEI_Scanned_Maps/R01/R01-1171")</f>
        <v>http://www.env.gov.bc.ca/esd/distdata/ecosystems/TEI_Scanned_Maps/R01/R01-1171</v>
      </c>
      <c r="U2306" t="s">
        <v>58</v>
      </c>
      <c r="V2306" t="s">
        <v>58</v>
      </c>
      <c r="W2306" t="s">
        <v>58</v>
      </c>
      <c r="X2306" t="s">
        <v>58</v>
      </c>
      <c r="Y2306" t="s">
        <v>58</v>
      </c>
      <c r="Z2306" t="s">
        <v>58</v>
      </c>
      <c r="AA2306" t="s">
        <v>58</v>
      </c>
      <c r="AC2306" t="s">
        <v>58</v>
      </c>
      <c r="AE2306" t="s">
        <v>58</v>
      </c>
      <c r="AG2306" t="s">
        <v>63</v>
      </c>
      <c r="AH2306" s="11" t="str">
        <f t="shared" ref="AH2306:AH2369" si="155">HYPERLINK("mailto: soilterrain@victoria1.gov.bc.ca","mailto: soilterrain@victoria1.gov.bc.ca")</f>
        <v>mailto: soilterrain@victoria1.gov.bc.ca</v>
      </c>
    </row>
    <row r="2307" spans="1:34">
      <c r="A2307" t="s">
        <v>5351</v>
      </c>
      <c r="B2307" t="s">
        <v>56</v>
      </c>
      <c r="C2307" s="10" t="s">
        <v>5352</v>
      </c>
      <c r="D2307" t="s">
        <v>58</v>
      </c>
      <c r="E2307" t="s">
        <v>2952</v>
      </c>
      <c r="F2307" t="s">
        <v>5328</v>
      </c>
      <c r="G2307">
        <v>20000</v>
      </c>
      <c r="H2307">
        <v>1979</v>
      </c>
      <c r="I2307" t="s">
        <v>58</v>
      </c>
      <c r="J2307" t="s">
        <v>58</v>
      </c>
      <c r="K2307" t="s">
        <v>58</v>
      </c>
      <c r="L2307" t="s">
        <v>58</v>
      </c>
      <c r="M2307" t="s">
        <v>58</v>
      </c>
      <c r="P2307" t="s">
        <v>61</v>
      </c>
      <c r="Q2307" t="s">
        <v>58</v>
      </c>
      <c r="R2307" s="11" t="str">
        <f>HYPERLINK("\\imagefiles.bcgov\imagery\scanned_maps\moe_terrain_maps\Scanned_T_maps_all\R01\R01-1179","\\imagefiles.bcgov\imagery\scanned_maps\moe_terrain_maps\Scanned_T_maps_all\R01\R01-1179")</f>
        <v>\\imagefiles.bcgov\imagery\scanned_maps\moe_terrain_maps\Scanned_T_maps_all\R01\R01-1179</v>
      </c>
      <c r="S2307" t="s">
        <v>62</v>
      </c>
      <c r="T2307" s="11" t="str">
        <f>HYPERLINK("http://www.env.gov.bc.ca/esd/distdata/ecosystems/TEI_Scanned_Maps/R01/R01-1179","http://www.env.gov.bc.ca/esd/distdata/ecosystems/TEI_Scanned_Maps/R01/R01-1179")</f>
        <v>http://www.env.gov.bc.ca/esd/distdata/ecosystems/TEI_Scanned_Maps/R01/R01-1179</v>
      </c>
      <c r="U2307" t="s">
        <v>58</v>
      </c>
      <c r="V2307" t="s">
        <v>58</v>
      </c>
      <c r="W2307" t="s">
        <v>58</v>
      </c>
      <c r="X2307" t="s">
        <v>58</v>
      </c>
      <c r="Y2307" t="s">
        <v>58</v>
      </c>
      <c r="Z2307" t="s">
        <v>58</v>
      </c>
      <c r="AA2307" t="s">
        <v>58</v>
      </c>
      <c r="AC2307" t="s">
        <v>58</v>
      </c>
      <c r="AE2307" t="s">
        <v>58</v>
      </c>
      <c r="AG2307" t="s">
        <v>63</v>
      </c>
      <c r="AH2307" s="11" t="str">
        <f t="shared" si="155"/>
        <v>mailto: soilterrain@victoria1.gov.bc.ca</v>
      </c>
    </row>
    <row r="2308" spans="1:34">
      <c r="A2308" t="s">
        <v>5353</v>
      </c>
      <c r="B2308" t="s">
        <v>56</v>
      </c>
      <c r="C2308" s="10" t="s">
        <v>5354</v>
      </c>
      <c r="D2308" t="s">
        <v>58</v>
      </c>
      <c r="E2308" t="s">
        <v>2952</v>
      </c>
      <c r="F2308" t="s">
        <v>5328</v>
      </c>
      <c r="G2308">
        <v>20000</v>
      </c>
      <c r="H2308">
        <v>1978</v>
      </c>
      <c r="I2308" t="s">
        <v>58</v>
      </c>
      <c r="J2308" t="s">
        <v>58</v>
      </c>
      <c r="K2308" t="s">
        <v>58</v>
      </c>
      <c r="L2308" t="s">
        <v>58</v>
      </c>
      <c r="M2308" t="s">
        <v>58</v>
      </c>
      <c r="P2308" t="s">
        <v>61</v>
      </c>
      <c r="Q2308" t="s">
        <v>58</v>
      </c>
      <c r="R2308" s="11" t="str">
        <f>HYPERLINK("\\imagefiles.bcgov\imagery\scanned_maps\moe_terrain_maps\Scanned_T_maps_all\R01\R01-1187","\\imagefiles.bcgov\imagery\scanned_maps\moe_terrain_maps\Scanned_T_maps_all\R01\R01-1187")</f>
        <v>\\imagefiles.bcgov\imagery\scanned_maps\moe_terrain_maps\Scanned_T_maps_all\R01\R01-1187</v>
      </c>
      <c r="S2308" t="s">
        <v>62</v>
      </c>
      <c r="T2308" s="11" t="str">
        <f>HYPERLINK("http://www.env.gov.bc.ca/esd/distdata/ecosystems/TEI_Scanned_Maps/R01/R01-1187","http://www.env.gov.bc.ca/esd/distdata/ecosystems/TEI_Scanned_Maps/R01/R01-1187")</f>
        <v>http://www.env.gov.bc.ca/esd/distdata/ecosystems/TEI_Scanned_Maps/R01/R01-1187</v>
      </c>
      <c r="U2308" t="s">
        <v>58</v>
      </c>
      <c r="V2308" t="s">
        <v>58</v>
      </c>
      <c r="W2308" t="s">
        <v>58</v>
      </c>
      <c r="X2308" t="s">
        <v>58</v>
      </c>
      <c r="Y2308" t="s">
        <v>58</v>
      </c>
      <c r="Z2308" t="s">
        <v>58</v>
      </c>
      <c r="AA2308" t="s">
        <v>58</v>
      </c>
      <c r="AC2308" t="s">
        <v>58</v>
      </c>
      <c r="AE2308" t="s">
        <v>58</v>
      </c>
      <c r="AG2308" t="s">
        <v>63</v>
      </c>
      <c r="AH2308" s="11" t="str">
        <f t="shared" si="155"/>
        <v>mailto: soilterrain@victoria1.gov.bc.ca</v>
      </c>
    </row>
    <row r="2309" spans="1:34">
      <c r="A2309" t="s">
        <v>5355</v>
      </c>
      <c r="B2309" t="s">
        <v>56</v>
      </c>
      <c r="C2309" s="10" t="s">
        <v>5356</v>
      </c>
      <c r="D2309" t="s">
        <v>58</v>
      </c>
      <c r="E2309" t="s">
        <v>2952</v>
      </c>
      <c r="F2309" t="s">
        <v>5328</v>
      </c>
      <c r="G2309">
        <v>20000</v>
      </c>
      <c r="H2309">
        <v>1982</v>
      </c>
      <c r="I2309" t="s">
        <v>58</v>
      </c>
      <c r="J2309" t="s">
        <v>58</v>
      </c>
      <c r="K2309" t="s">
        <v>58</v>
      </c>
      <c r="L2309" t="s">
        <v>58</v>
      </c>
      <c r="M2309" t="s">
        <v>58</v>
      </c>
      <c r="P2309" t="s">
        <v>61</v>
      </c>
      <c r="Q2309" t="s">
        <v>58</v>
      </c>
      <c r="R2309" s="11" t="str">
        <f>HYPERLINK("\\imagefiles.bcgov\imagery\scanned_maps\moe_terrain_maps\Scanned_T_maps_all\R01\R01-1195","\\imagefiles.bcgov\imagery\scanned_maps\moe_terrain_maps\Scanned_T_maps_all\R01\R01-1195")</f>
        <v>\\imagefiles.bcgov\imagery\scanned_maps\moe_terrain_maps\Scanned_T_maps_all\R01\R01-1195</v>
      </c>
      <c r="S2309" t="s">
        <v>62</v>
      </c>
      <c r="T2309" s="11" t="str">
        <f>HYPERLINK("http://www.env.gov.bc.ca/esd/distdata/ecosystems/TEI_Scanned_Maps/R01/R01-1195","http://www.env.gov.bc.ca/esd/distdata/ecosystems/TEI_Scanned_Maps/R01/R01-1195")</f>
        <v>http://www.env.gov.bc.ca/esd/distdata/ecosystems/TEI_Scanned_Maps/R01/R01-1195</v>
      </c>
      <c r="U2309" t="s">
        <v>58</v>
      </c>
      <c r="V2309" t="s">
        <v>58</v>
      </c>
      <c r="W2309" t="s">
        <v>58</v>
      </c>
      <c r="X2309" t="s">
        <v>58</v>
      </c>
      <c r="Y2309" t="s">
        <v>58</v>
      </c>
      <c r="Z2309" t="s">
        <v>58</v>
      </c>
      <c r="AA2309" t="s">
        <v>58</v>
      </c>
      <c r="AC2309" t="s">
        <v>58</v>
      </c>
      <c r="AE2309" t="s">
        <v>58</v>
      </c>
      <c r="AG2309" t="s">
        <v>63</v>
      </c>
      <c r="AH2309" s="11" t="str">
        <f t="shared" si="155"/>
        <v>mailto: soilterrain@victoria1.gov.bc.ca</v>
      </c>
    </row>
    <row r="2310" spans="1:34">
      <c r="A2310" t="s">
        <v>5357</v>
      </c>
      <c r="B2310" t="s">
        <v>56</v>
      </c>
      <c r="C2310" s="10" t="s">
        <v>5358</v>
      </c>
      <c r="D2310" t="s">
        <v>58</v>
      </c>
      <c r="E2310" t="s">
        <v>2952</v>
      </c>
      <c r="F2310" t="s">
        <v>5328</v>
      </c>
      <c r="G2310">
        <v>20000</v>
      </c>
      <c r="H2310">
        <v>1980</v>
      </c>
      <c r="I2310" t="s">
        <v>58</v>
      </c>
      <c r="J2310" t="s">
        <v>58</v>
      </c>
      <c r="K2310" t="s">
        <v>58</v>
      </c>
      <c r="L2310" t="s">
        <v>58</v>
      </c>
      <c r="M2310" t="s">
        <v>58</v>
      </c>
      <c r="P2310" t="s">
        <v>61</v>
      </c>
      <c r="Q2310" t="s">
        <v>58</v>
      </c>
      <c r="R2310" s="11" t="str">
        <f>HYPERLINK("\\imagefiles.bcgov\imagery\scanned_maps\moe_terrain_maps\Scanned_T_maps_all\R01\R01-1203","\\imagefiles.bcgov\imagery\scanned_maps\moe_terrain_maps\Scanned_T_maps_all\R01\R01-1203")</f>
        <v>\\imagefiles.bcgov\imagery\scanned_maps\moe_terrain_maps\Scanned_T_maps_all\R01\R01-1203</v>
      </c>
      <c r="S2310" t="s">
        <v>62</v>
      </c>
      <c r="T2310" s="11" t="str">
        <f>HYPERLINK("http://www.env.gov.bc.ca/esd/distdata/ecosystems/TEI_Scanned_Maps/R01/R01-1203","http://www.env.gov.bc.ca/esd/distdata/ecosystems/TEI_Scanned_Maps/R01/R01-1203")</f>
        <v>http://www.env.gov.bc.ca/esd/distdata/ecosystems/TEI_Scanned_Maps/R01/R01-1203</v>
      </c>
      <c r="U2310" t="s">
        <v>58</v>
      </c>
      <c r="V2310" t="s">
        <v>58</v>
      </c>
      <c r="W2310" t="s">
        <v>58</v>
      </c>
      <c r="X2310" t="s">
        <v>58</v>
      </c>
      <c r="Y2310" t="s">
        <v>58</v>
      </c>
      <c r="Z2310" t="s">
        <v>58</v>
      </c>
      <c r="AA2310" t="s">
        <v>58</v>
      </c>
      <c r="AC2310" t="s">
        <v>58</v>
      </c>
      <c r="AE2310" t="s">
        <v>58</v>
      </c>
      <c r="AG2310" t="s">
        <v>63</v>
      </c>
      <c r="AH2310" s="11" t="str">
        <f t="shared" si="155"/>
        <v>mailto: soilterrain@victoria1.gov.bc.ca</v>
      </c>
    </row>
    <row r="2311" spans="1:34">
      <c r="A2311" t="s">
        <v>5359</v>
      </c>
      <c r="B2311" t="s">
        <v>56</v>
      </c>
      <c r="C2311" s="10" t="s">
        <v>5360</v>
      </c>
      <c r="D2311" t="s">
        <v>58</v>
      </c>
      <c r="E2311" t="s">
        <v>2952</v>
      </c>
      <c r="F2311" t="s">
        <v>5328</v>
      </c>
      <c r="G2311">
        <v>20000</v>
      </c>
      <c r="H2311">
        <v>1983</v>
      </c>
      <c r="I2311" t="s">
        <v>58</v>
      </c>
      <c r="J2311" t="s">
        <v>58</v>
      </c>
      <c r="K2311" t="s">
        <v>58</v>
      </c>
      <c r="L2311" t="s">
        <v>58</v>
      </c>
      <c r="M2311" t="s">
        <v>58</v>
      </c>
      <c r="P2311" t="s">
        <v>61</v>
      </c>
      <c r="Q2311" t="s">
        <v>58</v>
      </c>
      <c r="R2311" s="11" t="str">
        <f>HYPERLINK("\\imagefiles.bcgov\imagery\scanned_maps\moe_terrain_maps\Scanned_T_maps_all\R01\R01-1211","\\imagefiles.bcgov\imagery\scanned_maps\moe_terrain_maps\Scanned_T_maps_all\R01\R01-1211")</f>
        <v>\\imagefiles.bcgov\imagery\scanned_maps\moe_terrain_maps\Scanned_T_maps_all\R01\R01-1211</v>
      </c>
      <c r="S2311" t="s">
        <v>62</v>
      </c>
      <c r="T2311" s="11" t="str">
        <f>HYPERLINK("http://www.env.gov.bc.ca/esd/distdata/ecosystems/TEI_Scanned_Maps/R01/R01-1211","http://www.env.gov.bc.ca/esd/distdata/ecosystems/TEI_Scanned_Maps/R01/R01-1211")</f>
        <v>http://www.env.gov.bc.ca/esd/distdata/ecosystems/TEI_Scanned_Maps/R01/R01-1211</v>
      </c>
      <c r="U2311" t="s">
        <v>58</v>
      </c>
      <c r="V2311" t="s">
        <v>58</v>
      </c>
      <c r="W2311" t="s">
        <v>58</v>
      </c>
      <c r="X2311" t="s">
        <v>58</v>
      </c>
      <c r="Y2311" t="s">
        <v>58</v>
      </c>
      <c r="Z2311" t="s">
        <v>58</v>
      </c>
      <c r="AA2311" t="s">
        <v>58</v>
      </c>
      <c r="AC2311" t="s">
        <v>58</v>
      </c>
      <c r="AE2311" t="s">
        <v>58</v>
      </c>
      <c r="AG2311" t="s">
        <v>63</v>
      </c>
      <c r="AH2311" s="11" t="str">
        <f t="shared" si="155"/>
        <v>mailto: soilterrain@victoria1.gov.bc.ca</v>
      </c>
    </row>
    <row r="2312" spans="1:34">
      <c r="A2312" t="s">
        <v>5361</v>
      </c>
      <c r="B2312" t="s">
        <v>56</v>
      </c>
      <c r="C2312" s="10" t="s">
        <v>5362</v>
      </c>
      <c r="D2312" t="s">
        <v>58</v>
      </c>
      <c r="E2312" t="s">
        <v>2952</v>
      </c>
      <c r="F2312" t="s">
        <v>5363</v>
      </c>
      <c r="G2312">
        <v>20000</v>
      </c>
      <c r="H2312">
        <v>1980</v>
      </c>
      <c r="I2312" t="s">
        <v>58</v>
      </c>
      <c r="J2312" t="s">
        <v>58</v>
      </c>
      <c r="K2312" t="s">
        <v>58</v>
      </c>
      <c r="L2312" t="s">
        <v>58</v>
      </c>
      <c r="M2312" t="s">
        <v>58</v>
      </c>
      <c r="P2312" t="s">
        <v>61</v>
      </c>
      <c r="Q2312" t="s">
        <v>58</v>
      </c>
      <c r="R2312" s="11" t="str">
        <f>HYPERLINK("\\imagefiles.bcgov\imagery\scanned_maps\moe_terrain_maps\Scanned_T_maps_all\R01\R01-1219","\\imagefiles.bcgov\imagery\scanned_maps\moe_terrain_maps\Scanned_T_maps_all\R01\R01-1219")</f>
        <v>\\imagefiles.bcgov\imagery\scanned_maps\moe_terrain_maps\Scanned_T_maps_all\R01\R01-1219</v>
      </c>
      <c r="S2312" t="s">
        <v>62</v>
      </c>
      <c r="T2312" s="11" t="str">
        <f>HYPERLINK("http://www.env.gov.bc.ca/esd/distdata/ecosystems/TEI_Scanned_Maps/R01/R01-1219","http://www.env.gov.bc.ca/esd/distdata/ecosystems/TEI_Scanned_Maps/R01/R01-1219")</f>
        <v>http://www.env.gov.bc.ca/esd/distdata/ecosystems/TEI_Scanned_Maps/R01/R01-1219</v>
      </c>
      <c r="U2312" t="s">
        <v>58</v>
      </c>
      <c r="V2312" t="s">
        <v>58</v>
      </c>
      <c r="W2312" t="s">
        <v>58</v>
      </c>
      <c r="X2312" t="s">
        <v>58</v>
      </c>
      <c r="Y2312" t="s">
        <v>58</v>
      </c>
      <c r="Z2312" t="s">
        <v>58</v>
      </c>
      <c r="AA2312" t="s">
        <v>58</v>
      </c>
      <c r="AC2312" t="s">
        <v>58</v>
      </c>
      <c r="AE2312" t="s">
        <v>58</v>
      </c>
      <c r="AG2312" t="s">
        <v>63</v>
      </c>
      <c r="AH2312" s="11" t="str">
        <f t="shared" si="155"/>
        <v>mailto: soilterrain@victoria1.gov.bc.ca</v>
      </c>
    </row>
    <row r="2313" spans="1:34">
      <c r="A2313" t="s">
        <v>5364</v>
      </c>
      <c r="B2313" t="s">
        <v>56</v>
      </c>
      <c r="C2313" s="10" t="s">
        <v>5365</v>
      </c>
      <c r="D2313" t="s">
        <v>58</v>
      </c>
      <c r="E2313" t="s">
        <v>2952</v>
      </c>
      <c r="F2313" t="s">
        <v>5328</v>
      </c>
      <c r="G2313">
        <v>20000</v>
      </c>
      <c r="H2313">
        <v>1980</v>
      </c>
      <c r="I2313" t="s">
        <v>58</v>
      </c>
      <c r="J2313" t="s">
        <v>58</v>
      </c>
      <c r="K2313" t="s">
        <v>58</v>
      </c>
      <c r="L2313" t="s">
        <v>58</v>
      </c>
      <c r="M2313" t="s">
        <v>58</v>
      </c>
      <c r="P2313" t="s">
        <v>61</v>
      </c>
      <c r="Q2313" t="s">
        <v>58</v>
      </c>
      <c r="R2313" s="11" t="str">
        <f>HYPERLINK("\\imagefiles.bcgov\imagery\scanned_maps\moe_terrain_maps\Scanned_T_maps_all\R01\R01-1233","\\imagefiles.bcgov\imagery\scanned_maps\moe_terrain_maps\Scanned_T_maps_all\R01\R01-1233")</f>
        <v>\\imagefiles.bcgov\imagery\scanned_maps\moe_terrain_maps\Scanned_T_maps_all\R01\R01-1233</v>
      </c>
      <c r="S2313" t="s">
        <v>62</v>
      </c>
      <c r="T2313" s="11" t="str">
        <f>HYPERLINK("http://www.env.gov.bc.ca/esd/distdata/ecosystems/TEI_Scanned_Maps/R01/R01-1233","http://www.env.gov.bc.ca/esd/distdata/ecosystems/TEI_Scanned_Maps/R01/R01-1233")</f>
        <v>http://www.env.gov.bc.ca/esd/distdata/ecosystems/TEI_Scanned_Maps/R01/R01-1233</v>
      </c>
      <c r="U2313" t="s">
        <v>58</v>
      </c>
      <c r="V2313" t="s">
        <v>58</v>
      </c>
      <c r="W2313" t="s">
        <v>58</v>
      </c>
      <c r="X2313" t="s">
        <v>58</v>
      </c>
      <c r="Y2313" t="s">
        <v>58</v>
      </c>
      <c r="Z2313" t="s">
        <v>58</v>
      </c>
      <c r="AA2313" t="s">
        <v>58</v>
      </c>
      <c r="AC2313" t="s">
        <v>58</v>
      </c>
      <c r="AE2313" t="s">
        <v>58</v>
      </c>
      <c r="AG2313" t="s">
        <v>63</v>
      </c>
      <c r="AH2313" s="11" t="str">
        <f t="shared" si="155"/>
        <v>mailto: soilterrain@victoria1.gov.bc.ca</v>
      </c>
    </row>
    <row r="2314" spans="1:34">
      <c r="A2314" t="s">
        <v>5366</v>
      </c>
      <c r="B2314" t="s">
        <v>56</v>
      </c>
      <c r="C2314" s="10" t="s">
        <v>5367</v>
      </c>
      <c r="D2314" t="s">
        <v>58</v>
      </c>
      <c r="E2314" t="s">
        <v>2952</v>
      </c>
      <c r="F2314" t="s">
        <v>5328</v>
      </c>
      <c r="G2314">
        <v>20000</v>
      </c>
      <c r="H2314">
        <v>1979</v>
      </c>
      <c r="I2314" t="s">
        <v>58</v>
      </c>
      <c r="J2314" t="s">
        <v>58</v>
      </c>
      <c r="K2314" t="s">
        <v>58</v>
      </c>
      <c r="L2314" t="s">
        <v>58</v>
      </c>
      <c r="M2314" t="s">
        <v>58</v>
      </c>
      <c r="P2314" t="s">
        <v>61</v>
      </c>
      <c r="Q2314" t="s">
        <v>58</v>
      </c>
      <c r="R2314" s="11" t="str">
        <f>HYPERLINK("\\imagefiles.bcgov\imagery\scanned_maps\moe_terrain_maps\Scanned_T_maps_all\R01\R01-1241","\\imagefiles.bcgov\imagery\scanned_maps\moe_terrain_maps\Scanned_T_maps_all\R01\R01-1241")</f>
        <v>\\imagefiles.bcgov\imagery\scanned_maps\moe_terrain_maps\Scanned_T_maps_all\R01\R01-1241</v>
      </c>
      <c r="S2314" t="s">
        <v>62</v>
      </c>
      <c r="T2314" s="11" t="str">
        <f>HYPERLINK("http://www.env.gov.bc.ca/esd/distdata/ecosystems/TEI_Scanned_Maps/R01/R01-1241","http://www.env.gov.bc.ca/esd/distdata/ecosystems/TEI_Scanned_Maps/R01/R01-1241")</f>
        <v>http://www.env.gov.bc.ca/esd/distdata/ecosystems/TEI_Scanned_Maps/R01/R01-1241</v>
      </c>
      <c r="U2314" t="s">
        <v>58</v>
      </c>
      <c r="V2314" t="s">
        <v>58</v>
      </c>
      <c r="W2314" t="s">
        <v>58</v>
      </c>
      <c r="X2314" t="s">
        <v>58</v>
      </c>
      <c r="Y2314" t="s">
        <v>58</v>
      </c>
      <c r="Z2314" t="s">
        <v>58</v>
      </c>
      <c r="AA2314" t="s">
        <v>58</v>
      </c>
      <c r="AC2314" t="s">
        <v>58</v>
      </c>
      <c r="AE2314" t="s">
        <v>58</v>
      </c>
      <c r="AG2314" t="s">
        <v>63</v>
      </c>
      <c r="AH2314" s="11" t="str">
        <f t="shared" si="155"/>
        <v>mailto: soilterrain@victoria1.gov.bc.ca</v>
      </c>
    </row>
    <row r="2315" spans="1:34">
      <c r="A2315" t="s">
        <v>5368</v>
      </c>
      <c r="B2315" t="s">
        <v>56</v>
      </c>
      <c r="C2315" s="10" t="s">
        <v>5369</v>
      </c>
      <c r="D2315" t="s">
        <v>58</v>
      </c>
      <c r="E2315" t="s">
        <v>2952</v>
      </c>
      <c r="F2315" t="s">
        <v>5370</v>
      </c>
      <c r="G2315">
        <v>20000</v>
      </c>
      <c r="H2315">
        <v>1978</v>
      </c>
      <c r="I2315" t="s">
        <v>58</v>
      </c>
      <c r="J2315" t="s">
        <v>58</v>
      </c>
      <c r="K2315" t="s">
        <v>58</v>
      </c>
      <c r="L2315" t="s">
        <v>58</v>
      </c>
      <c r="M2315" t="s">
        <v>58</v>
      </c>
      <c r="P2315" t="s">
        <v>61</v>
      </c>
      <c r="Q2315" t="s">
        <v>58</v>
      </c>
      <c r="R2315" s="11" t="str">
        <f>HYPERLINK("\\imagefiles.bcgov\imagery\scanned_maps\moe_terrain_maps\Scanned_T_maps_all\R01\R01-1249","\\imagefiles.bcgov\imagery\scanned_maps\moe_terrain_maps\Scanned_T_maps_all\R01\R01-1249")</f>
        <v>\\imagefiles.bcgov\imagery\scanned_maps\moe_terrain_maps\Scanned_T_maps_all\R01\R01-1249</v>
      </c>
      <c r="S2315" t="s">
        <v>62</v>
      </c>
      <c r="T2315" s="11" t="str">
        <f>HYPERLINK("http://www.env.gov.bc.ca/esd/distdata/ecosystems/TEI_Scanned_Maps/R01/R01-1249","http://www.env.gov.bc.ca/esd/distdata/ecosystems/TEI_Scanned_Maps/R01/R01-1249")</f>
        <v>http://www.env.gov.bc.ca/esd/distdata/ecosystems/TEI_Scanned_Maps/R01/R01-1249</v>
      </c>
      <c r="U2315" t="s">
        <v>58</v>
      </c>
      <c r="V2315" t="s">
        <v>58</v>
      </c>
      <c r="W2315" t="s">
        <v>58</v>
      </c>
      <c r="X2315" t="s">
        <v>58</v>
      </c>
      <c r="Y2315" t="s">
        <v>58</v>
      </c>
      <c r="Z2315" t="s">
        <v>58</v>
      </c>
      <c r="AA2315" t="s">
        <v>58</v>
      </c>
      <c r="AC2315" t="s">
        <v>58</v>
      </c>
      <c r="AE2315" t="s">
        <v>58</v>
      </c>
      <c r="AG2315" t="s">
        <v>63</v>
      </c>
      <c r="AH2315" s="11" t="str">
        <f t="shared" si="155"/>
        <v>mailto: soilterrain@victoria1.gov.bc.ca</v>
      </c>
    </row>
    <row r="2316" spans="1:34">
      <c r="A2316" t="s">
        <v>5371</v>
      </c>
      <c r="B2316" t="s">
        <v>56</v>
      </c>
      <c r="C2316" s="10" t="s">
        <v>5372</v>
      </c>
      <c r="D2316" t="s">
        <v>58</v>
      </c>
      <c r="E2316" t="s">
        <v>2952</v>
      </c>
      <c r="F2316" t="s">
        <v>5328</v>
      </c>
      <c r="G2316">
        <v>20000</v>
      </c>
      <c r="H2316">
        <v>1980</v>
      </c>
      <c r="I2316" t="s">
        <v>58</v>
      </c>
      <c r="J2316" t="s">
        <v>58</v>
      </c>
      <c r="K2316" t="s">
        <v>58</v>
      </c>
      <c r="L2316" t="s">
        <v>58</v>
      </c>
      <c r="M2316" t="s">
        <v>58</v>
      </c>
      <c r="P2316" t="s">
        <v>61</v>
      </c>
      <c r="Q2316" t="s">
        <v>58</v>
      </c>
      <c r="R2316" s="11" t="str">
        <f>HYPERLINK("\\imagefiles.bcgov\imagery\scanned_maps\moe_terrain_maps\Scanned_T_maps_all\R01\R01-1257","\\imagefiles.bcgov\imagery\scanned_maps\moe_terrain_maps\Scanned_T_maps_all\R01\R01-1257")</f>
        <v>\\imagefiles.bcgov\imagery\scanned_maps\moe_terrain_maps\Scanned_T_maps_all\R01\R01-1257</v>
      </c>
      <c r="S2316" t="s">
        <v>62</v>
      </c>
      <c r="T2316" s="11" t="str">
        <f>HYPERLINK("http://www.env.gov.bc.ca/esd/distdata/ecosystems/TEI_Scanned_Maps/R01/R01-1257","http://www.env.gov.bc.ca/esd/distdata/ecosystems/TEI_Scanned_Maps/R01/R01-1257")</f>
        <v>http://www.env.gov.bc.ca/esd/distdata/ecosystems/TEI_Scanned_Maps/R01/R01-1257</v>
      </c>
      <c r="U2316" t="s">
        <v>58</v>
      </c>
      <c r="V2316" t="s">
        <v>58</v>
      </c>
      <c r="W2316" t="s">
        <v>58</v>
      </c>
      <c r="X2316" t="s">
        <v>58</v>
      </c>
      <c r="Y2316" t="s">
        <v>58</v>
      </c>
      <c r="Z2316" t="s">
        <v>58</v>
      </c>
      <c r="AA2316" t="s">
        <v>58</v>
      </c>
      <c r="AC2316" t="s">
        <v>58</v>
      </c>
      <c r="AE2316" t="s">
        <v>58</v>
      </c>
      <c r="AG2316" t="s">
        <v>63</v>
      </c>
      <c r="AH2316" s="11" t="str">
        <f t="shared" si="155"/>
        <v>mailto: soilterrain@victoria1.gov.bc.ca</v>
      </c>
    </row>
    <row r="2317" spans="1:34">
      <c r="A2317" t="s">
        <v>5373</v>
      </c>
      <c r="B2317" t="s">
        <v>56</v>
      </c>
      <c r="C2317" s="10" t="s">
        <v>5033</v>
      </c>
      <c r="D2317" t="s">
        <v>58</v>
      </c>
      <c r="E2317" t="s">
        <v>2952</v>
      </c>
      <c r="F2317" t="s">
        <v>5363</v>
      </c>
      <c r="G2317">
        <v>20000</v>
      </c>
      <c r="H2317">
        <v>1978</v>
      </c>
      <c r="I2317" t="s">
        <v>58</v>
      </c>
      <c r="J2317" t="s">
        <v>58</v>
      </c>
      <c r="K2317" t="s">
        <v>58</v>
      </c>
      <c r="L2317" t="s">
        <v>58</v>
      </c>
      <c r="M2317" t="s">
        <v>58</v>
      </c>
      <c r="P2317" t="s">
        <v>61</v>
      </c>
      <c r="Q2317" t="s">
        <v>58</v>
      </c>
      <c r="R2317" s="11" t="str">
        <f>HYPERLINK("\\imagefiles.bcgov\imagery\scanned_maps\moe_terrain_maps\Scanned_T_maps_all\R01\R01-1265","\\imagefiles.bcgov\imagery\scanned_maps\moe_terrain_maps\Scanned_T_maps_all\R01\R01-1265")</f>
        <v>\\imagefiles.bcgov\imagery\scanned_maps\moe_terrain_maps\Scanned_T_maps_all\R01\R01-1265</v>
      </c>
      <c r="S2317" t="s">
        <v>62</v>
      </c>
      <c r="T2317" s="11" t="str">
        <f>HYPERLINK("http://www.env.gov.bc.ca/esd/distdata/ecosystems/TEI_Scanned_Maps/R01/R01-1265","http://www.env.gov.bc.ca/esd/distdata/ecosystems/TEI_Scanned_Maps/R01/R01-1265")</f>
        <v>http://www.env.gov.bc.ca/esd/distdata/ecosystems/TEI_Scanned_Maps/R01/R01-1265</v>
      </c>
      <c r="U2317" t="s">
        <v>58</v>
      </c>
      <c r="V2317" t="s">
        <v>58</v>
      </c>
      <c r="W2317" t="s">
        <v>58</v>
      </c>
      <c r="X2317" t="s">
        <v>58</v>
      </c>
      <c r="Y2317" t="s">
        <v>58</v>
      </c>
      <c r="Z2317" t="s">
        <v>58</v>
      </c>
      <c r="AA2317" t="s">
        <v>58</v>
      </c>
      <c r="AC2317" t="s">
        <v>58</v>
      </c>
      <c r="AE2317" t="s">
        <v>58</v>
      </c>
      <c r="AG2317" t="s">
        <v>63</v>
      </c>
      <c r="AH2317" s="11" t="str">
        <f t="shared" si="155"/>
        <v>mailto: soilterrain@victoria1.gov.bc.ca</v>
      </c>
    </row>
    <row r="2318" spans="1:34">
      <c r="A2318" t="s">
        <v>5374</v>
      </c>
      <c r="B2318" t="s">
        <v>56</v>
      </c>
      <c r="C2318" s="10" t="s">
        <v>5375</v>
      </c>
      <c r="D2318" t="s">
        <v>58</v>
      </c>
      <c r="E2318" t="s">
        <v>2952</v>
      </c>
      <c r="F2318" t="s">
        <v>5328</v>
      </c>
      <c r="G2318">
        <v>20000</v>
      </c>
      <c r="H2318">
        <v>1973</v>
      </c>
      <c r="I2318" t="s">
        <v>58</v>
      </c>
      <c r="J2318" t="s">
        <v>58</v>
      </c>
      <c r="K2318" t="s">
        <v>58</v>
      </c>
      <c r="L2318" t="s">
        <v>58</v>
      </c>
      <c r="M2318" t="s">
        <v>58</v>
      </c>
      <c r="P2318" t="s">
        <v>61</v>
      </c>
      <c r="Q2318" t="s">
        <v>58</v>
      </c>
      <c r="R2318" s="11" t="str">
        <f>HYPERLINK("\\imagefiles.bcgov\imagery\scanned_maps\moe_terrain_maps\Scanned_T_maps_all\R01\R01-1273","\\imagefiles.bcgov\imagery\scanned_maps\moe_terrain_maps\Scanned_T_maps_all\R01\R01-1273")</f>
        <v>\\imagefiles.bcgov\imagery\scanned_maps\moe_terrain_maps\Scanned_T_maps_all\R01\R01-1273</v>
      </c>
      <c r="S2318" t="s">
        <v>62</v>
      </c>
      <c r="T2318" s="11" t="str">
        <f>HYPERLINK("http://www.env.gov.bc.ca/esd/distdata/ecosystems/TEI_Scanned_Maps/R01/R01-1273","http://www.env.gov.bc.ca/esd/distdata/ecosystems/TEI_Scanned_Maps/R01/R01-1273")</f>
        <v>http://www.env.gov.bc.ca/esd/distdata/ecosystems/TEI_Scanned_Maps/R01/R01-1273</v>
      </c>
      <c r="U2318" t="s">
        <v>58</v>
      </c>
      <c r="V2318" t="s">
        <v>58</v>
      </c>
      <c r="W2318" t="s">
        <v>58</v>
      </c>
      <c r="X2318" t="s">
        <v>58</v>
      </c>
      <c r="Y2318" t="s">
        <v>58</v>
      </c>
      <c r="Z2318" t="s">
        <v>58</v>
      </c>
      <c r="AA2318" t="s">
        <v>58</v>
      </c>
      <c r="AC2318" t="s">
        <v>58</v>
      </c>
      <c r="AE2318" t="s">
        <v>58</v>
      </c>
      <c r="AG2318" t="s">
        <v>63</v>
      </c>
      <c r="AH2318" s="11" t="str">
        <f t="shared" si="155"/>
        <v>mailto: soilterrain@victoria1.gov.bc.ca</v>
      </c>
    </row>
    <row r="2319" spans="1:34">
      <c r="A2319" t="s">
        <v>5376</v>
      </c>
      <c r="B2319" t="s">
        <v>56</v>
      </c>
      <c r="C2319" s="10" t="s">
        <v>5096</v>
      </c>
      <c r="D2319" t="s">
        <v>58</v>
      </c>
      <c r="E2319" t="s">
        <v>2952</v>
      </c>
      <c r="F2319" t="s">
        <v>5363</v>
      </c>
      <c r="G2319">
        <v>20000</v>
      </c>
      <c r="H2319">
        <v>1973</v>
      </c>
      <c r="I2319" t="s">
        <v>58</v>
      </c>
      <c r="J2319" t="s">
        <v>58</v>
      </c>
      <c r="K2319" t="s">
        <v>58</v>
      </c>
      <c r="L2319" t="s">
        <v>58</v>
      </c>
      <c r="M2319" t="s">
        <v>58</v>
      </c>
      <c r="P2319" t="s">
        <v>61</v>
      </c>
      <c r="Q2319" t="s">
        <v>58</v>
      </c>
      <c r="R2319" s="11" t="str">
        <f>HYPERLINK("\\imagefiles.bcgov\imagery\scanned_maps\moe_terrain_maps\Scanned_T_maps_all\R01\R01-1281","\\imagefiles.bcgov\imagery\scanned_maps\moe_terrain_maps\Scanned_T_maps_all\R01\R01-1281")</f>
        <v>\\imagefiles.bcgov\imagery\scanned_maps\moe_terrain_maps\Scanned_T_maps_all\R01\R01-1281</v>
      </c>
      <c r="S2319" t="s">
        <v>62</v>
      </c>
      <c r="T2319" s="11" t="str">
        <f>HYPERLINK("http://www.env.gov.bc.ca/esd/distdata/ecosystems/TEI_Scanned_Maps/R01/R01-1281","http://www.env.gov.bc.ca/esd/distdata/ecosystems/TEI_Scanned_Maps/R01/R01-1281")</f>
        <v>http://www.env.gov.bc.ca/esd/distdata/ecosystems/TEI_Scanned_Maps/R01/R01-1281</v>
      </c>
      <c r="U2319" t="s">
        <v>58</v>
      </c>
      <c r="V2319" t="s">
        <v>58</v>
      </c>
      <c r="W2319" t="s">
        <v>58</v>
      </c>
      <c r="X2319" t="s">
        <v>58</v>
      </c>
      <c r="Y2319" t="s">
        <v>58</v>
      </c>
      <c r="Z2319" t="s">
        <v>58</v>
      </c>
      <c r="AA2319" t="s">
        <v>58</v>
      </c>
      <c r="AC2319" t="s">
        <v>58</v>
      </c>
      <c r="AE2319" t="s">
        <v>58</v>
      </c>
      <c r="AG2319" t="s">
        <v>63</v>
      </c>
      <c r="AH2319" s="11" t="str">
        <f t="shared" si="155"/>
        <v>mailto: soilterrain@victoria1.gov.bc.ca</v>
      </c>
    </row>
    <row r="2320" spans="1:34">
      <c r="A2320" t="s">
        <v>5377</v>
      </c>
      <c r="B2320" t="s">
        <v>56</v>
      </c>
      <c r="C2320" s="10" t="s">
        <v>5378</v>
      </c>
      <c r="D2320" t="s">
        <v>58</v>
      </c>
      <c r="E2320" t="s">
        <v>2952</v>
      </c>
      <c r="F2320" t="s">
        <v>5328</v>
      </c>
      <c r="G2320">
        <v>20000</v>
      </c>
      <c r="H2320">
        <v>1973</v>
      </c>
      <c r="I2320" t="s">
        <v>58</v>
      </c>
      <c r="J2320" t="s">
        <v>58</v>
      </c>
      <c r="K2320" t="s">
        <v>58</v>
      </c>
      <c r="L2320" t="s">
        <v>58</v>
      </c>
      <c r="M2320" t="s">
        <v>58</v>
      </c>
      <c r="P2320" t="s">
        <v>61</v>
      </c>
      <c r="Q2320" t="s">
        <v>58</v>
      </c>
      <c r="R2320" s="11" t="str">
        <f>HYPERLINK("\\imagefiles.bcgov\imagery\scanned_maps\moe_terrain_maps\Scanned_T_maps_all\R01\R01-1289","\\imagefiles.bcgov\imagery\scanned_maps\moe_terrain_maps\Scanned_T_maps_all\R01\R01-1289")</f>
        <v>\\imagefiles.bcgov\imagery\scanned_maps\moe_terrain_maps\Scanned_T_maps_all\R01\R01-1289</v>
      </c>
      <c r="S2320" t="s">
        <v>62</v>
      </c>
      <c r="T2320" s="11" t="str">
        <f>HYPERLINK("http://www.env.gov.bc.ca/esd/distdata/ecosystems/TEI_Scanned_Maps/R01/R01-1289","http://www.env.gov.bc.ca/esd/distdata/ecosystems/TEI_Scanned_Maps/R01/R01-1289")</f>
        <v>http://www.env.gov.bc.ca/esd/distdata/ecosystems/TEI_Scanned_Maps/R01/R01-1289</v>
      </c>
      <c r="U2320" t="s">
        <v>58</v>
      </c>
      <c r="V2320" t="s">
        <v>58</v>
      </c>
      <c r="W2320" t="s">
        <v>58</v>
      </c>
      <c r="X2320" t="s">
        <v>58</v>
      </c>
      <c r="Y2320" t="s">
        <v>58</v>
      </c>
      <c r="Z2320" t="s">
        <v>58</v>
      </c>
      <c r="AA2320" t="s">
        <v>58</v>
      </c>
      <c r="AC2320" t="s">
        <v>58</v>
      </c>
      <c r="AE2320" t="s">
        <v>58</v>
      </c>
      <c r="AG2320" t="s">
        <v>63</v>
      </c>
      <c r="AH2320" s="11" t="str">
        <f t="shared" si="155"/>
        <v>mailto: soilterrain@victoria1.gov.bc.ca</v>
      </c>
    </row>
    <row r="2321" spans="1:34">
      <c r="A2321" t="s">
        <v>5379</v>
      </c>
      <c r="B2321" t="s">
        <v>56</v>
      </c>
      <c r="C2321" s="10" t="s">
        <v>5143</v>
      </c>
      <c r="D2321" t="s">
        <v>58</v>
      </c>
      <c r="E2321" t="s">
        <v>2952</v>
      </c>
      <c r="F2321" t="s">
        <v>5328</v>
      </c>
      <c r="G2321">
        <v>20000</v>
      </c>
      <c r="H2321">
        <v>1973</v>
      </c>
      <c r="I2321" t="s">
        <v>58</v>
      </c>
      <c r="J2321" t="s">
        <v>58</v>
      </c>
      <c r="K2321" t="s">
        <v>58</v>
      </c>
      <c r="L2321" t="s">
        <v>58</v>
      </c>
      <c r="M2321" t="s">
        <v>58</v>
      </c>
      <c r="P2321" t="s">
        <v>61</v>
      </c>
      <c r="Q2321" t="s">
        <v>58</v>
      </c>
      <c r="R2321" s="11" t="str">
        <f>HYPERLINK("\\imagefiles.bcgov\imagery\scanned_maps\moe_terrain_maps\Scanned_T_maps_all\R01\R01-1297","\\imagefiles.bcgov\imagery\scanned_maps\moe_terrain_maps\Scanned_T_maps_all\R01\R01-1297")</f>
        <v>\\imagefiles.bcgov\imagery\scanned_maps\moe_terrain_maps\Scanned_T_maps_all\R01\R01-1297</v>
      </c>
      <c r="S2321" t="s">
        <v>62</v>
      </c>
      <c r="T2321" s="11" t="str">
        <f>HYPERLINK("http://www.env.gov.bc.ca/esd/distdata/ecosystems/TEI_Scanned_Maps/R01/R01-1297","http://www.env.gov.bc.ca/esd/distdata/ecosystems/TEI_Scanned_Maps/R01/R01-1297")</f>
        <v>http://www.env.gov.bc.ca/esd/distdata/ecosystems/TEI_Scanned_Maps/R01/R01-1297</v>
      </c>
      <c r="U2321" t="s">
        <v>58</v>
      </c>
      <c r="V2321" t="s">
        <v>58</v>
      </c>
      <c r="W2321" t="s">
        <v>58</v>
      </c>
      <c r="X2321" t="s">
        <v>58</v>
      </c>
      <c r="Y2321" t="s">
        <v>58</v>
      </c>
      <c r="Z2321" t="s">
        <v>58</v>
      </c>
      <c r="AA2321" t="s">
        <v>58</v>
      </c>
      <c r="AC2321" t="s">
        <v>58</v>
      </c>
      <c r="AE2321" t="s">
        <v>58</v>
      </c>
      <c r="AG2321" t="s">
        <v>63</v>
      </c>
      <c r="AH2321" s="11" t="str">
        <f t="shared" si="155"/>
        <v>mailto: soilterrain@victoria1.gov.bc.ca</v>
      </c>
    </row>
    <row r="2322" spans="1:34">
      <c r="A2322" t="s">
        <v>5380</v>
      </c>
      <c r="B2322" t="s">
        <v>56</v>
      </c>
      <c r="C2322" s="10" t="s">
        <v>5381</v>
      </c>
      <c r="D2322" t="s">
        <v>58</v>
      </c>
      <c r="E2322" t="s">
        <v>2952</v>
      </c>
      <c r="F2322" t="s">
        <v>5328</v>
      </c>
      <c r="G2322">
        <v>20000</v>
      </c>
      <c r="H2322">
        <v>1973</v>
      </c>
      <c r="I2322" t="s">
        <v>58</v>
      </c>
      <c r="J2322" t="s">
        <v>58</v>
      </c>
      <c r="K2322" t="s">
        <v>58</v>
      </c>
      <c r="L2322" t="s">
        <v>58</v>
      </c>
      <c r="M2322" t="s">
        <v>58</v>
      </c>
      <c r="P2322" t="s">
        <v>61</v>
      </c>
      <c r="Q2322" t="s">
        <v>58</v>
      </c>
      <c r="R2322" s="11" t="str">
        <f>HYPERLINK("\\imagefiles.bcgov\imagery\scanned_maps\moe_terrain_maps\Scanned_T_maps_all\R01\R01-1446","\\imagefiles.bcgov\imagery\scanned_maps\moe_terrain_maps\Scanned_T_maps_all\R01\R01-1446")</f>
        <v>\\imagefiles.bcgov\imagery\scanned_maps\moe_terrain_maps\Scanned_T_maps_all\R01\R01-1446</v>
      </c>
      <c r="S2322" t="s">
        <v>62</v>
      </c>
      <c r="T2322" s="11" t="str">
        <f>HYPERLINK("http://www.env.gov.bc.ca/esd/distdata/ecosystems/TEI_Scanned_Maps/R01/R01-1446","http://www.env.gov.bc.ca/esd/distdata/ecosystems/TEI_Scanned_Maps/R01/R01-1446")</f>
        <v>http://www.env.gov.bc.ca/esd/distdata/ecosystems/TEI_Scanned_Maps/R01/R01-1446</v>
      </c>
      <c r="U2322" t="s">
        <v>58</v>
      </c>
      <c r="V2322" t="s">
        <v>58</v>
      </c>
      <c r="W2322" t="s">
        <v>58</v>
      </c>
      <c r="X2322" t="s">
        <v>58</v>
      </c>
      <c r="Y2322" t="s">
        <v>58</v>
      </c>
      <c r="Z2322" t="s">
        <v>58</v>
      </c>
      <c r="AA2322" t="s">
        <v>58</v>
      </c>
      <c r="AC2322" t="s">
        <v>58</v>
      </c>
      <c r="AE2322" t="s">
        <v>58</v>
      </c>
      <c r="AG2322" t="s">
        <v>63</v>
      </c>
      <c r="AH2322" s="11" t="str">
        <f t="shared" si="155"/>
        <v>mailto: soilterrain@victoria1.gov.bc.ca</v>
      </c>
    </row>
    <row r="2323" spans="1:34">
      <c r="A2323" t="s">
        <v>5382</v>
      </c>
      <c r="B2323" t="s">
        <v>56</v>
      </c>
      <c r="C2323" s="10" t="s">
        <v>5030</v>
      </c>
      <c r="D2323" t="s">
        <v>58</v>
      </c>
      <c r="E2323" t="s">
        <v>2952</v>
      </c>
      <c r="F2323" t="s">
        <v>5328</v>
      </c>
      <c r="G2323">
        <v>20000</v>
      </c>
      <c r="H2323">
        <v>1973</v>
      </c>
      <c r="I2323" t="s">
        <v>58</v>
      </c>
      <c r="J2323" t="s">
        <v>58</v>
      </c>
      <c r="K2323" t="s">
        <v>58</v>
      </c>
      <c r="L2323" t="s">
        <v>58</v>
      </c>
      <c r="M2323" t="s">
        <v>58</v>
      </c>
      <c r="P2323" t="s">
        <v>61</v>
      </c>
      <c r="Q2323" t="s">
        <v>58</v>
      </c>
      <c r="R2323" s="11" t="str">
        <f>HYPERLINK("\\imagefiles.bcgov\imagery\scanned_maps\moe_terrain_maps\Scanned_T_maps_all\R01\R01-1454","\\imagefiles.bcgov\imagery\scanned_maps\moe_terrain_maps\Scanned_T_maps_all\R01\R01-1454")</f>
        <v>\\imagefiles.bcgov\imagery\scanned_maps\moe_terrain_maps\Scanned_T_maps_all\R01\R01-1454</v>
      </c>
      <c r="S2323" t="s">
        <v>62</v>
      </c>
      <c r="T2323" s="11" t="str">
        <f>HYPERLINK("http://www.env.gov.bc.ca/esd/distdata/ecosystems/TEI_Scanned_Maps/R01/R01-1454","http://www.env.gov.bc.ca/esd/distdata/ecosystems/TEI_Scanned_Maps/R01/R01-1454")</f>
        <v>http://www.env.gov.bc.ca/esd/distdata/ecosystems/TEI_Scanned_Maps/R01/R01-1454</v>
      </c>
      <c r="U2323" t="s">
        <v>58</v>
      </c>
      <c r="V2323" t="s">
        <v>58</v>
      </c>
      <c r="W2323" t="s">
        <v>58</v>
      </c>
      <c r="X2323" t="s">
        <v>58</v>
      </c>
      <c r="Y2323" t="s">
        <v>58</v>
      </c>
      <c r="Z2323" t="s">
        <v>58</v>
      </c>
      <c r="AA2323" t="s">
        <v>58</v>
      </c>
      <c r="AC2323" t="s">
        <v>58</v>
      </c>
      <c r="AE2323" t="s">
        <v>58</v>
      </c>
      <c r="AG2323" t="s">
        <v>63</v>
      </c>
      <c r="AH2323" s="11" t="str">
        <f t="shared" si="155"/>
        <v>mailto: soilterrain@victoria1.gov.bc.ca</v>
      </c>
    </row>
    <row r="2324" spans="1:34">
      <c r="A2324" t="s">
        <v>5383</v>
      </c>
      <c r="B2324" t="s">
        <v>56</v>
      </c>
      <c r="C2324" s="10" t="s">
        <v>5022</v>
      </c>
      <c r="D2324" t="s">
        <v>58</v>
      </c>
      <c r="E2324" t="s">
        <v>2952</v>
      </c>
      <c r="F2324" t="s">
        <v>5328</v>
      </c>
      <c r="G2324">
        <v>20000</v>
      </c>
      <c r="H2324">
        <v>1973</v>
      </c>
      <c r="I2324" t="s">
        <v>58</v>
      </c>
      <c r="J2324" t="s">
        <v>58</v>
      </c>
      <c r="K2324" t="s">
        <v>58</v>
      </c>
      <c r="L2324" t="s">
        <v>58</v>
      </c>
      <c r="M2324" t="s">
        <v>58</v>
      </c>
      <c r="P2324" t="s">
        <v>61</v>
      </c>
      <c r="Q2324" t="s">
        <v>58</v>
      </c>
      <c r="R2324" s="11" t="str">
        <f>HYPERLINK("\\imagefiles.bcgov\imagery\scanned_maps\moe_terrain_maps\Scanned_T_maps_all\R01\R01-1462","\\imagefiles.bcgov\imagery\scanned_maps\moe_terrain_maps\Scanned_T_maps_all\R01\R01-1462")</f>
        <v>\\imagefiles.bcgov\imagery\scanned_maps\moe_terrain_maps\Scanned_T_maps_all\R01\R01-1462</v>
      </c>
      <c r="S2324" t="s">
        <v>62</v>
      </c>
      <c r="T2324" s="11" t="str">
        <f>HYPERLINK("http://www.env.gov.bc.ca/esd/distdata/ecosystems/TEI_Scanned_Maps/R01/R01-1462","http://www.env.gov.bc.ca/esd/distdata/ecosystems/TEI_Scanned_Maps/R01/R01-1462")</f>
        <v>http://www.env.gov.bc.ca/esd/distdata/ecosystems/TEI_Scanned_Maps/R01/R01-1462</v>
      </c>
      <c r="U2324" t="s">
        <v>58</v>
      </c>
      <c r="V2324" t="s">
        <v>58</v>
      </c>
      <c r="W2324" t="s">
        <v>58</v>
      </c>
      <c r="X2324" t="s">
        <v>58</v>
      </c>
      <c r="Y2324" t="s">
        <v>58</v>
      </c>
      <c r="Z2324" t="s">
        <v>58</v>
      </c>
      <c r="AA2324" t="s">
        <v>58</v>
      </c>
      <c r="AC2324" t="s">
        <v>58</v>
      </c>
      <c r="AE2324" t="s">
        <v>58</v>
      </c>
      <c r="AG2324" t="s">
        <v>63</v>
      </c>
      <c r="AH2324" s="11" t="str">
        <f t="shared" si="155"/>
        <v>mailto: soilterrain@victoria1.gov.bc.ca</v>
      </c>
    </row>
    <row r="2325" spans="1:34">
      <c r="A2325" t="s">
        <v>5384</v>
      </c>
      <c r="B2325" t="s">
        <v>56</v>
      </c>
      <c r="C2325" s="10" t="s">
        <v>5233</v>
      </c>
      <c r="D2325" t="s">
        <v>58</v>
      </c>
      <c r="E2325" t="s">
        <v>2952</v>
      </c>
      <c r="F2325" t="s">
        <v>5328</v>
      </c>
      <c r="G2325">
        <v>20000</v>
      </c>
      <c r="H2325">
        <v>1973</v>
      </c>
      <c r="I2325" t="s">
        <v>58</v>
      </c>
      <c r="J2325" t="s">
        <v>58</v>
      </c>
      <c r="K2325" t="s">
        <v>58</v>
      </c>
      <c r="L2325" t="s">
        <v>58</v>
      </c>
      <c r="M2325" t="s">
        <v>58</v>
      </c>
      <c r="P2325" t="s">
        <v>61</v>
      </c>
      <c r="Q2325" t="s">
        <v>58</v>
      </c>
      <c r="R2325" s="11" t="str">
        <f>HYPERLINK("\\imagefiles.bcgov\imagery\scanned_maps\moe_terrain_maps\Scanned_T_maps_all\R01\R01-1472","\\imagefiles.bcgov\imagery\scanned_maps\moe_terrain_maps\Scanned_T_maps_all\R01\R01-1472")</f>
        <v>\\imagefiles.bcgov\imagery\scanned_maps\moe_terrain_maps\Scanned_T_maps_all\R01\R01-1472</v>
      </c>
      <c r="S2325" t="s">
        <v>62</v>
      </c>
      <c r="T2325" s="11" t="str">
        <f>HYPERLINK("http://www.env.gov.bc.ca/esd/distdata/ecosystems/TEI_Scanned_Maps/R01/R01-1472","http://www.env.gov.bc.ca/esd/distdata/ecosystems/TEI_Scanned_Maps/R01/R01-1472")</f>
        <v>http://www.env.gov.bc.ca/esd/distdata/ecosystems/TEI_Scanned_Maps/R01/R01-1472</v>
      </c>
      <c r="U2325" t="s">
        <v>58</v>
      </c>
      <c r="V2325" t="s">
        <v>58</v>
      </c>
      <c r="W2325" t="s">
        <v>58</v>
      </c>
      <c r="X2325" t="s">
        <v>58</v>
      </c>
      <c r="Y2325" t="s">
        <v>58</v>
      </c>
      <c r="Z2325" t="s">
        <v>58</v>
      </c>
      <c r="AA2325" t="s">
        <v>58</v>
      </c>
      <c r="AC2325" t="s">
        <v>58</v>
      </c>
      <c r="AE2325" t="s">
        <v>58</v>
      </c>
      <c r="AG2325" t="s">
        <v>63</v>
      </c>
      <c r="AH2325" s="11" t="str">
        <f t="shared" si="155"/>
        <v>mailto: soilterrain@victoria1.gov.bc.ca</v>
      </c>
    </row>
    <row r="2326" spans="1:34">
      <c r="A2326" t="s">
        <v>5385</v>
      </c>
      <c r="B2326" t="s">
        <v>56</v>
      </c>
      <c r="C2326" s="10" t="s">
        <v>5386</v>
      </c>
      <c r="D2326" t="s">
        <v>58</v>
      </c>
      <c r="E2326" t="s">
        <v>2952</v>
      </c>
      <c r="F2326" t="s">
        <v>5328</v>
      </c>
      <c r="G2326">
        <v>20000</v>
      </c>
      <c r="H2326">
        <v>1978</v>
      </c>
      <c r="I2326" t="s">
        <v>58</v>
      </c>
      <c r="J2326" t="s">
        <v>58</v>
      </c>
      <c r="K2326" t="s">
        <v>58</v>
      </c>
      <c r="L2326" t="s">
        <v>58</v>
      </c>
      <c r="M2326" t="s">
        <v>58</v>
      </c>
      <c r="P2326" t="s">
        <v>61</v>
      </c>
      <c r="Q2326" t="s">
        <v>58</v>
      </c>
      <c r="R2326" s="11" t="str">
        <f>HYPERLINK("\\imagefiles.bcgov\imagery\scanned_maps\moe_terrain_maps\Scanned_T_maps_all\R01\R01-153","\\imagefiles.bcgov\imagery\scanned_maps\moe_terrain_maps\Scanned_T_maps_all\R01\R01-153")</f>
        <v>\\imagefiles.bcgov\imagery\scanned_maps\moe_terrain_maps\Scanned_T_maps_all\R01\R01-153</v>
      </c>
      <c r="S2326" t="s">
        <v>62</v>
      </c>
      <c r="T2326" s="11" t="str">
        <f>HYPERLINK("http://www.env.gov.bc.ca/esd/distdata/ecosystems/TEI_Scanned_Maps/R01/R01-153","http://www.env.gov.bc.ca/esd/distdata/ecosystems/TEI_Scanned_Maps/R01/R01-153")</f>
        <v>http://www.env.gov.bc.ca/esd/distdata/ecosystems/TEI_Scanned_Maps/R01/R01-153</v>
      </c>
      <c r="U2326" t="s">
        <v>58</v>
      </c>
      <c r="V2326" t="s">
        <v>58</v>
      </c>
      <c r="W2326" t="s">
        <v>58</v>
      </c>
      <c r="X2326" t="s">
        <v>58</v>
      </c>
      <c r="Y2326" t="s">
        <v>58</v>
      </c>
      <c r="Z2326" t="s">
        <v>58</v>
      </c>
      <c r="AA2326" t="s">
        <v>58</v>
      </c>
      <c r="AC2326" t="s">
        <v>58</v>
      </c>
      <c r="AE2326" t="s">
        <v>58</v>
      </c>
      <c r="AG2326" t="s">
        <v>63</v>
      </c>
      <c r="AH2326" s="11" t="str">
        <f t="shared" si="155"/>
        <v>mailto: soilterrain@victoria1.gov.bc.ca</v>
      </c>
    </row>
    <row r="2327" spans="1:34">
      <c r="A2327" t="s">
        <v>5387</v>
      </c>
      <c r="B2327" t="s">
        <v>56</v>
      </c>
      <c r="C2327" s="10" t="s">
        <v>5388</v>
      </c>
      <c r="D2327" t="s">
        <v>58</v>
      </c>
      <c r="E2327" t="s">
        <v>2952</v>
      </c>
      <c r="F2327" t="s">
        <v>5328</v>
      </c>
      <c r="G2327">
        <v>20000</v>
      </c>
      <c r="H2327">
        <v>1978</v>
      </c>
      <c r="I2327" t="s">
        <v>58</v>
      </c>
      <c r="J2327" t="s">
        <v>58</v>
      </c>
      <c r="K2327" t="s">
        <v>58</v>
      </c>
      <c r="L2327" t="s">
        <v>58</v>
      </c>
      <c r="M2327" t="s">
        <v>58</v>
      </c>
      <c r="P2327" t="s">
        <v>61</v>
      </c>
      <c r="Q2327" t="s">
        <v>58</v>
      </c>
      <c r="R2327" s="11" t="str">
        <f>HYPERLINK("\\imagefiles.bcgov\imagery\scanned_maps\moe_terrain_maps\Scanned_T_maps_all\R01\R01-160","\\imagefiles.bcgov\imagery\scanned_maps\moe_terrain_maps\Scanned_T_maps_all\R01\R01-160")</f>
        <v>\\imagefiles.bcgov\imagery\scanned_maps\moe_terrain_maps\Scanned_T_maps_all\R01\R01-160</v>
      </c>
      <c r="S2327" t="s">
        <v>62</v>
      </c>
      <c r="T2327" s="11" t="str">
        <f>HYPERLINK("http://www.env.gov.bc.ca/esd/distdata/ecosystems/TEI_Scanned_Maps/R01/R01-160","http://www.env.gov.bc.ca/esd/distdata/ecosystems/TEI_Scanned_Maps/R01/R01-160")</f>
        <v>http://www.env.gov.bc.ca/esd/distdata/ecosystems/TEI_Scanned_Maps/R01/R01-160</v>
      </c>
      <c r="U2327" t="s">
        <v>58</v>
      </c>
      <c r="V2327" t="s">
        <v>58</v>
      </c>
      <c r="W2327" t="s">
        <v>58</v>
      </c>
      <c r="X2327" t="s">
        <v>58</v>
      </c>
      <c r="Y2327" t="s">
        <v>58</v>
      </c>
      <c r="Z2327" t="s">
        <v>58</v>
      </c>
      <c r="AA2327" t="s">
        <v>58</v>
      </c>
      <c r="AC2327" t="s">
        <v>58</v>
      </c>
      <c r="AE2327" t="s">
        <v>58</v>
      </c>
      <c r="AG2327" t="s">
        <v>63</v>
      </c>
      <c r="AH2327" s="11" t="str">
        <f t="shared" si="155"/>
        <v>mailto: soilterrain@victoria1.gov.bc.ca</v>
      </c>
    </row>
    <row r="2328" spans="1:34">
      <c r="A2328" t="s">
        <v>5389</v>
      </c>
      <c r="B2328" t="s">
        <v>56</v>
      </c>
      <c r="C2328" s="10" t="s">
        <v>5390</v>
      </c>
      <c r="D2328" t="s">
        <v>58</v>
      </c>
      <c r="E2328" t="s">
        <v>2952</v>
      </c>
      <c r="F2328" t="s">
        <v>5328</v>
      </c>
      <c r="G2328">
        <v>20000</v>
      </c>
      <c r="H2328">
        <v>1978</v>
      </c>
      <c r="I2328" t="s">
        <v>58</v>
      </c>
      <c r="J2328" t="s">
        <v>58</v>
      </c>
      <c r="K2328" t="s">
        <v>58</v>
      </c>
      <c r="L2328" t="s">
        <v>58</v>
      </c>
      <c r="M2328" t="s">
        <v>58</v>
      </c>
      <c r="P2328" t="s">
        <v>61</v>
      </c>
      <c r="Q2328" t="s">
        <v>58</v>
      </c>
      <c r="R2328" s="11" t="str">
        <f>HYPERLINK("\\imagefiles.bcgov\imagery\scanned_maps\moe_terrain_maps\Scanned_T_maps_all\R01\R01-166","\\imagefiles.bcgov\imagery\scanned_maps\moe_terrain_maps\Scanned_T_maps_all\R01\R01-166")</f>
        <v>\\imagefiles.bcgov\imagery\scanned_maps\moe_terrain_maps\Scanned_T_maps_all\R01\R01-166</v>
      </c>
      <c r="S2328" t="s">
        <v>62</v>
      </c>
      <c r="T2328" s="11" t="str">
        <f>HYPERLINK("http://www.env.gov.bc.ca/esd/distdata/ecosystems/TEI_Scanned_Maps/R01/R01-166","http://www.env.gov.bc.ca/esd/distdata/ecosystems/TEI_Scanned_Maps/R01/R01-166")</f>
        <v>http://www.env.gov.bc.ca/esd/distdata/ecosystems/TEI_Scanned_Maps/R01/R01-166</v>
      </c>
      <c r="U2328" t="s">
        <v>58</v>
      </c>
      <c r="V2328" t="s">
        <v>58</v>
      </c>
      <c r="W2328" t="s">
        <v>58</v>
      </c>
      <c r="X2328" t="s">
        <v>58</v>
      </c>
      <c r="Y2328" t="s">
        <v>58</v>
      </c>
      <c r="Z2328" t="s">
        <v>58</v>
      </c>
      <c r="AA2328" t="s">
        <v>58</v>
      </c>
      <c r="AC2328" t="s">
        <v>58</v>
      </c>
      <c r="AE2328" t="s">
        <v>58</v>
      </c>
      <c r="AG2328" t="s">
        <v>63</v>
      </c>
      <c r="AH2328" s="11" t="str">
        <f t="shared" si="155"/>
        <v>mailto: soilterrain@victoria1.gov.bc.ca</v>
      </c>
    </row>
    <row r="2329" spans="1:34">
      <c r="A2329" t="s">
        <v>5391</v>
      </c>
      <c r="B2329" t="s">
        <v>56</v>
      </c>
      <c r="C2329" s="10" t="s">
        <v>5392</v>
      </c>
      <c r="D2329" t="s">
        <v>58</v>
      </c>
      <c r="E2329" t="s">
        <v>2952</v>
      </c>
      <c r="F2329" t="s">
        <v>5328</v>
      </c>
      <c r="G2329">
        <v>20000</v>
      </c>
      <c r="H2329">
        <v>1978</v>
      </c>
      <c r="I2329" t="s">
        <v>58</v>
      </c>
      <c r="J2329" t="s">
        <v>58</v>
      </c>
      <c r="K2329" t="s">
        <v>58</v>
      </c>
      <c r="L2329" t="s">
        <v>58</v>
      </c>
      <c r="M2329" t="s">
        <v>58</v>
      </c>
      <c r="P2329" t="s">
        <v>61</v>
      </c>
      <c r="Q2329" t="s">
        <v>58</v>
      </c>
      <c r="R2329" s="11" t="str">
        <f>HYPERLINK("\\imagefiles.bcgov\imagery\scanned_maps\moe_terrain_maps\Scanned_T_maps_all\R01\R01-172","\\imagefiles.bcgov\imagery\scanned_maps\moe_terrain_maps\Scanned_T_maps_all\R01\R01-172")</f>
        <v>\\imagefiles.bcgov\imagery\scanned_maps\moe_terrain_maps\Scanned_T_maps_all\R01\R01-172</v>
      </c>
      <c r="S2329" t="s">
        <v>62</v>
      </c>
      <c r="T2329" s="11" t="str">
        <f>HYPERLINK("http://www.env.gov.bc.ca/esd/distdata/ecosystems/TEI_Scanned_Maps/R01/R01-172","http://www.env.gov.bc.ca/esd/distdata/ecosystems/TEI_Scanned_Maps/R01/R01-172")</f>
        <v>http://www.env.gov.bc.ca/esd/distdata/ecosystems/TEI_Scanned_Maps/R01/R01-172</v>
      </c>
      <c r="U2329" t="s">
        <v>58</v>
      </c>
      <c r="V2329" t="s">
        <v>58</v>
      </c>
      <c r="W2329" t="s">
        <v>58</v>
      </c>
      <c r="X2329" t="s">
        <v>58</v>
      </c>
      <c r="Y2329" t="s">
        <v>58</v>
      </c>
      <c r="Z2329" t="s">
        <v>58</v>
      </c>
      <c r="AA2329" t="s">
        <v>58</v>
      </c>
      <c r="AC2329" t="s">
        <v>58</v>
      </c>
      <c r="AE2329" t="s">
        <v>58</v>
      </c>
      <c r="AG2329" t="s">
        <v>63</v>
      </c>
      <c r="AH2329" s="11" t="str">
        <f t="shared" si="155"/>
        <v>mailto: soilterrain@victoria1.gov.bc.ca</v>
      </c>
    </row>
    <row r="2330" spans="1:34">
      <c r="A2330" t="s">
        <v>5393</v>
      </c>
      <c r="B2330" t="s">
        <v>56</v>
      </c>
      <c r="C2330" s="10" t="s">
        <v>4682</v>
      </c>
      <c r="D2330" t="s">
        <v>58</v>
      </c>
      <c r="E2330" t="s">
        <v>2952</v>
      </c>
      <c r="F2330" t="s">
        <v>5328</v>
      </c>
      <c r="G2330">
        <v>20000</v>
      </c>
      <c r="H2330">
        <v>1978</v>
      </c>
      <c r="I2330" t="s">
        <v>58</v>
      </c>
      <c r="J2330" t="s">
        <v>58</v>
      </c>
      <c r="K2330" t="s">
        <v>58</v>
      </c>
      <c r="L2330" t="s">
        <v>58</v>
      </c>
      <c r="M2330" t="s">
        <v>58</v>
      </c>
      <c r="P2330" t="s">
        <v>61</v>
      </c>
      <c r="Q2330" t="s">
        <v>58</v>
      </c>
      <c r="R2330" s="11" t="str">
        <f>HYPERLINK("\\imagefiles.bcgov\imagery\scanned_maps\moe_terrain_maps\Scanned_T_maps_all\R01\R01-179","\\imagefiles.bcgov\imagery\scanned_maps\moe_terrain_maps\Scanned_T_maps_all\R01\R01-179")</f>
        <v>\\imagefiles.bcgov\imagery\scanned_maps\moe_terrain_maps\Scanned_T_maps_all\R01\R01-179</v>
      </c>
      <c r="S2330" t="s">
        <v>62</v>
      </c>
      <c r="T2330" s="11" t="str">
        <f>HYPERLINK("http://www.env.gov.bc.ca/esd/distdata/ecosystems/TEI_Scanned_Maps/R01/R01-179","http://www.env.gov.bc.ca/esd/distdata/ecosystems/TEI_Scanned_Maps/R01/R01-179")</f>
        <v>http://www.env.gov.bc.ca/esd/distdata/ecosystems/TEI_Scanned_Maps/R01/R01-179</v>
      </c>
      <c r="U2330" t="s">
        <v>58</v>
      </c>
      <c r="V2330" t="s">
        <v>58</v>
      </c>
      <c r="W2330" t="s">
        <v>58</v>
      </c>
      <c r="X2330" t="s">
        <v>58</v>
      </c>
      <c r="Y2330" t="s">
        <v>58</v>
      </c>
      <c r="Z2330" t="s">
        <v>58</v>
      </c>
      <c r="AA2330" t="s">
        <v>58</v>
      </c>
      <c r="AC2330" t="s">
        <v>58</v>
      </c>
      <c r="AE2330" t="s">
        <v>58</v>
      </c>
      <c r="AG2330" t="s">
        <v>63</v>
      </c>
      <c r="AH2330" s="11" t="str">
        <f t="shared" si="155"/>
        <v>mailto: soilterrain@victoria1.gov.bc.ca</v>
      </c>
    </row>
    <row r="2331" spans="1:34">
      <c r="A2331" t="s">
        <v>5394</v>
      </c>
      <c r="B2331" t="s">
        <v>56</v>
      </c>
      <c r="C2331" s="10" t="s">
        <v>5395</v>
      </c>
      <c r="D2331" t="s">
        <v>58</v>
      </c>
      <c r="E2331" t="s">
        <v>2952</v>
      </c>
      <c r="F2331" t="s">
        <v>5328</v>
      </c>
      <c r="G2331">
        <v>20000</v>
      </c>
      <c r="H2331">
        <v>1978</v>
      </c>
      <c r="I2331" t="s">
        <v>58</v>
      </c>
      <c r="J2331" t="s">
        <v>58</v>
      </c>
      <c r="K2331" t="s">
        <v>58</v>
      </c>
      <c r="L2331" t="s">
        <v>58</v>
      </c>
      <c r="M2331" t="s">
        <v>58</v>
      </c>
      <c r="P2331" t="s">
        <v>61</v>
      </c>
      <c r="Q2331" t="s">
        <v>58</v>
      </c>
      <c r="R2331" s="11" t="str">
        <f>HYPERLINK("\\imagefiles.bcgov\imagery\scanned_maps\moe_terrain_maps\Scanned_T_maps_all\R01\R01-185","\\imagefiles.bcgov\imagery\scanned_maps\moe_terrain_maps\Scanned_T_maps_all\R01\R01-185")</f>
        <v>\\imagefiles.bcgov\imagery\scanned_maps\moe_terrain_maps\Scanned_T_maps_all\R01\R01-185</v>
      </c>
      <c r="S2331" t="s">
        <v>62</v>
      </c>
      <c r="T2331" s="11" t="str">
        <f>HYPERLINK("http://www.env.gov.bc.ca/esd/distdata/ecosystems/TEI_Scanned_Maps/R01/R01-185","http://www.env.gov.bc.ca/esd/distdata/ecosystems/TEI_Scanned_Maps/R01/R01-185")</f>
        <v>http://www.env.gov.bc.ca/esd/distdata/ecosystems/TEI_Scanned_Maps/R01/R01-185</v>
      </c>
      <c r="U2331" t="s">
        <v>58</v>
      </c>
      <c r="V2331" t="s">
        <v>58</v>
      </c>
      <c r="W2331" t="s">
        <v>58</v>
      </c>
      <c r="X2331" t="s">
        <v>58</v>
      </c>
      <c r="Y2331" t="s">
        <v>58</v>
      </c>
      <c r="Z2331" t="s">
        <v>58</v>
      </c>
      <c r="AA2331" t="s">
        <v>58</v>
      </c>
      <c r="AC2331" t="s">
        <v>58</v>
      </c>
      <c r="AE2331" t="s">
        <v>58</v>
      </c>
      <c r="AG2331" t="s">
        <v>63</v>
      </c>
      <c r="AH2331" s="11" t="str">
        <f t="shared" si="155"/>
        <v>mailto: soilterrain@victoria1.gov.bc.ca</v>
      </c>
    </row>
    <row r="2332" spans="1:34">
      <c r="A2332" t="s">
        <v>5396</v>
      </c>
      <c r="B2332" t="s">
        <v>56</v>
      </c>
      <c r="C2332" s="10" t="s">
        <v>5397</v>
      </c>
      <c r="D2332" t="s">
        <v>58</v>
      </c>
      <c r="E2332" t="s">
        <v>2952</v>
      </c>
      <c r="F2332" t="s">
        <v>5328</v>
      </c>
      <c r="G2332">
        <v>20000</v>
      </c>
      <c r="H2332">
        <v>1974</v>
      </c>
      <c r="I2332" t="s">
        <v>58</v>
      </c>
      <c r="J2332" t="s">
        <v>58</v>
      </c>
      <c r="K2332" t="s">
        <v>58</v>
      </c>
      <c r="L2332" t="s">
        <v>58</v>
      </c>
      <c r="M2332" t="s">
        <v>58</v>
      </c>
      <c r="P2332" t="s">
        <v>61</v>
      </c>
      <c r="Q2332" t="s">
        <v>58</v>
      </c>
      <c r="R2332" s="11" t="str">
        <f>HYPERLINK("\\imagefiles.bcgov\imagery\scanned_maps\moe_terrain_maps\Scanned_T_maps_all\R01\R01-191","\\imagefiles.bcgov\imagery\scanned_maps\moe_terrain_maps\Scanned_T_maps_all\R01\R01-191")</f>
        <v>\\imagefiles.bcgov\imagery\scanned_maps\moe_terrain_maps\Scanned_T_maps_all\R01\R01-191</v>
      </c>
      <c r="S2332" t="s">
        <v>62</v>
      </c>
      <c r="T2332" s="11" t="str">
        <f>HYPERLINK("http://www.env.gov.bc.ca/esd/distdata/ecosystems/TEI_Scanned_Maps/R01/R01-191","http://www.env.gov.bc.ca/esd/distdata/ecosystems/TEI_Scanned_Maps/R01/R01-191")</f>
        <v>http://www.env.gov.bc.ca/esd/distdata/ecosystems/TEI_Scanned_Maps/R01/R01-191</v>
      </c>
      <c r="U2332" t="s">
        <v>58</v>
      </c>
      <c r="V2332" t="s">
        <v>58</v>
      </c>
      <c r="W2332" t="s">
        <v>58</v>
      </c>
      <c r="X2332" t="s">
        <v>58</v>
      </c>
      <c r="Y2332" t="s">
        <v>58</v>
      </c>
      <c r="Z2332" t="s">
        <v>58</v>
      </c>
      <c r="AA2332" t="s">
        <v>58</v>
      </c>
      <c r="AC2332" t="s">
        <v>58</v>
      </c>
      <c r="AE2332" t="s">
        <v>58</v>
      </c>
      <c r="AG2332" t="s">
        <v>63</v>
      </c>
      <c r="AH2332" s="11" t="str">
        <f t="shared" si="155"/>
        <v>mailto: soilterrain@victoria1.gov.bc.ca</v>
      </c>
    </row>
    <row r="2333" spans="1:34">
      <c r="A2333" t="s">
        <v>5398</v>
      </c>
      <c r="B2333" t="s">
        <v>56</v>
      </c>
      <c r="C2333" s="10" t="s">
        <v>5399</v>
      </c>
      <c r="D2333" t="s">
        <v>58</v>
      </c>
      <c r="E2333" t="s">
        <v>2952</v>
      </c>
      <c r="F2333" t="s">
        <v>5328</v>
      </c>
      <c r="G2333">
        <v>20000</v>
      </c>
      <c r="H2333">
        <v>1974</v>
      </c>
      <c r="I2333" t="s">
        <v>58</v>
      </c>
      <c r="J2333" t="s">
        <v>58</v>
      </c>
      <c r="K2333" t="s">
        <v>58</v>
      </c>
      <c r="L2333" t="s">
        <v>58</v>
      </c>
      <c r="M2333" t="s">
        <v>58</v>
      </c>
      <c r="P2333" t="s">
        <v>61</v>
      </c>
      <c r="Q2333" t="s">
        <v>58</v>
      </c>
      <c r="R2333" s="11" t="str">
        <f>HYPERLINK("\\imagefiles.bcgov\imagery\scanned_maps\moe_terrain_maps\Scanned_T_maps_all\R01\R01-198","\\imagefiles.bcgov\imagery\scanned_maps\moe_terrain_maps\Scanned_T_maps_all\R01\R01-198")</f>
        <v>\\imagefiles.bcgov\imagery\scanned_maps\moe_terrain_maps\Scanned_T_maps_all\R01\R01-198</v>
      </c>
      <c r="S2333" t="s">
        <v>62</v>
      </c>
      <c r="T2333" s="11" t="str">
        <f>HYPERLINK("http://www.env.gov.bc.ca/esd/distdata/ecosystems/TEI_Scanned_Maps/R01/R01-198","http://www.env.gov.bc.ca/esd/distdata/ecosystems/TEI_Scanned_Maps/R01/R01-198")</f>
        <v>http://www.env.gov.bc.ca/esd/distdata/ecosystems/TEI_Scanned_Maps/R01/R01-198</v>
      </c>
      <c r="U2333" t="s">
        <v>58</v>
      </c>
      <c r="V2333" t="s">
        <v>58</v>
      </c>
      <c r="W2333" t="s">
        <v>58</v>
      </c>
      <c r="X2333" t="s">
        <v>58</v>
      </c>
      <c r="Y2333" t="s">
        <v>58</v>
      </c>
      <c r="Z2333" t="s">
        <v>58</v>
      </c>
      <c r="AA2333" t="s">
        <v>58</v>
      </c>
      <c r="AC2333" t="s">
        <v>58</v>
      </c>
      <c r="AE2333" t="s">
        <v>58</v>
      </c>
      <c r="AG2333" t="s">
        <v>63</v>
      </c>
      <c r="AH2333" s="11" t="str">
        <f t="shared" si="155"/>
        <v>mailto: soilterrain@victoria1.gov.bc.ca</v>
      </c>
    </row>
    <row r="2334" spans="1:34">
      <c r="A2334" t="s">
        <v>5400</v>
      </c>
      <c r="B2334" t="s">
        <v>56</v>
      </c>
      <c r="C2334" s="10" t="s">
        <v>5401</v>
      </c>
      <c r="D2334" t="s">
        <v>58</v>
      </c>
      <c r="E2334" t="s">
        <v>2952</v>
      </c>
      <c r="F2334" t="s">
        <v>5328</v>
      </c>
      <c r="G2334">
        <v>20000</v>
      </c>
      <c r="H2334">
        <v>1974</v>
      </c>
      <c r="I2334" t="s">
        <v>58</v>
      </c>
      <c r="J2334" t="s">
        <v>58</v>
      </c>
      <c r="K2334" t="s">
        <v>58</v>
      </c>
      <c r="L2334" t="s">
        <v>58</v>
      </c>
      <c r="M2334" t="s">
        <v>58</v>
      </c>
      <c r="P2334" t="s">
        <v>61</v>
      </c>
      <c r="Q2334" t="s">
        <v>58</v>
      </c>
      <c r="R2334" s="11" t="str">
        <f>HYPERLINK("\\imagefiles.bcgov\imagery\scanned_maps\moe_terrain_maps\Scanned_T_maps_all\R01\R01-204","\\imagefiles.bcgov\imagery\scanned_maps\moe_terrain_maps\Scanned_T_maps_all\R01\R01-204")</f>
        <v>\\imagefiles.bcgov\imagery\scanned_maps\moe_terrain_maps\Scanned_T_maps_all\R01\R01-204</v>
      </c>
      <c r="S2334" t="s">
        <v>62</v>
      </c>
      <c r="T2334" s="11" t="str">
        <f>HYPERLINK("http://www.env.gov.bc.ca/esd/distdata/ecosystems/TEI_Scanned_Maps/R01/R01-204","http://www.env.gov.bc.ca/esd/distdata/ecosystems/TEI_Scanned_Maps/R01/R01-204")</f>
        <v>http://www.env.gov.bc.ca/esd/distdata/ecosystems/TEI_Scanned_Maps/R01/R01-204</v>
      </c>
      <c r="U2334" t="s">
        <v>58</v>
      </c>
      <c r="V2334" t="s">
        <v>58</v>
      </c>
      <c r="W2334" t="s">
        <v>58</v>
      </c>
      <c r="X2334" t="s">
        <v>58</v>
      </c>
      <c r="Y2334" t="s">
        <v>58</v>
      </c>
      <c r="Z2334" t="s">
        <v>58</v>
      </c>
      <c r="AA2334" t="s">
        <v>58</v>
      </c>
      <c r="AC2334" t="s">
        <v>58</v>
      </c>
      <c r="AE2334" t="s">
        <v>58</v>
      </c>
      <c r="AG2334" t="s">
        <v>63</v>
      </c>
      <c r="AH2334" s="11" t="str">
        <f t="shared" si="155"/>
        <v>mailto: soilterrain@victoria1.gov.bc.ca</v>
      </c>
    </row>
    <row r="2335" spans="1:34">
      <c r="A2335" t="s">
        <v>5402</v>
      </c>
      <c r="B2335" t="s">
        <v>56</v>
      </c>
      <c r="C2335" s="10" t="s">
        <v>5403</v>
      </c>
      <c r="D2335" t="s">
        <v>58</v>
      </c>
      <c r="E2335" t="s">
        <v>2952</v>
      </c>
      <c r="F2335" t="s">
        <v>5328</v>
      </c>
      <c r="G2335">
        <v>20000</v>
      </c>
      <c r="H2335">
        <v>1974</v>
      </c>
      <c r="I2335" t="s">
        <v>58</v>
      </c>
      <c r="J2335" t="s">
        <v>58</v>
      </c>
      <c r="K2335" t="s">
        <v>58</v>
      </c>
      <c r="L2335" t="s">
        <v>58</v>
      </c>
      <c r="M2335" t="s">
        <v>58</v>
      </c>
      <c r="P2335" t="s">
        <v>61</v>
      </c>
      <c r="Q2335" t="s">
        <v>58</v>
      </c>
      <c r="R2335" s="11" t="str">
        <f>HYPERLINK("\\imagefiles.bcgov\imagery\scanned_maps\moe_terrain_maps\Scanned_T_maps_all\R01\R01-211","\\imagefiles.bcgov\imagery\scanned_maps\moe_terrain_maps\Scanned_T_maps_all\R01\R01-211")</f>
        <v>\\imagefiles.bcgov\imagery\scanned_maps\moe_terrain_maps\Scanned_T_maps_all\R01\R01-211</v>
      </c>
      <c r="S2335" t="s">
        <v>62</v>
      </c>
      <c r="T2335" s="11" t="str">
        <f>HYPERLINK("http://www.env.gov.bc.ca/esd/distdata/ecosystems/TEI_Scanned_Maps/R01/R01-211","http://www.env.gov.bc.ca/esd/distdata/ecosystems/TEI_Scanned_Maps/R01/R01-211")</f>
        <v>http://www.env.gov.bc.ca/esd/distdata/ecosystems/TEI_Scanned_Maps/R01/R01-211</v>
      </c>
      <c r="U2335" t="s">
        <v>58</v>
      </c>
      <c r="V2335" t="s">
        <v>58</v>
      </c>
      <c r="W2335" t="s">
        <v>58</v>
      </c>
      <c r="X2335" t="s">
        <v>58</v>
      </c>
      <c r="Y2335" t="s">
        <v>58</v>
      </c>
      <c r="Z2335" t="s">
        <v>58</v>
      </c>
      <c r="AA2335" t="s">
        <v>58</v>
      </c>
      <c r="AC2335" t="s">
        <v>58</v>
      </c>
      <c r="AE2335" t="s">
        <v>58</v>
      </c>
      <c r="AG2335" t="s">
        <v>63</v>
      </c>
      <c r="AH2335" s="11" t="str">
        <f t="shared" si="155"/>
        <v>mailto: soilterrain@victoria1.gov.bc.ca</v>
      </c>
    </row>
    <row r="2336" spans="1:34">
      <c r="A2336" t="s">
        <v>5404</v>
      </c>
      <c r="B2336" t="s">
        <v>56</v>
      </c>
      <c r="C2336" s="10" t="s">
        <v>5405</v>
      </c>
      <c r="D2336" t="s">
        <v>58</v>
      </c>
      <c r="E2336" t="s">
        <v>2952</v>
      </c>
      <c r="F2336" t="s">
        <v>5328</v>
      </c>
      <c r="G2336">
        <v>20000</v>
      </c>
      <c r="H2336">
        <v>1974</v>
      </c>
      <c r="I2336" t="s">
        <v>58</v>
      </c>
      <c r="J2336" t="s">
        <v>58</v>
      </c>
      <c r="K2336" t="s">
        <v>58</v>
      </c>
      <c r="L2336" t="s">
        <v>58</v>
      </c>
      <c r="M2336" t="s">
        <v>58</v>
      </c>
      <c r="P2336" t="s">
        <v>61</v>
      </c>
      <c r="Q2336" t="s">
        <v>58</v>
      </c>
      <c r="R2336" s="11" t="str">
        <f>HYPERLINK("\\imagefiles.bcgov\imagery\scanned_maps\moe_terrain_maps\Scanned_T_maps_all\R01\R01-218","\\imagefiles.bcgov\imagery\scanned_maps\moe_terrain_maps\Scanned_T_maps_all\R01\R01-218")</f>
        <v>\\imagefiles.bcgov\imagery\scanned_maps\moe_terrain_maps\Scanned_T_maps_all\R01\R01-218</v>
      </c>
      <c r="S2336" t="s">
        <v>62</v>
      </c>
      <c r="T2336" s="11" t="str">
        <f>HYPERLINK("http://www.env.gov.bc.ca/esd/distdata/ecosystems/TEI_Scanned_Maps/R01/R01-218","http://www.env.gov.bc.ca/esd/distdata/ecosystems/TEI_Scanned_Maps/R01/R01-218")</f>
        <v>http://www.env.gov.bc.ca/esd/distdata/ecosystems/TEI_Scanned_Maps/R01/R01-218</v>
      </c>
      <c r="U2336" t="s">
        <v>58</v>
      </c>
      <c r="V2336" t="s">
        <v>58</v>
      </c>
      <c r="W2336" t="s">
        <v>58</v>
      </c>
      <c r="X2336" t="s">
        <v>58</v>
      </c>
      <c r="Y2336" t="s">
        <v>58</v>
      </c>
      <c r="Z2336" t="s">
        <v>58</v>
      </c>
      <c r="AA2336" t="s">
        <v>58</v>
      </c>
      <c r="AC2336" t="s">
        <v>58</v>
      </c>
      <c r="AE2336" t="s">
        <v>58</v>
      </c>
      <c r="AG2336" t="s">
        <v>63</v>
      </c>
      <c r="AH2336" s="11" t="str">
        <f t="shared" si="155"/>
        <v>mailto: soilterrain@victoria1.gov.bc.ca</v>
      </c>
    </row>
    <row r="2337" spans="1:34">
      <c r="A2337" t="s">
        <v>5406</v>
      </c>
      <c r="B2337" t="s">
        <v>56</v>
      </c>
      <c r="C2337" s="10" t="s">
        <v>5407</v>
      </c>
      <c r="D2337" t="s">
        <v>58</v>
      </c>
      <c r="E2337" t="s">
        <v>2952</v>
      </c>
      <c r="F2337" t="s">
        <v>5328</v>
      </c>
      <c r="G2337">
        <v>20000</v>
      </c>
      <c r="H2337">
        <v>1974</v>
      </c>
      <c r="I2337" t="s">
        <v>58</v>
      </c>
      <c r="J2337" t="s">
        <v>58</v>
      </c>
      <c r="K2337" t="s">
        <v>58</v>
      </c>
      <c r="L2337" t="s">
        <v>58</v>
      </c>
      <c r="M2337" t="s">
        <v>58</v>
      </c>
      <c r="P2337" t="s">
        <v>61</v>
      </c>
      <c r="Q2337" t="s">
        <v>58</v>
      </c>
      <c r="R2337" s="11" t="str">
        <f>HYPERLINK("\\imagefiles.bcgov\imagery\scanned_maps\moe_terrain_maps\Scanned_T_maps_all\R01\R01-225","\\imagefiles.bcgov\imagery\scanned_maps\moe_terrain_maps\Scanned_T_maps_all\R01\R01-225")</f>
        <v>\\imagefiles.bcgov\imagery\scanned_maps\moe_terrain_maps\Scanned_T_maps_all\R01\R01-225</v>
      </c>
      <c r="S2337" t="s">
        <v>62</v>
      </c>
      <c r="T2337" s="11" t="str">
        <f>HYPERLINK("http://www.env.gov.bc.ca/esd/distdata/ecosystems/TEI_Scanned_Maps/R01/R01-225","http://www.env.gov.bc.ca/esd/distdata/ecosystems/TEI_Scanned_Maps/R01/R01-225")</f>
        <v>http://www.env.gov.bc.ca/esd/distdata/ecosystems/TEI_Scanned_Maps/R01/R01-225</v>
      </c>
      <c r="U2337" t="s">
        <v>58</v>
      </c>
      <c r="V2337" t="s">
        <v>58</v>
      </c>
      <c r="W2337" t="s">
        <v>58</v>
      </c>
      <c r="X2337" t="s">
        <v>58</v>
      </c>
      <c r="Y2337" t="s">
        <v>58</v>
      </c>
      <c r="Z2337" t="s">
        <v>58</v>
      </c>
      <c r="AA2337" t="s">
        <v>58</v>
      </c>
      <c r="AC2337" t="s">
        <v>58</v>
      </c>
      <c r="AE2337" t="s">
        <v>58</v>
      </c>
      <c r="AG2337" t="s">
        <v>63</v>
      </c>
      <c r="AH2337" s="11" t="str">
        <f t="shared" si="155"/>
        <v>mailto: soilterrain@victoria1.gov.bc.ca</v>
      </c>
    </row>
    <row r="2338" spans="1:34">
      <c r="A2338" t="s">
        <v>5408</v>
      </c>
      <c r="B2338" t="s">
        <v>56</v>
      </c>
      <c r="C2338" s="10" t="s">
        <v>5409</v>
      </c>
      <c r="D2338" t="s">
        <v>58</v>
      </c>
      <c r="E2338" t="s">
        <v>2952</v>
      </c>
      <c r="F2338" t="s">
        <v>5328</v>
      </c>
      <c r="G2338">
        <v>20000</v>
      </c>
      <c r="H2338">
        <v>1974</v>
      </c>
      <c r="I2338" t="s">
        <v>58</v>
      </c>
      <c r="J2338" t="s">
        <v>58</v>
      </c>
      <c r="K2338" t="s">
        <v>58</v>
      </c>
      <c r="L2338" t="s">
        <v>58</v>
      </c>
      <c r="M2338" t="s">
        <v>58</v>
      </c>
      <c r="P2338" t="s">
        <v>61</v>
      </c>
      <c r="Q2338" t="s">
        <v>58</v>
      </c>
      <c r="R2338" s="11" t="str">
        <f>HYPERLINK("\\imagefiles.bcgov\imagery\scanned_maps\moe_terrain_maps\Scanned_T_maps_all\R01\R01-232","\\imagefiles.bcgov\imagery\scanned_maps\moe_terrain_maps\Scanned_T_maps_all\R01\R01-232")</f>
        <v>\\imagefiles.bcgov\imagery\scanned_maps\moe_terrain_maps\Scanned_T_maps_all\R01\R01-232</v>
      </c>
      <c r="S2338" t="s">
        <v>62</v>
      </c>
      <c r="T2338" s="11" t="str">
        <f>HYPERLINK("http://www.env.gov.bc.ca/esd/distdata/ecosystems/TEI_Scanned_Maps/R01/R01-232","http://www.env.gov.bc.ca/esd/distdata/ecosystems/TEI_Scanned_Maps/R01/R01-232")</f>
        <v>http://www.env.gov.bc.ca/esd/distdata/ecosystems/TEI_Scanned_Maps/R01/R01-232</v>
      </c>
      <c r="U2338" t="s">
        <v>58</v>
      </c>
      <c r="V2338" t="s">
        <v>58</v>
      </c>
      <c r="W2338" t="s">
        <v>58</v>
      </c>
      <c r="X2338" t="s">
        <v>58</v>
      </c>
      <c r="Y2338" t="s">
        <v>58</v>
      </c>
      <c r="Z2338" t="s">
        <v>58</v>
      </c>
      <c r="AA2338" t="s">
        <v>58</v>
      </c>
      <c r="AC2338" t="s">
        <v>58</v>
      </c>
      <c r="AE2338" t="s">
        <v>58</v>
      </c>
      <c r="AG2338" t="s">
        <v>63</v>
      </c>
      <c r="AH2338" s="11" t="str">
        <f t="shared" si="155"/>
        <v>mailto: soilterrain@victoria1.gov.bc.ca</v>
      </c>
    </row>
    <row r="2339" spans="1:34">
      <c r="A2339" t="s">
        <v>5410</v>
      </c>
      <c r="B2339" t="s">
        <v>56</v>
      </c>
      <c r="C2339" s="10" t="s">
        <v>5411</v>
      </c>
      <c r="D2339" t="s">
        <v>58</v>
      </c>
      <c r="E2339" t="s">
        <v>2952</v>
      </c>
      <c r="F2339" t="s">
        <v>5328</v>
      </c>
      <c r="G2339">
        <v>20000</v>
      </c>
      <c r="H2339">
        <v>1974</v>
      </c>
      <c r="I2339" t="s">
        <v>58</v>
      </c>
      <c r="J2339" t="s">
        <v>58</v>
      </c>
      <c r="K2339" t="s">
        <v>58</v>
      </c>
      <c r="L2339" t="s">
        <v>58</v>
      </c>
      <c r="M2339" t="s">
        <v>58</v>
      </c>
      <c r="P2339" t="s">
        <v>61</v>
      </c>
      <c r="Q2339" t="s">
        <v>58</v>
      </c>
      <c r="R2339" s="11" t="str">
        <f>HYPERLINK("\\imagefiles.bcgov\imagery\scanned_maps\moe_terrain_maps\Scanned_T_maps_all\R01\R01-239","\\imagefiles.bcgov\imagery\scanned_maps\moe_terrain_maps\Scanned_T_maps_all\R01\R01-239")</f>
        <v>\\imagefiles.bcgov\imagery\scanned_maps\moe_terrain_maps\Scanned_T_maps_all\R01\R01-239</v>
      </c>
      <c r="S2339" t="s">
        <v>62</v>
      </c>
      <c r="T2339" s="11" t="str">
        <f>HYPERLINK("http://www.env.gov.bc.ca/esd/distdata/ecosystems/TEI_Scanned_Maps/R01/R01-239","http://www.env.gov.bc.ca/esd/distdata/ecosystems/TEI_Scanned_Maps/R01/R01-239")</f>
        <v>http://www.env.gov.bc.ca/esd/distdata/ecosystems/TEI_Scanned_Maps/R01/R01-239</v>
      </c>
      <c r="U2339" t="s">
        <v>58</v>
      </c>
      <c r="V2339" t="s">
        <v>58</v>
      </c>
      <c r="W2339" t="s">
        <v>58</v>
      </c>
      <c r="X2339" t="s">
        <v>58</v>
      </c>
      <c r="Y2339" t="s">
        <v>58</v>
      </c>
      <c r="Z2339" t="s">
        <v>58</v>
      </c>
      <c r="AA2339" t="s">
        <v>58</v>
      </c>
      <c r="AC2339" t="s">
        <v>58</v>
      </c>
      <c r="AE2339" t="s">
        <v>58</v>
      </c>
      <c r="AG2339" t="s">
        <v>63</v>
      </c>
      <c r="AH2339" s="11" t="str">
        <f t="shared" si="155"/>
        <v>mailto: soilterrain@victoria1.gov.bc.ca</v>
      </c>
    </row>
    <row r="2340" spans="1:34">
      <c r="A2340" t="s">
        <v>5412</v>
      </c>
      <c r="B2340" t="s">
        <v>56</v>
      </c>
      <c r="C2340" s="10" t="s">
        <v>5413</v>
      </c>
      <c r="D2340" t="s">
        <v>58</v>
      </c>
      <c r="E2340" t="s">
        <v>2952</v>
      </c>
      <c r="F2340" t="s">
        <v>5328</v>
      </c>
      <c r="G2340">
        <v>20000</v>
      </c>
      <c r="H2340">
        <v>1980</v>
      </c>
      <c r="I2340" t="s">
        <v>58</v>
      </c>
      <c r="J2340" t="s">
        <v>58</v>
      </c>
      <c r="K2340" t="s">
        <v>58</v>
      </c>
      <c r="L2340" t="s">
        <v>58</v>
      </c>
      <c r="M2340" t="s">
        <v>58</v>
      </c>
      <c r="P2340" t="s">
        <v>61</v>
      </c>
      <c r="Q2340" t="s">
        <v>58</v>
      </c>
      <c r="R2340" s="11" t="str">
        <f>HYPERLINK("\\imagefiles.bcgov\imagery\scanned_maps\moe_terrain_maps\Scanned_T_maps_all\R01\R01-246","\\imagefiles.bcgov\imagery\scanned_maps\moe_terrain_maps\Scanned_T_maps_all\R01\R01-246")</f>
        <v>\\imagefiles.bcgov\imagery\scanned_maps\moe_terrain_maps\Scanned_T_maps_all\R01\R01-246</v>
      </c>
      <c r="S2340" t="s">
        <v>62</v>
      </c>
      <c r="T2340" s="11" t="str">
        <f>HYPERLINK("http://www.env.gov.bc.ca/esd/distdata/ecosystems/TEI_Scanned_Maps/R01/R01-246","http://www.env.gov.bc.ca/esd/distdata/ecosystems/TEI_Scanned_Maps/R01/R01-246")</f>
        <v>http://www.env.gov.bc.ca/esd/distdata/ecosystems/TEI_Scanned_Maps/R01/R01-246</v>
      </c>
      <c r="U2340" t="s">
        <v>58</v>
      </c>
      <c r="V2340" t="s">
        <v>58</v>
      </c>
      <c r="W2340" t="s">
        <v>58</v>
      </c>
      <c r="X2340" t="s">
        <v>58</v>
      </c>
      <c r="Y2340" t="s">
        <v>58</v>
      </c>
      <c r="Z2340" t="s">
        <v>58</v>
      </c>
      <c r="AA2340" t="s">
        <v>58</v>
      </c>
      <c r="AC2340" t="s">
        <v>58</v>
      </c>
      <c r="AE2340" t="s">
        <v>58</v>
      </c>
      <c r="AG2340" t="s">
        <v>63</v>
      </c>
      <c r="AH2340" s="11" t="str">
        <f t="shared" si="155"/>
        <v>mailto: soilterrain@victoria1.gov.bc.ca</v>
      </c>
    </row>
    <row r="2341" spans="1:34">
      <c r="A2341" t="s">
        <v>5414</v>
      </c>
      <c r="B2341" t="s">
        <v>56</v>
      </c>
      <c r="C2341" s="10" t="s">
        <v>5415</v>
      </c>
      <c r="D2341" t="s">
        <v>58</v>
      </c>
      <c r="E2341" t="s">
        <v>2952</v>
      </c>
      <c r="F2341" t="s">
        <v>5328</v>
      </c>
      <c r="G2341">
        <v>20000</v>
      </c>
      <c r="H2341">
        <v>1980</v>
      </c>
      <c r="I2341" t="s">
        <v>58</v>
      </c>
      <c r="J2341" t="s">
        <v>58</v>
      </c>
      <c r="K2341" t="s">
        <v>58</v>
      </c>
      <c r="L2341" t="s">
        <v>58</v>
      </c>
      <c r="M2341" t="s">
        <v>58</v>
      </c>
      <c r="P2341" t="s">
        <v>61</v>
      </c>
      <c r="Q2341" t="s">
        <v>58</v>
      </c>
      <c r="R2341" s="11" t="str">
        <f>HYPERLINK("\\imagefiles.bcgov\imagery\scanned_maps\moe_terrain_maps\Scanned_T_maps_all\R01\R01-253","\\imagefiles.bcgov\imagery\scanned_maps\moe_terrain_maps\Scanned_T_maps_all\R01\R01-253")</f>
        <v>\\imagefiles.bcgov\imagery\scanned_maps\moe_terrain_maps\Scanned_T_maps_all\R01\R01-253</v>
      </c>
      <c r="S2341" t="s">
        <v>62</v>
      </c>
      <c r="T2341" s="11" t="str">
        <f>HYPERLINK("http://www.env.gov.bc.ca/esd/distdata/ecosystems/TEI_Scanned_Maps/R01/R01-253","http://www.env.gov.bc.ca/esd/distdata/ecosystems/TEI_Scanned_Maps/R01/R01-253")</f>
        <v>http://www.env.gov.bc.ca/esd/distdata/ecosystems/TEI_Scanned_Maps/R01/R01-253</v>
      </c>
      <c r="U2341" t="s">
        <v>58</v>
      </c>
      <c r="V2341" t="s">
        <v>58</v>
      </c>
      <c r="W2341" t="s">
        <v>58</v>
      </c>
      <c r="X2341" t="s">
        <v>58</v>
      </c>
      <c r="Y2341" t="s">
        <v>58</v>
      </c>
      <c r="Z2341" t="s">
        <v>58</v>
      </c>
      <c r="AA2341" t="s">
        <v>58</v>
      </c>
      <c r="AC2341" t="s">
        <v>58</v>
      </c>
      <c r="AE2341" t="s">
        <v>58</v>
      </c>
      <c r="AG2341" t="s">
        <v>63</v>
      </c>
      <c r="AH2341" s="11" t="str">
        <f t="shared" si="155"/>
        <v>mailto: soilterrain@victoria1.gov.bc.ca</v>
      </c>
    </row>
    <row r="2342" spans="1:34">
      <c r="A2342" t="s">
        <v>5416</v>
      </c>
      <c r="B2342" t="s">
        <v>56</v>
      </c>
      <c r="C2342" s="10" t="s">
        <v>5417</v>
      </c>
      <c r="D2342" t="s">
        <v>58</v>
      </c>
      <c r="E2342" t="s">
        <v>2952</v>
      </c>
      <c r="F2342" t="s">
        <v>5328</v>
      </c>
      <c r="G2342">
        <v>20000</v>
      </c>
      <c r="H2342">
        <v>1979</v>
      </c>
      <c r="I2342" t="s">
        <v>58</v>
      </c>
      <c r="J2342" t="s">
        <v>58</v>
      </c>
      <c r="K2342" t="s">
        <v>58</v>
      </c>
      <c r="L2342" t="s">
        <v>58</v>
      </c>
      <c r="M2342" t="s">
        <v>58</v>
      </c>
      <c r="P2342" t="s">
        <v>61</v>
      </c>
      <c r="Q2342" t="s">
        <v>58</v>
      </c>
      <c r="R2342" s="11" t="str">
        <f>HYPERLINK("\\imagefiles.bcgov\imagery\scanned_maps\moe_terrain_maps\Scanned_T_maps_all\R01\R01-260","\\imagefiles.bcgov\imagery\scanned_maps\moe_terrain_maps\Scanned_T_maps_all\R01\R01-260")</f>
        <v>\\imagefiles.bcgov\imagery\scanned_maps\moe_terrain_maps\Scanned_T_maps_all\R01\R01-260</v>
      </c>
      <c r="S2342" t="s">
        <v>62</v>
      </c>
      <c r="T2342" s="11" t="str">
        <f>HYPERLINK("http://www.env.gov.bc.ca/esd/distdata/ecosystems/TEI_Scanned_Maps/R01/R01-260","http://www.env.gov.bc.ca/esd/distdata/ecosystems/TEI_Scanned_Maps/R01/R01-260")</f>
        <v>http://www.env.gov.bc.ca/esd/distdata/ecosystems/TEI_Scanned_Maps/R01/R01-260</v>
      </c>
      <c r="U2342" t="s">
        <v>58</v>
      </c>
      <c r="V2342" t="s">
        <v>58</v>
      </c>
      <c r="W2342" t="s">
        <v>58</v>
      </c>
      <c r="X2342" t="s">
        <v>58</v>
      </c>
      <c r="Y2342" t="s">
        <v>58</v>
      </c>
      <c r="Z2342" t="s">
        <v>58</v>
      </c>
      <c r="AA2342" t="s">
        <v>58</v>
      </c>
      <c r="AC2342" t="s">
        <v>58</v>
      </c>
      <c r="AE2342" t="s">
        <v>58</v>
      </c>
      <c r="AG2342" t="s">
        <v>63</v>
      </c>
      <c r="AH2342" s="11" t="str">
        <f t="shared" si="155"/>
        <v>mailto: soilterrain@victoria1.gov.bc.ca</v>
      </c>
    </row>
    <row r="2343" spans="1:34">
      <c r="A2343" t="s">
        <v>5418</v>
      </c>
      <c r="B2343" t="s">
        <v>56</v>
      </c>
      <c r="C2343" s="10" t="s">
        <v>5419</v>
      </c>
      <c r="D2343" t="s">
        <v>58</v>
      </c>
      <c r="E2343" t="s">
        <v>2952</v>
      </c>
      <c r="F2343" t="s">
        <v>5328</v>
      </c>
      <c r="G2343">
        <v>20000</v>
      </c>
      <c r="H2343">
        <v>1978</v>
      </c>
      <c r="I2343" t="s">
        <v>58</v>
      </c>
      <c r="J2343" t="s">
        <v>58</v>
      </c>
      <c r="K2343" t="s">
        <v>58</v>
      </c>
      <c r="L2343" t="s">
        <v>58</v>
      </c>
      <c r="M2343" t="s">
        <v>58</v>
      </c>
      <c r="P2343" t="s">
        <v>61</v>
      </c>
      <c r="Q2343" t="s">
        <v>58</v>
      </c>
      <c r="R2343" s="11" t="str">
        <f>HYPERLINK("\\imagefiles.bcgov\imagery\scanned_maps\moe_terrain_maps\Scanned_T_maps_all\R01\R01-267","\\imagefiles.bcgov\imagery\scanned_maps\moe_terrain_maps\Scanned_T_maps_all\R01\R01-267")</f>
        <v>\\imagefiles.bcgov\imagery\scanned_maps\moe_terrain_maps\Scanned_T_maps_all\R01\R01-267</v>
      </c>
      <c r="S2343" t="s">
        <v>62</v>
      </c>
      <c r="T2343" s="11" t="str">
        <f>HYPERLINK("http://www.env.gov.bc.ca/esd/distdata/ecosystems/TEI_Scanned_Maps/R01/R01-267","http://www.env.gov.bc.ca/esd/distdata/ecosystems/TEI_Scanned_Maps/R01/R01-267")</f>
        <v>http://www.env.gov.bc.ca/esd/distdata/ecosystems/TEI_Scanned_Maps/R01/R01-267</v>
      </c>
      <c r="U2343" t="s">
        <v>58</v>
      </c>
      <c r="V2343" t="s">
        <v>58</v>
      </c>
      <c r="W2343" t="s">
        <v>58</v>
      </c>
      <c r="X2343" t="s">
        <v>58</v>
      </c>
      <c r="Y2343" t="s">
        <v>58</v>
      </c>
      <c r="Z2343" t="s">
        <v>58</v>
      </c>
      <c r="AA2343" t="s">
        <v>58</v>
      </c>
      <c r="AC2343" t="s">
        <v>58</v>
      </c>
      <c r="AE2343" t="s">
        <v>58</v>
      </c>
      <c r="AG2343" t="s">
        <v>63</v>
      </c>
      <c r="AH2343" s="11" t="str">
        <f t="shared" si="155"/>
        <v>mailto: soilterrain@victoria1.gov.bc.ca</v>
      </c>
    </row>
    <row r="2344" spans="1:34">
      <c r="A2344" t="s">
        <v>5420</v>
      </c>
      <c r="B2344" t="s">
        <v>56</v>
      </c>
      <c r="C2344" s="10" t="s">
        <v>5421</v>
      </c>
      <c r="D2344" t="s">
        <v>58</v>
      </c>
      <c r="E2344" t="s">
        <v>2952</v>
      </c>
      <c r="F2344" t="s">
        <v>5328</v>
      </c>
      <c r="G2344">
        <v>20000</v>
      </c>
      <c r="H2344">
        <v>1980</v>
      </c>
      <c r="I2344" t="s">
        <v>58</v>
      </c>
      <c r="J2344" t="s">
        <v>58</v>
      </c>
      <c r="K2344" t="s">
        <v>58</v>
      </c>
      <c r="L2344" t="s">
        <v>58</v>
      </c>
      <c r="M2344" t="s">
        <v>58</v>
      </c>
      <c r="P2344" t="s">
        <v>61</v>
      </c>
      <c r="Q2344" t="s">
        <v>58</v>
      </c>
      <c r="R2344" s="11" t="str">
        <f>HYPERLINK("\\imagefiles.bcgov\imagery\scanned_maps\moe_terrain_maps\Scanned_T_maps_all\R01\R01-274","\\imagefiles.bcgov\imagery\scanned_maps\moe_terrain_maps\Scanned_T_maps_all\R01\R01-274")</f>
        <v>\\imagefiles.bcgov\imagery\scanned_maps\moe_terrain_maps\Scanned_T_maps_all\R01\R01-274</v>
      </c>
      <c r="S2344" t="s">
        <v>62</v>
      </c>
      <c r="T2344" s="11" t="str">
        <f>HYPERLINK("http://www.env.gov.bc.ca/esd/distdata/ecosystems/TEI_Scanned_Maps/R01/R01-274","http://www.env.gov.bc.ca/esd/distdata/ecosystems/TEI_Scanned_Maps/R01/R01-274")</f>
        <v>http://www.env.gov.bc.ca/esd/distdata/ecosystems/TEI_Scanned_Maps/R01/R01-274</v>
      </c>
      <c r="U2344" t="s">
        <v>58</v>
      </c>
      <c r="V2344" t="s">
        <v>58</v>
      </c>
      <c r="W2344" t="s">
        <v>58</v>
      </c>
      <c r="X2344" t="s">
        <v>58</v>
      </c>
      <c r="Y2344" t="s">
        <v>58</v>
      </c>
      <c r="Z2344" t="s">
        <v>58</v>
      </c>
      <c r="AA2344" t="s">
        <v>58</v>
      </c>
      <c r="AC2344" t="s">
        <v>58</v>
      </c>
      <c r="AE2344" t="s">
        <v>58</v>
      </c>
      <c r="AG2344" t="s">
        <v>63</v>
      </c>
      <c r="AH2344" s="11" t="str">
        <f t="shared" si="155"/>
        <v>mailto: soilterrain@victoria1.gov.bc.ca</v>
      </c>
    </row>
    <row r="2345" spans="1:34">
      <c r="A2345" t="s">
        <v>5422</v>
      </c>
      <c r="B2345" t="s">
        <v>56</v>
      </c>
      <c r="C2345" s="10" t="s">
        <v>5423</v>
      </c>
      <c r="D2345" t="s">
        <v>58</v>
      </c>
      <c r="E2345" t="s">
        <v>2952</v>
      </c>
      <c r="F2345" t="s">
        <v>5328</v>
      </c>
      <c r="G2345">
        <v>20000</v>
      </c>
      <c r="H2345">
        <v>1980</v>
      </c>
      <c r="I2345" t="s">
        <v>58</v>
      </c>
      <c r="J2345" t="s">
        <v>58</v>
      </c>
      <c r="K2345" t="s">
        <v>58</v>
      </c>
      <c r="L2345" t="s">
        <v>58</v>
      </c>
      <c r="M2345" t="s">
        <v>58</v>
      </c>
      <c r="P2345" t="s">
        <v>61</v>
      </c>
      <c r="Q2345" t="s">
        <v>58</v>
      </c>
      <c r="R2345" s="11" t="str">
        <f>HYPERLINK("\\imagefiles.bcgov\imagery\scanned_maps\moe_terrain_maps\Scanned_T_maps_all\R01\R01-281","\\imagefiles.bcgov\imagery\scanned_maps\moe_terrain_maps\Scanned_T_maps_all\R01\R01-281")</f>
        <v>\\imagefiles.bcgov\imagery\scanned_maps\moe_terrain_maps\Scanned_T_maps_all\R01\R01-281</v>
      </c>
      <c r="S2345" t="s">
        <v>62</v>
      </c>
      <c r="T2345" s="11" t="str">
        <f>HYPERLINK("http://www.env.gov.bc.ca/esd/distdata/ecosystems/TEI_Scanned_Maps/R01/R01-281","http://www.env.gov.bc.ca/esd/distdata/ecosystems/TEI_Scanned_Maps/R01/R01-281")</f>
        <v>http://www.env.gov.bc.ca/esd/distdata/ecosystems/TEI_Scanned_Maps/R01/R01-281</v>
      </c>
      <c r="U2345" t="s">
        <v>58</v>
      </c>
      <c r="V2345" t="s">
        <v>58</v>
      </c>
      <c r="W2345" t="s">
        <v>58</v>
      </c>
      <c r="X2345" t="s">
        <v>58</v>
      </c>
      <c r="Y2345" t="s">
        <v>58</v>
      </c>
      <c r="Z2345" t="s">
        <v>58</v>
      </c>
      <c r="AA2345" t="s">
        <v>58</v>
      </c>
      <c r="AC2345" t="s">
        <v>58</v>
      </c>
      <c r="AE2345" t="s">
        <v>58</v>
      </c>
      <c r="AG2345" t="s">
        <v>63</v>
      </c>
      <c r="AH2345" s="11" t="str">
        <f t="shared" si="155"/>
        <v>mailto: soilterrain@victoria1.gov.bc.ca</v>
      </c>
    </row>
    <row r="2346" spans="1:34">
      <c r="A2346" t="s">
        <v>5424</v>
      </c>
      <c r="B2346" t="s">
        <v>56</v>
      </c>
      <c r="C2346" s="10" t="s">
        <v>5425</v>
      </c>
      <c r="D2346" t="s">
        <v>58</v>
      </c>
      <c r="E2346" t="s">
        <v>2952</v>
      </c>
      <c r="F2346" t="s">
        <v>5328</v>
      </c>
      <c r="G2346">
        <v>20000</v>
      </c>
      <c r="H2346">
        <v>1980</v>
      </c>
      <c r="I2346" t="s">
        <v>58</v>
      </c>
      <c r="J2346" t="s">
        <v>58</v>
      </c>
      <c r="K2346" t="s">
        <v>58</v>
      </c>
      <c r="L2346" t="s">
        <v>58</v>
      </c>
      <c r="M2346" t="s">
        <v>58</v>
      </c>
      <c r="P2346" t="s">
        <v>61</v>
      </c>
      <c r="Q2346" t="s">
        <v>58</v>
      </c>
      <c r="R2346" s="11" t="str">
        <f>HYPERLINK("\\imagefiles.bcgov\imagery\scanned_maps\moe_terrain_maps\Scanned_T_maps_all\R01\R01-288","\\imagefiles.bcgov\imagery\scanned_maps\moe_terrain_maps\Scanned_T_maps_all\R01\R01-288")</f>
        <v>\\imagefiles.bcgov\imagery\scanned_maps\moe_terrain_maps\Scanned_T_maps_all\R01\R01-288</v>
      </c>
      <c r="S2346" t="s">
        <v>62</v>
      </c>
      <c r="T2346" s="11" t="str">
        <f>HYPERLINK("http://www.env.gov.bc.ca/esd/distdata/ecosystems/TEI_Scanned_Maps/R01/R01-288","http://www.env.gov.bc.ca/esd/distdata/ecosystems/TEI_Scanned_Maps/R01/R01-288")</f>
        <v>http://www.env.gov.bc.ca/esd/distdata/ecosystems/TEI_Scanned_Maps/R01/R01-288</v>
      </c>
      <c r="U2346" t="s">
        <v>58</v>
      </c>
      <c r="V2346" t="s">
        <v>58</v>
      </c>
      <c r="W2346" t="s">
        <v>58</v>
      </c>
      <c r="X2346" t="s">
        <v>58</v>
      </c>
      <c r="Y2346" t="s">
        <v>58</v>
      </c>
      <c r="Z2346" t="s">
        <v>58</v>
      </c>
      <c r="AA2346" t="s">
        <v>58</v>
      </c>
      <c r="AC2346" t="s">
        <v>58</v>
      </c>
      <c r="AE2346" t="s">
        <v>58</v>
      </c>
      <c r="AG2346" t="s">
        <v>63</v>
      </c>
      <c r="AH2346" s="11" t="str">
        <f t="shared" si="155"/>
        <v>mailto: soilterrain@victoria1.gov.bc.ca</v>
      </c>
    </row>
    <row r="2347" spans="1:34">
      <c r="A2347" t="s">
        <v>5426</v>
      </c>
      <c r="B2347" t="s">
        <v>56</v>
      </c>
      <c r="C2347" s="10" t="s">
        <v>5427</v>
      </c>
      <c r="D2347" t="s">
        <v>58</v>
      </c>
      <c r="E2347" t="s">
        <v>2952</v>
      </c>
      <c r="F2347" t="s">
        <v>5328</v>
      </c>
      <c r="G2347">
        <v>20000</v>
      </c>
      <c r="H2347">
        <v>1979</v>
      </c>
      <c r="I2347" t="s">
        <v>58</v>
      </c>
      <c r="J2347" t="s">
        <v>58</v>
      </c>
      <c r="K2347" t="s">
        <v>58</v>
      </c>
      <c r="L2347" t="s">
        <v>58</v>
      </c>
      <c r="M2347" t="s">
        <v>58</v>
      </c>
      <c r="P2347" t="s">
        <v>61</v>
      </c>
      <c r="Q2347" t="s">
        <v>58</v>
      </c>
      <c r="R2347" s="11" t="str">
        <f>HYPERLINK("\\imagefiles.bcgov\imagery\scanned_maps\moe_terrain_maps\Scanned_T_maps_all\R01\R01-296","\\imagefiles.bcgov\imagery\scanned_maps\moe_terrain_maps\Scanned_T_maps_all\R01\R01-296")</f>
        <v>\\imagefiles.bcgov\imagery\scanned_maps\moe_terrain_maps\Scanned_T_maps_all\R01\R01-296</v>
      </c>
      <c r="S2347" t="s">
        <v>62</v>
      </c>
      <c r="T2347" s="11" t="str">
        <f>HYPERLINK("http://www.env.gov.bc.ca/esd/distdata/ecosystems/TEI_Scanned_Maps/R01/R01-296","http://www.env.gov.bc.ca/esd/distdata/ecosystems/TEI_Scanned_Maps/R01/R01-296")</f>
        <v>http://www.env.gov.bc.ca/esd/distdata/ecosystems/TEI_Scanned_Maps/R01/R01-296</v>
      </c>
      <c r="U2347" t="s">
        <v>58</v>
      </c>
      <c r="V2347" t="s">
        <v>58</v>
      </c>
      <c r="W2347" t="s">
        <v>58</v>
      </c>
      <c r="X2347" t="s">
        <v>58</v>
      </c>
      <c r="Y2347" t="s">
        <v>58</v>
      </c>
      <c r="Z2347" t="s">
        <v>58</v>
      </c>
      <c r="AA2347" t="s">
        <v>58</v>
      </c>
      <c r="AC2347" t="s">
        <v>58</v>
      </c>
      <c r="AE2347" t="s">
        <v>58</v>
      </c>
      <c r="AG2347" t="s">
        <v>63</v>
      </c>
      <c r="AH2347" s="11" t="str">
        <f t="shared" si="155"/>
        <v>mailto: soilterrain@victoria1.gov.bc.ca</v>
      </c>
    </row>
    <row r="2348" spans="1:34">
      <c r="A2348" t="s">
        <v>5428</v>
      </c>
      <c r="B2348" t="s">
        <v>56</v>
      </c>
      <c r="C2348" s="10" t="s">
        <v>4613</v>
      </c>
      <c r="D2348" t="s">
        <v>58</v>
      </c>
      <c r="E2348" t="s">
        <v>2952</v>
      </c>
      <c r="F2348" t="s">
        <v>5328</v>
      </c>
      <c r="G2348">
        <v>20000</v>
      </c>
      <c r="H2348">
        <v>1978</v>
      </c>
      <c r="I2348" t="s">
        <v>58</v>
      </c>
      <c r="J2348" t="s">
        <v>58</v>
      </c>
      <c r="K2348" t="s">
        <v>58</v>
      </c>
      <c r="L2348" t="s">
        <v>58</v>
      </c>
      <c r="M2348" t="s">
        <v>58</v>
      </c>
      <c r="P2348" t="s">
        <v>61</v>
      </c>
      <c r="Q2348" t="s">
        <v>58</v>
      </c>
      <c r="R2348" s="11" t="str">
        <f>HYPERLINK("\\imagefiles.bcgov\imagery\scanned_maps\moe_terrain_maps\Scanned_T_maps_all\R01\R01-303","\\imagefiles.bcgov\imagery\scanned_maps\moe_terrain_maps\Scanned_T_maps_all\R01\R01-303")</f>
        <v>\\imagefiles.bcgov\imagery\scanned_maps\moe_terrain_maps\Scanned_T_maps_all\R01\R01-303</v>
      </c>
      <c r="S2348" t="s">
        <v>62</v>
      </c>
      <c r="T2348" s="11" t="str">
        <f>HYPERLINK("http://www.env.gov.bc.ca/esd/distdata/ecosystems/TEI_Scanned_Maps/R01/R01-303","http://www.env.gov.bc.ca/esd/distdata/ecosystems/TEI_Scanned_Maps/R01/R01-303")</f>
        <v>http://www.env.gov.bc.ca/esd/distdata/ecosystems/TEI_Scanned_Maps/R01/R01-303</v>
      </c>
      <c r="U2348" t="s">
        <v>58</v>
      </c>
      <c r="V2348" t="s">
        <v>58</v>
      </c>
      <c r="W2348" t="s">
        <v>58</v>
      </c>
      <c r="X2348" t="s">
        <v>58</v>
      </c>
      <c r="Y2348" t="s">
        <v>58</v>
      </c>
      <c r="Z2348" t="s">
        <v>58</v>
      </c>
      <c r="AA2348" t="s">
        <v>58</v>
      </c>
      <c r="AC2348" t="s">
        <v>58</v>
      </c>
      <c r="AE2348" t="s">
        <v>58</v>
      </c>
      <c r="AG2348" t="s">
        <v>63</v>
      </c>
      <c r="AH2348" s="11" t="str">
        <f t="shared" si="155"/>
        <v>mailto: soilterrain@victoria1.gov.bc.ca</v>
      </c>
    </row>
    <row r="2349" spans="1:34">
      <c r="A2349" t="s">
        <v>5429</v>
      </c>
      <c r="B2349" t="s">
        <v>56</v>
      </c>
      <c r="C2349" s="10" t="s">
        <v>5430</v>
      </c>
      <c r="D2349" t="s">
        <v>58</v>
      </c>
      <c r="E2349" t="s">
        <v>2952</v>
      </c>
      <c r="F2349" t="s">
        <v>5328</v>
      </c>
      <c r="G2349">
        <v>20000</v>
      </c>
      <c r="H2349">
        <v>1980</v>
      </c>
      <c r="I2349" t="s">
        <v>58</v>
      </c>
      <c r="J2349" t="s">
        <v>58</v>
      </c>
      <c r="K2349" t="s">
        <v>58</v>
      </c>
      <c r="L2349" t="s">
        <v>58</v>
      </c>
      <c r="M2349" t="s">
        <v>58</v>
      </c>
      <c r="P2349" t="s">
        <v>61</v>
      </c>
      <c r="Q2349" t="s">
        <v>58</v>
      </c>
      <c r="R2349" s="11" t="str">
        <f>HYPERLINK("\\imagefiles.bcgov\imagery\scanned_maps\moe_terrain_maps\Scanned_T_maps_all\R01\R01-310","\\imagefiles.bcgov\imagery\scanned_maps\moe_terrain_maps\Scanned_T_maps_all\R01\R01-310")</f>
        <v>\\imagefiles.bcgov\imagery\scanned_maps\moe_terrain_maps\Scanned_T_maps_all\R01\R01-310</v>
      </c>
      <c r="S2349" t="s">
        <v>62</v>
      </c>
      <c r="T2349" s="11" t="str">
        <f>HYPERLINK("http://www.env.gov.bc.ca/esd/distdata/ecosystems/TEI_Scanned_Maps/R01/R01-310","http://www.env.gov.bc.ca/esd/distdata/ecosystems/TEI_Scanned_Maps/R01/R01-310")</f>
        <v>http://www.env.gov.bc.ca/esd/distdata/ecosystems/TEI_Scanned_Maps/R01/R01-310</v>
      </c>
      <c r="U2349" t="s">
        <v>58</v>
      </c>
      <c r="V2349" t="s">
        <v>58</v>
      </c>
      <c r="W2349" t="s">
        <v>58</v>
      </c>
      <c r="X2349" t="s">
        <v>58</v>
      </c>
      <c r="Y2349" t="s">
        <v>58</v>
      </c>
      <c r="Z2349" t="s">
        <v>58</v>
      </c>
      <c r="AA2349" t="s">
        <v>58</v>
      </c>
      <c r="AC2349" t="s">
        <v>58</v>
      </c>
      <c r="AE2349" t="s">
        <v>58</v>
      </c>
      <c r="AG2349" t="s">
        <v>63</v>
      </c>
      <c r="AH2349" s="11" t="str">
        <f t="shared" si="155"/>
        <v>mailto: soilterrain@victoria1.gov.bc.ca</v>
      </c>
    </row>
    <row r="2350" spans="1:34">
      <c r="A2350" t="s">
        <v>5431</v>
      </c>
      <c r="B2350" t="s">
        <v>56</v>
      </c>
      <c r="C2350" s="10" t="s">
        <v>5432</v>
      </c>
      <c r="D2350" t="s">
        <v>58</v>
      </c>
      <c r="E2350" t="s">
        <v>2952</v>
      </c>
      <c r="F2350" t="s">
        <v>5328</v>
      </c>
      <c r="G2350">
        <v>20000</v>
      </c>
      <c r="H2350">
        <v>1983</v>
      </c>
      <c r="I2350" t="s">
        <v>58</v>
      </c>
      <c r="J2350" t="s">
        <v>58</v>
      </c>
      <c r="K2350" t="s">
        <v>58</v>
      </c>
      <c r="L2350" t="s">
        <v>58</v>
      </c>
      <c r="M2350" t="s">
        <v>58</v>
      </c>
      <c r="P2350" t="s">
        <v>61</v>
      </c>
      <c r="Q2350" t="s">
        <v>58</v>
      </c>
      <c r="R2350" s="11" t="str">
        <f>HYPERLINK("\\imagefiles.bcgov\imagery\scanned_maps\moe_terrain_maps\Scanned_T_maps_all\R01\R01-653","\\imagefiles.bcgov\imagery\scanned_maps\moe_terrain_maps\Scanned_T_maps_all\R01\R01-653")</f>
        <v>\\imagefiles.bcgov\imagery\scanned_maps\moe_terrain_maps\Scanned_T_maps_all\R01\R01-653</v>
      </c>
      <c r="S2350" t="s">
        <v>62</v>
      </c>
      <c r="T2350" s="11" t="str">
        <f>HYPERLINK("http://www.env.gov.bc.ca/esd/distdata/ecosystems/TEI_Scanned_Maps/R01/R01-653","http://www.env.gov.bc.ca/esd/distdata/ecosystems/TEI_Scanned_Maps/R01/R01-653")</f>
        <v>http://www.env.gov.bc.ca/esd/distdata/ecosystems/TEI_Scanned_Maps/R01/R01-653</v>
      </c>
      <c r="U2350" t="s">
        <v>58</v>
      </c>
      <c r="V2350" t="s">
        <v>58</v>
      </c>
      <c r="W2350" t="s">
        <v>58</v>
      </c>
      <c r="X2350" t="s">
        <v>58</v>
      </c>
      <c r="Y2350" t="s">
        <v>58</v>
      </c>
      <c r="Z2350" t="s">
        <v>58</v>
      </c>
      <c r="AA2350" t="s">
        <v>58</v>
      </c>
      <c r="AC2350" t="s">
        <v>58</v>
      </c>
      <c r="AE2350" t="s">
        <v>58</v>
      </c>
      <c r="AG2350" t="s">
        <v>63</v>
      </c>
      <c r="AH2350" s="11" t="str">
        <f t="shared" si="155"/>
        <v>mailto: soilterrain@victoria1.gov.bc.ca</v>
      </c>
    </row>
    <row r="2351" spans="1:34">
      <c r="A2351" t="s">
        <v>5433</v>
      </c>
      <c r="B2351" t="s">
        <v>56</v>
      </c>
      <c r="C2351" s="10" t="s">
        <v>5434</v>
      </c>
      <c r="D2351" t="s">
        <v>58</v>
      </c>
      <c r="E2351" t="s">
        <v>2952</v>
      </c>
      <c r="F2351" t="s">
        <v>5328</v>
      </c>
      <c r="G2351">
        <v>20000</v>
      </c>
      <c r="H2351" t="s">
        <v>187</v>
      </c>
      <c r="I2351" t="s">
        <v>58</v>
      </c>
      <c r="J2351" t="s">
        <v>58</v>
      </c>
      <c r="K2351" t="s">
        <v>58</v>
      </c>
      <c r="L2351" t="s">
        <v>58</v>
      </c>
      <c r="M2351" t="s">
        <v>58</v>
      </c>
      <c r="P2351" t="s">
        <v>61</v>
      </c>
      <c r="Q2351" t="s">
        <v>58</v>
      </c>
      <c r="R2351" s="11" t="str">
        <f>HYPERLINK("\\imagefiles.bcgov\imagery\scanned_maps\moe_terrain_maps\Scanned_T_maps_all\R01\R01-660","\\imagefiles.bcgov\imagery\scanned_maps\moe_terrain_maps\Scanned_T_maps_all\R01\R01-660")</f>
        <v>\\imagefiles.bcgov\imagery\scanned_maps\moe_terrain_maps\Scanned_T_maps_all\R01\R01-660</v>
      </c>
      <c r="S2351" t="s">
        <v>62</v>
      </c>
      <c r="T2351" s="11" t="str">
        <f>HYPERLINK("http://www.env.gov.bc.ca/esd/distdata/ecosystems/TEI_Scanned_Maps/R01/R01-660","http://www.env.gov.bc.ca/esd/distdata/ecosystems/TEI_Scanned_Maps/R01/R01-660")</f>
        <v>http://www.env.gov.bc.ca/esd/distdata/ecosystems/TEI_Scanned_Maps/R01/R01-660</v>
      </c>
      <c r="U2351" t="s">
        <v>58</v>
      </c>
      <c r="V2351" t="s">
        <v>58</v>
      </c>
      <c r="W2351" t="s">
        <v>58</v>
      </c>
      <c r="X2351" t="s">
        <v>58</v>
      </c>
      <c r="Y2351" t="s">
        <v>58</v>
      </c>
      <c r="Z2351" t="s">
        <v>58</v>
      </c>
      <c r="AA2351" t="s">
        <v>58</v>
      </c>
      <c r="AC2351" t="s">
        <v>58</v>
      </c>
      <c r="AE2351" t="s">
        <v>58</v>
      </c>
      <c r="AG2351" t="s">
        <v>63</v>
      </c>
      <c r="AH2351" s="11" t="str">
        <f t="shared" si="155"/>
        <v>mailto: soilterrain@victoria1.gov.bc.ca</v>
      </c>
    </row>
    <row r="2352" spans="1:34">
      <c r="A2352" t="s">
        <v>5435</v>
      </c>
      <c r="B2352" t="s">
        <v>56</v>
      </c>
      <c r="C2352" s="10" t="s">
        <v>5436</v>
      </c>
      <c r="D2352" t="s">
        <v>58</v>
      </c>
      <c r="E2352" t="s">
        <v>2952</v>
      </c>
      <c r="F2352" t="s">
        <v>5328</v>
      </c>
      <c r="G2352">
        <v>20000</v>
      </c>
      <c r="H2352" t="s">
        <v>187</v>
      </c>
      <c r="I2352" t="s">
        <v>58</v>
      </c>
      <c r="J2352" t="s">
        <v>58</v>
      </c>
      <c r="K2352" t="s">
        <v>58</v>
      </c>
      <c r="L2352" t="s">
        <v>58</v>
      </c>
      <c r="M2352" t="s">
        <v>58</v>
      </c>
      <c r="P2352" t="s">
        <v>61</v>
      </c>
      <c r="Q2352" t="s">
        <v>58</v>
      </c>
      <c r="R2352" s="11" t="str">
        <f>HYPERLINK("\\imagefiles.bcgov\imagery\scanned_maps\moe_terrain_maps\Scanned_T_maps_all\R01\R01-667","\\imagefiles.bcgov\imagery\scanned_maps\moe_terrain_maps\Scanned_T_maps_all\R01\R01-667")</f>
        <v>\\imagefiles.bcgov\imagery\scanned_maps\moe_terrain_maps\Scanned_T_maps_all\R01\R01-667</v>
      </c>
      <c r="S2352" t="s">
        <v>62</v>
      </c>
      <c r="T2352" s="11" t="str">
        <f>HYPERLINK("http://www.env.gov.bc.ca/esd/distdata/ecosystems/TEI_Scanned_Maps/R01/R01-667","http://www.env.gov.bc.ca/esd/distdata/ecosystems/TEI_Scanned_Maps/R01/R01-667")</f>
        <v>http://www.env.gov.bc.ca/esd/distdata/ecosystems/TEI_Scanned_Maps/R01/R01-667</v>
      </c>
      <c r="U2352" t="s">
        <v>58</v>
      </c>
      <c r="V2352" t="s">
        <v>58</v>
      </c>
      <c r="W2352" t="s">
        <v>58</v>
      </c>
      <c r="X2352" t="s">
        <v>58</v>
      </c>
      <c r="Y2352" t="s">
        <v>58</v>
      </c>
      <c r="Z2352" t="s">
        <v>58</v>
      </c>
      <c r="AA2352" t="s">
        <v>58</v>
      </c>
      <c r="AC2352" t="s">
        <v>58</v>
      </c>
      <c r="AE2352" t="s">
        <v>58</v>
      </c>
      <c r="AG2352" t="s">
        <v>63</v>
      </c>
      <c r="AH2352" s="11" t="str">
        <f t="shared" si="155"/>
        <v>mailto: soilterrain@victoria1.gov.bc.ca</v>
      </c>
    </row>
    <row r="2353" spans="1:34">
      <c r="A2353" t="s">
        <v>5437</v>
      </c>
      <c r="B2353" t="s">
        <v>56</v>
      </c>
      <c r="C2353" s="10" t="s">
        <v>5438</v>
      </c>
      <c r="D2353" t="s">
        <v>58</v>
      </c>
      <c r="E2353" t="s">
        <v>2952</v>
      </c>
      <c r="F2353" t="s">
        <v>5328</v>
      </c>
      <c r="G2353">
        <v>20000</v>
      </c>
      <c r="H2353" t="s">
        <v>187</v>
      </c>
      <c r="I2353" t="s">
        <v>58</v>
      </c>
      <c r="J2353" t="s">
        <v>58</v>
      </c>
      <c r="K2353" t="s">
        <v>58</v>
      </c>
      <c r="L2353" t="s">
        <v>58</v>
      </c>
      <c r="M2353" t="s">
        <v>58</v>
      </c>
      <c r="P2353" t="s">
        <v>61</v>
      </c>
      <c r="Q2353" t="s">
        <v>58</v>
      </c>
      <c r="R2353" s="11" t="str">
        <f>HYPERLINK("\\imagefiles.bcgov\imagery\scanned_maps\moe_terrain_maps\Scanned_T_maps_all\R01\R01-674","\\imagefiles.bcgov\imagery\scanned_maps\moe_terrain_maps\Scanned_T_maps_all\R01\R01-674")</f>
        <v>\\imagefiles.bcgov\imagery\scanned_maps\moe_terrain_maps\Scanned_T_maps_all\R01\R01-674</v>
      </c>
      <c r="S2353" t="s">
        <v>62</v>
      </c>
      <c r="T2353" s="11" t="str">
        <f>HYPERLINK("http://www.env.gov.bc.ca/esd/distdata/ecosystems/TEI_Scanned_Maps/R01/R01-674","http://www.env.gov.bc.ca/esd/distdata/ecosystems/TEI_Scanned_Maps/R01/R01-674")</f>
        <v>http://www.env.gov.bc.ca/esd/distdata/ecosystems/TEI_Scanned_Maps/R01/R01-674</v>
      </c>
      <c r="U2353" t="s">
        <v>58</v>
      </c>
      <c r="V2353" t="s">
        <v>58</v>
      </c>
      <c r="W2353" t="s">
        <v>58</v>
      </c>
      <c r="X2353" t="s">
        <v>58</v>
      </c>
      <c r="Y2353" t="s">
        <v>58</v>
      </c>
      <c r="Z2353" t="s">
        <v>58</v>
      </c>
      <c r="AA2353" t="s">
        <v>58</v>
      </c>
      <c r="AC2353" t="s">
        <v>58</v>
      </c>
      <c r="AE2353" t="s">
        <v>58</v>
      </c>
      <c r="AG2353" t="s">
        <v>63</v>
      </c>
      <c r="AH2353" s="11" t="str">
        <f t="shared" si="155"/>
        <v>mailto: soilterrain@victoria1.gov.bc.ca</v>
      </c>
    </row>
    <row r="2354" spans="1:34">
      <c r="A2354" t="s">
        <v>5439</v>
      </c>
      <c r="B2354" t="s">
        <v>56</v>
      </c>
      <c r="C2354" s="10" t="s">
        <v>5440</v>
      </c>
      <c r="D2354" t="s">
        <v>58</v>
      </c>
      <c r="E2354" t="s">
        <v>2952</v>
      </c>
      <c r="F2354" t="s">
        <v>5328</v>
      </c>
      <c r="G2354">
        <v>20000</v>
      </c>
      <c r="H2354" t="s">
        <v>187</v>
      </c>
      <c r="I2354" t="s">
        <v>58</v>
      </c>
      <c r="J2354" t="s">
        <v>58</v>
      </c>
      <c r="K2354" t="s">
        <v>58</v>
      </c>
      <c r="L2354" t="s">
        <v>58</v>
      </c>
      <c r="M2354" t="s">
        <v>58</v>
      </c>
      <c r="P2354" t="s">
        <v>61</v>
      </c>
      <c r="Q2354" t="s">
        <v>58</v>
      </c>
      <c r="R2354" s="11" t="str">
        <f>HYPERLINK("\\imagefiles.bcgov\imagery\scanned_maps\moe_terrain_maps\Scanned_T_maps_all\R01\R01-681","\\imagefiles.bcgov\imagery\scanned_maps\moe_terrain_maps\Scanned_T_maps_all\R01\R01-681")</f>
        <v>\\imagefiles.bcgov\imagery\scanned_maps\moe_terrain_maps\Scanned_T_maps_all\R01\R01-681</v>
      </c>
      <c r="S2354" t="s">
        <v>62</v>
      </c>
      <c r="T2354" s="11" t="str">
        <f>HYPERLINK("http://www.env.gov.bc.ca/esd/distdata/ecosystems/TEI_Scanned_Maps/R01/R01-681","http://www.env.gov.bc.ca/esd/distdata/ecosystems/TEI_Scanned_Maps/R01/R01-681")</f>
        <v>http://www.env.gov.bc.ca/esd/distdata/ecosystems/TEI_Scanned_Maps/R01/R01-681</v>
      </c>
      <c r="U2354" t="s">
        <v>58</v>
      </c>
      <c r="V2354" t="s">
        <v>58</v>
      </c>
      <c r="W2354" t="s">
        <v>58</v>
      </c>
      <c r="X2354" t="s">
        <v>58</v>
      </c>
      <c r="Y2354" t="s">
        <v>58</v>
      </c>
      <c r="Z2354" t="s">
        <v>58</v>
      </c>
      <c r="AA2354" t="s">
        <v>58</v>
      </c>
      <c r="AC2354" t="s">
        <v>58</v>
      </c>
      <c r="AE2354" t="s">
        <v>58</v>
      </c>
      <c r="AG2354" t="s">
        <v>63</v>
      </c>
      <c r="AH2354" s="11" t="str">
        <f t="shared" si="155"/>
        <v>mailto: soilterrain@victoria1.gov.bc.ca</v>
      </c>
    </row>
    <row r="2355" spans="1:34">
      <c r="A2355" t="s">
        <v>5441</v>
      </c>
      <c r="B2355" t="s">
        <v>56</v>
      </c>
      <c r="C2355" s="10" t="s">
        <v>5442</v>
      </c>
      <c r="D2355" t="s">
        <v>58</v>
      </c>
      <c r="E2355" t="s">
        <v>2952</v>
      </c>
      <c r="F2355" t="s">
        <v>5328</v>
      </c>
      <c r="G2355">
        <v>20000</v>
      </c>
      <c r="H2355">
        <v>1979</v>
      </c>
      <c r="I2355" t="s">
        <v>58</v>
      </c>
      <c r="J2355" t="s">
        <v>58</v>
      </c>
      <c r="K2355" t="s">
        <v>58</v>
      </c>
      <c r="L2355" t="s">
        <v>58</v>
      </c>
      <c r="M2355" t="s">
        <v>58</v>
      </c>
      <c r="P2355" t="s">
        <v>61</v>
      </c>
      <c r="Q2355" t="s">
        <v>58</v>
      </c>
      <c r="R2355" s="11" t="str">
        <f>HYPERLINK("\\imagefiles.bcgov\imagery\scanned_maps\moe_terrain_maps\Scanned_T_maps_all\R01\R01-688","\\imagefiles.bcgov\imagery\scanned_maps\moe_terrain_maps\Scanned_T_maps_all\R01\R01-688")</f>
        <v>\\imagefiles.bcgov\imagery\scanned_maps\moe_terrain_maps\Scanned_T_maps_all\R01\R01-688</v>
      </c>
      <c r="S2355" t="s">
        <v>62</v>
      </c>
      <c r="T2355" s="11" t="str">
        <f>HYPERLINK("http://www.env.gov.bc.ca/esd/distdata/ecosystems/TEI_Scanned_Maps/R01/R01-688","http://www.env.gov.bc.ca/esd/distdata/ecosystems/TEI_Scanned_Maps/R01/R01-688")</f>
        <v>http://www.env.gov.bc.ca/esd/distdata/ecosystems/TEI_Scanned_Maps/R01/R01-688</v>
      </c>
      <c r="U2355" t="s">
        <v>58</v>
      </c>
      <c r="V2355" t="s">
        <v>58</v>
      </c>
      <c r="W2355" t="s">
        <v>58</v>
      </c>
      <c r="X2355" t="s">
        <v>58</v>
      </c>
      <c r="Y2355" t="s">
        <v>58</v>
      </c>
      <c r="Z2355" t="s">
        <v>58</v>
      </c>
      <c r="AA2355" t="s">
        <v>58</v>
      </c>
      <c r="AC2355" t="s">
        <v>58</v>
      </c>
      <c r="AE2355" t="s">
        <v>58</v>
      </c>
      <c r="AG2355" t="s">
        <v>63</v>
      </c>
      <c r="AH2355" s="11" t="str">
        <f t="shared" si="155"/>
        <v>mailto: soilterrain@victoria1.gov.bc.ca</v>
      </c>
    </row>
    <row r="2356" spans="1:34">
      <c r="A2356" t="s">
        <v>5443</v>
      </c>
      <c r="B2356" t="s">
        <v>56</v>
      </c>
      <c r="C2356" s="10" t="s">
        <v>5444</v>
      </c>
      <c r="D2356" t="s">
        <v>58</v>
      </c>
      <c r="E2356" t="s">
        <v>2952</v>
      </c>
      <c r="F2356" t="s">
        <v>5328</v>
      </c>
      <c r="G2356">
        <v>20000</v>
      </c>
      <c r="H2356">
        <v>1979</v>
      </c>
      <c r="I2356" t="s">
        <v>58</v>
      </c>
      <c r="J2356" t="s">
        <v>58</v>
      </c>
      <c r="K2356" t="s">
        <v>58</v>
      </c>
      <c r="L2356" t="s">
        <v>58</v>
      </c>
      <c r="M2356" t="s">
        <v>58</v>
      </c>
      <c r="P2356" t="s">
        <v>61</v>
      </c>
      <c r="Q2356" t="s">
        <v>58</v>
      </c>
      <c r="R2356" s="11" t="str">
        <f>HYPERLINK("\\imagefiles.bcgov\imagery\scanned_maps\moe_terrain_maps\Scanned_T_maps_all\R01\R01-695","\\imagefiles.bcgov\imagery\scanned_maps\moe_terrain_maps\Scanned_T_maps_all\R01\R01-695")</f>
        <v>\\imagefiles.bcgov\imagery\scanned_maps\moe_terrain_maps\Scanned_T_maps_all\R01\R01-695</v>
      </c>
      <c r="S2356" t="s">
        <v>62</v>
      </c>
      <c r="T2356" s="11" t="str">
        <f>HYPERLINK("http://www.env.gov.bc.ca/esd/distdata/ecosystems/TEI_Scanned_Maps/R01/R01-695","http://www.env.gov.bc.ca/esd/distdata/ecosystems/TEI_Scanned_Maps/R01/R01-695")</f>
        <v>http://www.env.gov.bc.ca/esd/distdata/ecosystems/TEI_Scanned_Maps/R01/R01-695</v>
      </c>
      <c r="U2356" t="s">
        <v>58</v>
      </c>
      <c r="V2356" t="s">
        <v>58</v>
      </c>
      <c r="W2356" t="s">
        <v>58</v>
      </c>
      <c r="X2356" t="s">
        <v>58</v>
      </c>
      <c r="Y2356" t="s">
        <v>58</v>
      </c>
      <c r="Z2356" t="s">
        <v>58</v>
      </c>
      <c r="AA2356" t="s">
        <v>58</v>
      </c>
      <c r="AC2356" t="s">
        <v>58</v>
      </c>
      <c r="AE2356" t="s">
        <v>58</v>
      </c>
      <c r="AG2356" t="s">
        <v>63</v>
      </c>
      <c r="AH2356" s="11" t="str">
        <f t="shared" si="155"/>
        <v>mailto: soilterrain@victoria1.gov.bc.ca</v>
      </c>
    </row>
    <row r="2357" spans="1:34">
      <c r="A2357" t="s">
        <v>5445</v>
      </c>
      <c r="B2357" t="s">
        <v>56</v>
      </c>
      <c r="C2357" s="10" t="s">
        <v>4653</v>
      </c>
      <c r="D2357" t="s">
        <v>58</v>
      </c>
      <c r="E2357" t="s">
        <v>2952</v>
      </c>
      <c r="F2357" t="s">
        <v>5328</v>
      </c>
      <c r="G2357">
        <v>20000</v>
      </c>
      <c r="H2357">
        <v>1974</v>
      </c>
      <c r="I2357" t="s">
        <v>58</v>
      </c>
      <c r="J2357" t="s">
        <v>58</v>
      </c>
      <c r="K2357" t="s">
        <v>58</v>
      </c>
      <c r="L2357" t="s">
        <v>58</v>
      </c>
      <c r="M2357" t="s">
        <v>58</v>
      </c>
      <c r="P2357" t="s">
        <v>61</v>
      </c>
      <c r="Q2357" t="s">
        <v>58</v>
      </c>
      <c r="R2357" s="11" t="str">
        <f>HYPERLINK("\\imagefiles.bcgov\imagery\scanned_maps\moe_terrain_maps\Scanned_T_maps_all\R01\R01-702","\\imagefiles.bcgov\imagery\scanned_maps\moe_terrain_maps\Scanned_T_maps_all\R01\R01-702")</f>
        <v>\\imagefiles.bcgov\imagery\scanned_maps\moe_terrain_maps\Scanned_T_maps_all\R01\R01-702</v>
      </c>
      <c r="S2357" t="s">
        <v>62</v>
      </c>
      <c r="T2357" s="11" t="str">
        <f>HYPERLINK("http://www.env.gov.bc.ca/esd/distdata/ecosystems/TEI_Scanned_Maps/R01/R01-702","http://www.env.gov.bc.ca/esd/distdata/ecosystems/TEI_Scanned_Maps/R01/R01-702")</f>
        <v>http://www.env.gov.bc.ca/esd/distdata/ecosystems/TEI_Scanned_Maps/R01/R01-702</v>
      </c>
      <c r="U2357" t="s">
        <v>58</v>
      </c>
      <c r="V2357" t="s">
        <v>58</v>
      </c>
      <c r="W2357" t="s">
        <v>58</v>
      </c>
      <c r="X2357" t="s">
        <v>58</v>
      </c>
      <c r="Y2357" t="s">
        <v>58</v>
      </c>
      <c r="Z2357" t="s">
        <v>58</v>
      </c>
      <c r="AA2357" t="s">
        <v>58</v>
      </c>
      <c r="AC2357" t="s">
        <v>58</v>
      </c>
      <c r="AE2357" t="s">
        <v>58</v>
      </c>
      <c r="AG2357" t="s">
        <v>63</v>
      </c>
      <c r="AH2357" s="11" t="str">
        <f t="shared" si="155"/>
        <v>mailto: soilterrain@victoria1.gov.bc.ca</v>
      </c>
    </row>
    <row r="2358" spans="1:34">
      <c r="A2358" t="s">
        <v>5446</v>
      </c>
      <c r="B2358" t="s">
        <v>56</v>
      </c>
      <c r="C2358" s="10" t="s">
        <v>5447</v>
      </c>
      <c r="D2358" t="s">
        <v>58</v>
      </c>
      <c r="E2358" t="s">
        <v>2952</v>
      </c>
      <c r="F2358" t="s">
        <v>5328</v>
      </c>
      <c r="G2358">
        <v>20000</v>
      </c>
      <c r="H2358">
        <v>1974</v>
      </c>
      <c r="I2358" t="s">
        <v>58</v>
      </c>
      <c r="J2358" t="s">
        <v>58</v>
      </c>
      <c r="K2358" t="s">
        <v>58</v>
      </c>
      <c r="L2358" t="s">
        <v>58</v>
      </c>
      <c r="M2358" t="s">
        <v>58</v>
      </c>
      <c r="P2358" t="s">
        <v>61</v>
      </c>
      <c r="Q2358" t="s">
        <v>58</v>
      </c>
      <c r="R2358" s="11" t="str">
        <f>HYPERLINK("\\imagefiles.bcgov\imagery\scanned_maps\moe_terrain_maps\Scanned_T_maps_all\R01\R01-709","\\imagefiles.bcgov\imagery\scanned_maps\moe_terrain_maps\Scanned_T_maps_all\R01\R01-709")</f>
        <v>\\imagefiles.bcgov\imagery\scanned_maps\moe_terrain_maps\Scanned_T_maps_all\R01\R01-709</v>
      </c>
      <c r="S2358" t="s">
        <v>62</v>
      </c>
      <c r="T2358" s="11" t="str">
        <f>HYPERLINK("http://www.env.gov.bc.ca/esd/distdata/ecosystems/TEI_Scanned_Maps/R01/R01-709","http://www.env.gov.bc.ca/esd/distdata/ecosystems/TEI_Scanned_Maps/R01/R01-709")</f>
        <v>http://www.env.gov.bc.ca/esd/distdata/ecosystems/TEI_Scanned_Maps/R01/R01-709</v>
      </c>
      <c r="U2358" t="s">
        <v>58</v>
      </c>
      <c r="V2358" t="s">
        <v>58</v>
      </c>
      <c r="W2358" t="s">
        <v>58</v>
      </c>
      <c r="X2358" t="s">
        <v>58</v>
      </c>
      <c r="Y2358" t="s">
        <v>58</v>
      </c>
      <c r="Z2358" t="s">
        <v>58</v>
      </c>
      <c r="AA2358" t="s">
        <v>58</v>
      </c>
      <c r="AC2358" t="s">
        <v>58</v>
      </c>
      <c r="AE2358" t="s">
        <v>58</v>
      </c>
      <c r="AG2358" t="s">
        <v>63</v>
      </c>
      <c r="AH2358" s="11" t="str">
        <f t="shared" si="155"/>
        <v>mailto: soilterrain@victoria1.gov.bc.ca</v>
      </c>
    </row>
    <row r="2359" spans="1:34">
      <c r="A2359" t="s">
        <v>5448</v>
      </c>
      <c r="B2359" t="s">
        <v>56</v>
      </c>
      <c r="C2359" s="10" t="s">
        <v>5449</v>
      </c>
      <c r="D2359" t="s">
        <v>58</v>
      </c>
      <c r="E2359" t="s">
        <v>2952</v>
      </c>
      <c r="F2359" t="s">
        <v>5328</v>
      </c>
      <c r="G2359">
        <v>20000</v>
      </c>
      <c r="H2359">
        <v>1979</v>
      </c>
      <c r="I2359" t="s">
        <v>58</v>
      </c>
      <c r="J2359" t="s">
        <v>58</v>
      </c>
      <c r="K2359" t="s">
        <v>58</v>
      </c>
      <c r="L2359" t="s">
        <v>58</v>
      </c>
      <c r="M2359" t="s">
        <v>58</v>
      </c>
      <c r="P2359" t="s">
        <v>61</v>
      </c>
      <c r="Q2359" t="s">
        <v>58</v>
      </c>
      <c r="R2359" s="11" t="str">
        <f>HYPERLINK("\\imagefiles.bcgov\imagery\scanned_maps\moe_terrain_maps\Scanned_T_maps_all\R01\R01-717","\\imagefiles.bcgov\imagery\scanned_maps\moe_terrain_maps\Scanned_T_maps_all\R01\R01-717")</f>
        <v>\\imagefiles.bcgov\imagery\scanned_maps\moe_terrain_maps\Scanned_T_maps_all\R01\R01-717</v>
      </c>
      <c r="S2359" t="s">
        <v>62</v>
      </c>
      <c r="T2359" s="11" t="str">
        <f>HYPERLINK("http://www.env.gov.bc.ca/esd/distdata/ecosystems/TEI_Scanned_Maps/R01/R01-717","http://www.env.gov.bc.ca/esd/distdata/ecosystems/TEI_Scanned_Maps/R01/R01-717")</f>
        <v>http://www.env.gov.bc.ca/esd/distdata/ecosystems/TEI_Scanned_Maps/R01/R01-717</v>
      </c>
      <c r="U2359" t="s">
        <v>58</v>
      </c>
      <c r="V2359" t="s">
        <v>58</v>
      </c>
      <c r="W2359" t="s">
        <v>58</v>
      </c>
      <c r="X2359" t="s">
        <v>58</v>
      </c>
      <c r="Y2359" t="s">
        <v>58</v>
      </c>
      <c r="Z2359" t="s">
        <v>58</v>
      </c>
      <c r="AA2359" t="s">
        <v>58</v>
      </c>
      <c r="AC2359" t="s">
        <v>58</v>
      </c>
      <c r="AE2359" t="s">
        <v>58</v>
      </c>
      <c r="AG2359" t="s">
        <v>63</v>
      </c>
      <c r="AH2359" s="11" t="str">
        <f t="shared" si="155"/>
        <v>mailto: soilterrain@victoria1.gov.bc.ca</v>
      </c>
    </row>
    <row r="2360" spans="1:34">
      <c r="A2360" t="s">
        <v>5450</v>
      </c>
      <c r="B2360" t="s">
        <v>56</v>
      </c>
      <c r="C2360" s="10" t="s">
        <v>4904</v>
      </c>
      <c r="D2360" t="s">
        <v>58</v>
      </c>
      <c r="E2360" t="s">
        <v>2952</v>
      </c>
      <c r="F2360" t="s">
        <v>5328</v>
      </c>
      <c r="G2360">
        <v>20000</v>
      </c>
      <c r="H2360">
        <v>1974</v>
      </c>
      <c r="I2360" t="s">
        <v>58</v>
      </c>
      <c r="J2360" t="s">
        <v>58</v>
      </c>
      <c r="K2360" t="s">
        <v>58</v>
      </c>
      <c r="L2360" t="s">
        <v>58</v>
      </c>
      <c r="M2360" t="s">
        <v>58</v>
      </c>
      <c r="P2360" t="s">
        <v>61</v>
      </c>
      <c r="Q2360" t="s">
        <v>58</v>
      </c>
      <c r="R2360" s="11" t="str">
        <f>HYPERLINK("\\imagefiles.bcgov\imagery\scanned_maps\moe_terrain_maps\Scanned_T_maps_all\R01\R01-725","\\imagefiles.bcgov\imagery\scanned_maps\moe_terrain_maps\Scanned_T_maps_all\R01\R01-725")</f>
        <v>\\imagefiles.bcgov\imagery\scanned_maps\moe_terrain_maps\Scanned_T_maps_all\R01\R01-725</v>
      </c>
      <c r="S2360" t="s">
        <v>62</v>
      </c>
      <c r="T2360" s="11" t="str">
        <f>HYPERLINK("http://www.env.gov.bc.ca/esd/distdata/ecosystems/TEI_Scanned_Maps/R01/R01-725","http://www.env.gov.bc.ca/esd/distdata/ecosystems/TEI_Scanned_Maps/R01/R01-725")</f>
        <v>http://www.env.gov.bc.ca/esd/distdata/ecosystems/TEI_Scanned_Maps/R01/R01-725</v>
      </c>
      <c r="U2360" t="s">
        <v>58</v>
      </c>
      <c r="V2360" t="s">
        <v>58</v>
      </c>
      <c r="W2360" t="s">
        <v>58</v>
      </c>
      <c r="X2360" t="s">
        <v>58</v>
      </c>
      <c r="Y2360" t="s">
        <v>58</v>
      </c>
      <c r="Z2360" t="s">
        <v>58</v>
      </c>
      <c r="AA2360" t="s">
        <v>58</v>
      </c>
      <c r="AC2360" t="s">
        <v>58</v>
      </c>
      <c r="AE2360" t="s">
        <v>58</v>
      </c>
      <c r="AG2360" t="s">
        <v>63</v>
      </c>
      <c r="AH2360" s="11" t="str">
        <f t="shared" si="155"/>
        <v>mailto: soilterrain@victoria1.gov.bc.ca</v>
      </c>
    </row>
    <row r="2361" spans="1:34">
      <c r="A2361" t="s">
        <v>5451</v>
      </c>
      <c r="B2361" t="s">
        <v>56</v>
      </c>
      <c r="C2361" s="10" t="s">
        <v>5452</v>
      </c>
      <c r="D2361" t="s">
        <v>58</v>
      </c>
      <c r="E2361" t="s">
        <v>2952</v>
      </c>
      <c r="F2361" t="s">
        <v>5328</v>
      </c>
      <c r="G2361">
        <v>20000</v>
      </c>
      <c r="H2361">
        <v>1979</v>
      </c>
      <c r="I2361" t="s">
        <v>58</v>
      </c>
      <c r="J2361" t="s">
        <v>58</v>
      </c>
      <c r="K2361" t="s">
        <v>58</v>
      </c>
      <c r="L2361" t="s">
        <v>58</v>
      </c>
      <c r="M2361" t="s">
        <v>58</v>
      </c>
      <c r="P2361" t="s">
        <v>61</v>
      </c>
      <c r="Q2361" t="s">
        <v>58</v>
      </c>
      <c r="R2361" s="11" t="str">
        <f>HYPERLINK("\\imagefiles.bcgov\imagery\scanned_maps\moe_terrain_maps\Scanned_T_maps_all\R01\R01-732","\\imagefiles.bcgov\imagery\scanned_maps\moe_terrain_maps\Scanned_T_maps_all\R01\R01-732")</f>
        <v>\\imagefiles.bcgov\imagery\scanned_maps\moe_terrain_maps\Scanned_T_maps_all\R01\R01-732</v>
      </c>
      <c r="S2361" t="s">
        <v>62</v>
      </c>
      <c r="T2361" s="11" t="str">
        <f>HYPERLINK("http://www.env.gov.bc.ca/esd/distdata/ecosystems/TEI_Scanned_Maps/R01/R01-732","http://www.env.gov.bc.ca/esd/distdata/ecosystems/TEI_Scanned_Maps/R01/R01-732")</f>
        <v>http://www.env.gov.bc.ca/esd/distdata/ecosystems/TEI_Scanned_Maps/R01/R01-732</v>
      </c>
      <c r="U2361" t="s">
        <v>58</v>
      </c>
      <c r="V2361" t="s">
        <v>58</v>
      </c>
      <c r="W2361" t="s">
        <v>58</v>
      </c>
      <c r="X2361" t="s">
        <v>58</v>
      </c>
      <c r="Y2361" t="s">
        <v>58</v>
      </c>
      <c r="Z2361" t="s">
        <v>58</v>
      </c>
      <c r="AA2361" t="s">
        <v>58</v>
      </c>
      <c r="AC2361" t="s">
        <v>58</v>
      </c>
      <c r="AE2361" t="s">
        <v>58</v>
      </c>
      <c r="AG2361" t="s">
        <v>63</v>
      </c>
      <c r="AH2361" s="11" t="str">
        <f t="shared" si="155"/>
        <v>mailto: soilterrain@victoria1.gov.bc.ca</v>
      </c>
    </row>
    <row r="2362" spans="1:34">
      <c r="A2362" t="s">
        <v>5453</v>
      </c>
      <c r="B2362" t="s">
        <v>56</v>
      </c>
      <c r="C2362" s="10" t="s">
        <v>5454</v>
      </c>
      <c r="D2362" t="s">
        <v>58</v>
      </c>
      <c r="E2362" t="s">
        <v>2952</v>
      </c>
      <c r="F2362" t="s">
        <v>5328</v>
      </c>
      <c r="G2362">
        <v>20000</v>
      </c>
      <c r="H2362">
        <v>1974</v>
      </c>
      <c r="I2362" t="s">
        <v>58</v>
      </c>
      <c r="J2362" t="s">
        <v>58</v>
      </c>
      <c r="K2362" t="s">
        <v>58</v>
      </c>
      <c r="L2362" t="s">
        <v>58</v>
      </c>
      <c r="M2362" t="s">
        <v>58</v>
      </c>
      <c r="P2362" t="s">
        <v>61</v>
      </c>
      <c r="Q2362" t="s">
        <v>58</v>
      </c>
      <c r="R2362" s="11" t="str">
        <f>HYPERLINK("\\imagefiles.bcgov\imagery\scanned_maps\moe_terrain_maps\Scanned_T_maps_all\R01\R01-739","\\imagefiles.bcgov\imagery\scanned_maps\moe_terrain_maps\Scanned_T_maps_all\R01\R01-739")</f>
        <v>\\imagefiles.bcgov\imagery\scanned_maps\moe_terrain_maps\Scanned_T_maps_all\R01\R01-739</v>
      </c>
      <c r="S2362" t="s">
        <v>62</v>
      </c>
      <c r="T2362" s="11" t="str">
        <f>HYPERLINK("http://www.env.gov.bc.ca/esd/distdata/ecosystems/TEI_Scanned_Maps/R01/R01-739","http://www.env.gov.bc.ca/esd/distdata/ecosystems/TEI_Scanned_Maps/R01/R01-739")</f>
        <v>http://www.env.gov.bc.ca/esd/distdata/ecosystems/TEI_Scanned_Maps/R01/R01-739</v>
      </c>
      <c r="U2362" t="s">
        <v>58</v>
      </c>
      <c r="V2362" t="s">
        <v>58</v>
      </c>
      <c r="W2362" t="s">
        <v>58</v>
      </c>
      <c r="X2362" t="s">
        <v>58</v>
      </c>
      <c r="Y2362" t="s">
        <v>58</v>
      </c>
      <c r="Z2362" t="s">
        <v>58</v>
      </c>
      <c r="AA2362" t="s">
        <v>58</v>
      </c>
      <c r="AC2362" t="s">
        <v>58</v>
      </c>
      <c r="AE2362" t="s">
        <v>58</v>
      </c>
      <c r="AG2362" t="s">
        <v>63</v>
      </c>
      <c r="AH2362" s="11" t="str">
        <f t="shared" si="155"/>
        <v>mailto: soilterrain@victoria1.gov.bc.ca</v>
      </c>
    </row>
    <row r="2363" spans="1:34">
      <c r="A2363" t="s">
        <v>5455</v>
      </c>
      <c r="B2363" t="s">
        <v>56</v>
      </c>
      <c r="C2363" s="10" t="s">
        <v>5456</v>
      </c>
      <c r="D2363" t="s">
        <v>58</v>
      </c>
      <c r="E2363" t="s">
        <v>2952</v>
      </c>
      <c r="F2363" t="s">
        <v>5328</v>
      </c>
      <c r="G2363">
        <v>20000</v>
      </c>
      <c r="H2363">
        <v>1979</v>
      </c>
      <c r="I2363" t="s">
        <v>58</v>
      </c>
      <c r="J2363" t="s">
        <v>58</v>
      </c>
      <c r="K2363" t="s">
        <v>58</v>
      </c>
      <c r="L2363" t="s">
        <v>58</v>
      </c>
      <c r="M2363" t="s">
        <v>58</v>
      </c>
      <c r="P2363" t="s">
        <v>61</v>
      </c>
      <c r="Q2363" t="s">
        <v>58</v>
      </c>
      <c r="R2363" s="11" t="str">
        <f>HYPERLINK("\\imagefiles.bcgov\imagery\scanned_maps\moe_terrain_maps\Scanned_T_maps_all\R01\R01-746","\\imagefiles.bcgov\imagery\scanned_maps\moe_terrain_maps\Scanned_T_maps_all\R01\R01-746")</f>
        <v>\\imagefiles.bcgov\imagery\scanned_maps\moe_terrain_maps\Scanned_T_maps_all\R01\R01-746</v>
      </c>
      <c r="S2363" t="s">
        <v>62</v>
      </c>
      <c r="T2363" s="11" t="str">
        <f>HYPERLINK("http://www.env.gov.bc.ca/esd/distdata/ecosystems/TEI_Scanned_Maps/R01/R01-746","http://www.env.gov.bc.ca/esd/distdata/ecosystems/TEI_Scanned_Maps/R01/R01-746")</f>
        <v>http://www.env.gov.bc.ca/esd/distdata/ecosystems/TEI_Scanned_Maps/R01/R01-746</v>
      </c>
      <c r="U2363" t="s">
        <v>58</v>
      </c>
      <c r="V2363" t="s">
        <v>58</v>
      </c>
      <c r="W2363" t="s">
        <v>58</v>
      </c>
      <c r="X2363" t="s">
        <v>58</v>
      </c>
      <c r="Y2363" t="s">
        <v>58</v>
      </c>
      <c r="Z2363" t="s">
        <v>58</v>
      </c>
      <c r="AA2363" t="s">
        <v>58</v>
      </c>
      <c r="AC2363" t="s">
        <v>58</v>
      </c>
      <c r="AE2363" t="s">
        <v>58</v>
      </c>
      <c r="AG2363" t="s">
        <v>63</v>
      </c>
      <c r="AH2363" s="11" t="str">
        <f t="shared" si="155"/>
        <v>mailto: soilterrain@victoria1.gov.bc.ca</v>
      </c>
    </row>
    <row r="2364" spans="1:34">
      <c r="A2364" t="s">
        <v>5457</v>
      </c>
      <c r="B2364" t="s">
        <v>56</v>
      </c>
      <c r="C2364" s="10" t="s">
        <v>5458</v>
      </c>
      <c r="D2364" t="s">
        <v>58</v>
      </c>
      <c r="E2364" t="s">
        <v>2952</v>
      </c>
      <c r="F2364" t="s">
        <v>5328</v>
      </c>
      <c r="G2364">
        <v>20000</v>
      </c>
      <c r="H2364">
        <v>1979</v>
      </c>
      <c r="I2364" t="s">
        <v>58</v>
      </c>
      <c r="J2364" t="s">
        <v>58</v>
      </c>
      <c r="K2364" t="s">
        <v>58</v>
      </c>
      <c r="L2364" t="s">
        <v>58</v>
      </c>
      <c r="M2364" t="s">
        <v>58</v>
      </c>
      <c r="P2364" t="s">
        <v>61</v>
      </c>
      <c r="Q2364" t="s">
        <v>58</v>
      </c>
      <c r="R2364" s="11" t="str">
        <f>HYPERLINK("\\imagefiles.bcgov\imagery\scanned_maps\moe_terrain_maps\Scanned_T_maps_all\R01\R01-946","\\imagefiles.bcgov\imagery\scanned_maps\moe_terrain_maps\Scanned_T_maps_all\R01\R01-946")</f>
        <v>\\imagefiles.bcgov\imagery\scanned_maps\moe_terrain_maps\Scanned_T_maps_all\R01\R01-946</v>
      </c>
      <c r="S2364" t="s">
        <v>62</v>
      </c>
      <c r="T2364" s="11" t="str">
        <f>HYPERLINK("http://www.env.gov.bc.ca/esd/distdata/ecosystems/TEI_Scanned_Maps/R01/R01-946","http://www.env.gov.bc.ca/esd/distdata/ecosystems/TEI_Scanned_Maps/R01/R01-946")</f>
        <v>http://www.env.gov.bc.ca/esd/distdata/ecosystems/TEI_Scanned_Maps/R01/R01-946</v>
      </c>
      <c r="U2364" t="s">
        <v>58</v>
      </c>
      <c r="V2364" t="s">
        <v>58</v>
      </c>
      <c r="W2364" t="s">
        <v>58</v>
      </c>
      <c r="X2364" t="s">
        <v>58</v>
      </c>
      <c r="Y2364" t="s">
        <v>58</v>
      </c>
      <c r="Z2364" t="s">
        <v>58</v>
      </c>
      <c r="AA2364" t="s">
        <v>58</v>
      </c>
      <c r="AC2364" t="s">
        <v>58</v>
      </c>
      <c r="AE2364" t="s">
        <v>58</v>
      </c>
      <c r="AG2364" t="s">
        <v>63</v>
      </c>
      <c r="AH2364" s="11" t="str">
        <f t="shared" si="155"/>
        <v>mailto: soilterrain@victoria1.gov.bc.ca</v>
      </c>
    </row>
    <row r="2365" spans="1:34">
      <c r="A2365" t="s">
        <v>5459</v>
      </c>
      <c r="B2365" t="s">
        <v>56</v>
      </c>
      <c r="C2365" s="10" t="s">
        <v>5460</v>
      </c>
      <c r="D2365" t="s">
        <v>58</v>
      </c>
      <c r="E2365" t="s">
        <v>2952</v>
      </c>
      <c r="F2365" t="s">
        <v>5328</v>
      </c>
      <c r="G2365">
        <v>20000</v>
      </c>
      <c r="H2365">
        <v>1956</v>
      </c>
      <c r="I2365" t="s">
        <v>58</v>
      </c>
      <c r="J2365" t="s">
        <v>58</v>
      </c>
      <c r="K2365" t="s">
        <v>58</v>
      </c>
      <c r="L2365" t="s">
        <v>58</v>
      </c>
      <c r="M2365" t="s">
        <v>58</v>
      </c>
      <c r="P2365" t="s">
        <v>61</v>
      </c>
      <c r="Q2365" t="s">
        <v>58</v>
      </c>
      <c r="R2365" s="11" t="str">
        <f>HYPERLINK("\\imagefiles.bcgov\imagery\scanned_maps\moe_terrain_maps\Scanned_T_maps_all\R01\R01-955","\\imagefiles.bcgov\imagery\scanned_maps\moe_terrain_maps\Scanned_T_maps_all\R01\R01-955")</f>
        <v>\\imagefiles.bcgov\imagery\scanned_maps\moe_terrain_maps\Scanned_T_maps_all\R01\R01-955</v>
      </c>
      <c r="S2365" t="s">
        <v>62</v>
      </c>
      <c r="T2365" s="11" t="str">
        <f>HYPERLINK("http://www.env.gov.bc.ca/esd/distdata/ecosystems/TEI_Scanned_Maps/R01/R01-955","http://www.env.gov.bc.ca/esd/distdata/ecosystems/TEI_Scanned_Maps/R01/R01-955")</f>
        <v>http://www.env.gov.bc.ca/esd/distdata/ecosystems/TEI_Scanned_Maps/R01/R01-955</v>
      </c>
      <c r="U2365" t="s">
        <v>58</v>
      </c>
      <c r="V2365" t="s">
        <v>58</v>
      </c>
      <c r="W2365" t="s">
        <v>58</v>
      </c>
      <c r="X2365" t="s">
        <v>58</v>
      </c>
      <c r="Y2365" t="s">
        <v>58</v>
      </c>
      <c r="Z2365" t="s">
        <v>58</v>
      </c>
      <c r="AA2365" t="s">
        <v>58</v>
      </c>
      <c r="AC2365" t="s">
        <v>58</v>
      </c>
      <c r="AE2365" t="s">
        <v>58</v>
      </c>
      <c r="AG2365" t="s">
        <v>63</v>
      </c>
      <c r="AH2365" s="11" t="str">
        <f t="shared" si="155"/>
        <v>mailto: soilterrain@victoria1.gov.bc.ca</v>
      </c>
    </row>
    <row r="2366" spans="1:34">
      <c r="A2366" t="s">
        <v>5461</v>
      </c>
      <c r="B2366" t="s">
        <v>56</v>
      </c>
      <c r="C2366" s="10" t="s">
        <v>5462</v>
      </c>
      <c r="D2366" t="s">
        <v>58</v>
      </c>
      <c r="E2366" t="s">
        <v>2952</v>
      </c>
      <c r="F2366" t="s">
        <v>5328</v>
      </c>
      <c r="G2366">
        <v>20000</v>
      </c>
      <c r="H2366">
        <v>1955</v>
      </c>
      <c r="I2366" t="s">
        <v>58</v>
      </c>
      <c r="J2366" t="s">
        <v>58</v>
      </c>
      <c r="K2366" t="s">
        <v>58</v>
      </c>
      <c r="L2366" t="s">
        <v>58</v>
      </c>
      <c r="M2366" t="s">
        <v>58</v>
      </c>
      <c r="P2366" t="s">
        <v>61</v>
      </c>
      <c r="Q2366" t="s">
        <v>58</v>
      </c>
      <c r="R2366" s="11" t="str">
        <f>HYPERLINK("\\imagefiles.bcgov\imagery\scanned_maps\moe_terrain_maps\Scanned_T_maps_all\R01\R01-963","\\imagefiles.bcgov\imagery\scanned_maps\moe_terrain_maps\Scanned_T_maps_all\R01\R01-963")</f>
        <v>\\imagefiles.bcgov\imagery\scanned_maps\moe_terrain_maps\Scanned_T_maps_all\R01\R01-963</v>
      </c>
      <c r="S2366" t="s">
        <v>62</v>
      </c>
      <c r="T2366" s="11" t="str">
        <f>HYPERLINK("http://www.env.gov.bc.ca/esd/distdata/ecosystems/TEI_Scanned_Maps/R01/R01-963","http://www.env.gov.bc.ca/esd/distdata/ecosystems/TEI_Scanned_Maps/R01/R01-963")</f>
        <v>http://www.env.gov.bc.ca/esd/distdata/ecosystems/TEI_Scanned_Maps/R01/R01-963</v>
      </c>
      <c r="U2366" t="s">
        <v>58</v>
      </c>
      <c r="V2366" t="s">
        <v>58</v>
      </c>
      <c r="W2366" t="s">
        <v>58</v>
      </c>
      <c r="X2366" t="s">
        <v>58</v>
      </c>
      <c r="Y2366" t="s">
        <v>58</v>
      </c>
      <c r="Z2366" t="s">
        <v>58</v>
      </c>
      <c r="AA2366" t="s">
        <v>58</v>
      </c>
      <c r="AC2366" t="s">
        <v>58</v>
      </c>
      <c r="AE2366" t="s">
        <v>58</v>
      </c>
      <c r="AG2366" t="s">
        <v>63</v>
      </c>
      <c r="AH2366" s="11" t="str">
        <f t="shared" si="155"/>
        <v>mailto: soilterrain@victoria1.gov.bc.ca</v>
      </c>
    </row>
    <row r="2367" spans="1:34">
      <c r="A2367" t="s">
        <v>5463</v>
      </c>
      <c r="B2367" t="s">
        <v>56</v>
      </c>
      <c r="C2367" s="10" t="s">
        <v>5464</v>
      </c>
      <c r="D2367" t="s">
        <v>58</v>
      </c>
      <c r="E2367" t="s">
        <v>2952</v>
      </c>
      <c r="F2367" t="s">
        <v>5328</v>
      </c>
      <c r="G2367">
        <v>20000</v>
      </c>
      <c r="H2367">
        <v>1957</v>
      </c>
      <c r="I2367" t="s">
        <v>58</v>
      </c>
      <c r="J2367" t="s">
        <v>58</v>
      </c>
      <c r="K2367" t="s">
        <v>58</v>
      </c>
      <c r="L2367" t="s">
        <v>58</v>
      </c>
      <c r="M2367" t="s">
        <v>58</v>
      </c>
      <c r="P2367" t="s">
        <v>61</v>
      </c>
      <c r="Q2367" t="s">
        <v>58</v>
      </c>
      <c r="R2367" s="11" t="str">
        <f>HYPERLINK("\\imagefiles.bcgov\imagery\scanned_maps\moe_terrain_maps\Scanned_T_maps_all\R01\R01-972","\\imagefiles.bcgov\imagery\scanned_maps\moe_terrain_maps\Scanned_T_maps_all\R01\R01-972")</f>
        <v>\\imagefiles.bcgov\imagery\scanned_maps\moe_terrain_maps\Scanned_T_maps_all\R01\R01-972</v>
      </c>
      <c r="S2367" t="s">
        <v>62</v>
      </c>
      <c r="T2367" s="11" t="str">
        <f>HYPERLINK("http://www.env.gov.bc.ca/esd/distdata/ecosystems/TEI_Scanned_Maps/R01/R01-972","http://www.env.gov.bc.ca/esd/distdata/ecosystems/TEI_Scanned_Maps/R01/R01-972")</f>
        <v>http://www.env.gov.bc.ca/esd/distdata/ecosystems/TEI_Scanned_Maps/R01/R01-972</v>
      </c>
      <c r="U2367" t="s">
        <v>58</v>
      </c>
      <c r="V2367" t="s">
        <v>58</v>
      </c>
      <c r="W2367" t="s">
        <v>58</v>
      </c>
      <c r="X2367" t="s">
        <v>58</v>
      </c>
      <c r="Y2367" t="s">
        <v>58</v>
      </c>
      <c r="Z2367" t="s">
        <v>58</v>
      </c>
      <c r="AA2367" t="s">
        <v>58</v>
      </c>
      <c r="AC2367" t="s">
        <v>58</v>
      </c>
      <c r="AE2367" t="s">
        <v>58</v>
      </c>
      <c r="AG2367" t="s">
        <v>63</v>
      </c>
      <c r="AH2367" s="11" t="str">
        <f t="shared" si="155"/>
        <v>mailto: soilterrain@victoria1.gov.bc.ca</v>
      </c>
    </row>
    <row r="2368" spans="1:34">
      <c r="A2368" t="s">
        <v>5465</v>
      </c>
      <c r="B2368" t="s">
        <v>56</v>
      </c>
      <c r="C2368" s="10" t="s">
        <v>5466</v>
      </c>
      <c r="D2368" t="s">
        <v>58</v>
      </c>
      <c r="E2368" t="s">
        <v>2952</v>
      </c>
      <c r="F2368" t="s">
        <v>5467</v>
      </c>
      <c r="G2368">
        <v>20000</v>
      </c>
      <c r="H2368" t="s">
        <v>187</v>
      </c>
      <c r="I2368" t="s">
        <v>58</v>
      </c>
      <c r="J2368" t="s">
        <v>58</v>
      </c>
      <c r="K2368" t="s">
        <v>58</v>
      </c>
      <c r="L2368" t="s">
        <v>58</v>
      </c>
      <c r="M2368" t="s">
        <v>58</v>
      </c>
      <c r="P2368" t="s">
        <v>61</v>
      </c>
      <c r="Q2368" t="s">
        <v>58</v>
      </c>
      <c r="R2368" s="11" t="str">
        <f>HYPERLINK("\\imagefiles.bcgov\imagery\scanned_maps\moe_terrain_maps\Scanned_T_maps_all\R01\R01-981","\\imagefiles.bcgov\imagery\scanned_maps\moe_terrain_maps\Scanned_T_maps_all\R01\R01-981")</f>
        <v>\\imagefiles.bcgov\imagery\scanned_maps\moe_terrain_maps\Scanned_T_maps_all\R01\R01-981</v>
      </c>
      <c r="S2368" t="s">
        <v>62</v>
      </c>
      <c r="T2368" s="11" t="str">
        <f>HYPERLINK("http://www.env.gov.bc.ca/esd/distdata/ecosystems/TEI_Scanned_Maps/R01/R01-981","http://www.env.gov.bc.ca/esd/distdata/ecosystems/TEI_Scanned_Maps/R01/R01-981")</f>
        <v>http://www.env.gov.bc.ca/esd/distdata/ecosystems/TEI_Scanned_Maps/R01/R01-981</v>
      </c>
      <c r="U2368" t="s">
        <v>58</v>
      </c>
      <c r="V2368" t="s">
        <v>58</v>
      </c>
      <c r="W2368" t="s">
        <v>58</v>
      </c>
      <c r="X2368" t="s">
        <v>58</v>
      </c>
      <c r="Y2368" t="s">
        <v>58</v>
      </c>
      <c r="Z2368" t="s">
        <v>58</v>
      </c>
      <c r="AA2368" t="s">
        <v>58</v>
      </c>
      <c r="AC2368" t="s">
        <v>58</v>
      </c>
      <c r="AE2368" t="s">
        <v>58</v>
      </c>
      <c r="AG2368" t="s">
        <v>63</v>
      </c>
      <c r="AH2368" s="11" t="str">
        <f t="shared" si="155"/>
        <v>mailto: soilterrain@victoria1.gov.bc.ca</v>
      </c>
    </row>
    <row r="2369" spans="1:34">
      <c r="A2369" t="s">
        <v>5468</v>
      </c>
      <c r="B2369" t="s">
        <v>56</v>
      </c>
      <c r="C2369" s="10" t="s">
        <v>5469</v>
      </c>
      <c r="D2369" t="s">
        <v>58</v>
      </c>
      <c r="E2369" t="s">
        <v>2952</v>
      </c>
      <c r="F2369" t="s">
        <v>5328</v>
      </c>
      <c r="G2369">
        <v>20000</v>
      </c>
      <c r="H2369" t="s">
        <v>187</v>
      </c>
      <c r="I2369" t="s">
        <v>58</v>
      </c>
      <c r="J2369" t="s">
        <v>58</v>
      </c>
      <c r="K2369" t="s">
        <v>58</v>
      </c>
      <c r="L2369" t="s">
        <v>58</v>
      </c>
      <c r="M2369" t="s">
        <v>58</v>
      </c>
      <c r="P2369" t="s">
        <v>61</v>
      </c>
      <c r="Q2369" t="s">
        <v>58</v>
      </c>
      <c r="R2369" s="11" t="str">
        <f>HYPERLINK("\\imagefiles.bcgov\imagery\scanned_maps\moe_terrain_maps\Scanned_T_maps_all\R01\R01-990","\\imagefiles.bcgov\imagery\scanned_maps\moe_terrain_maps\Scanned_T_maps_all\R01\R01-990")</f>
        <v>\\imagefiles.bcgov\imagery\scanned_maps\moe_terrain_maps\Scanned_T_maps_all\R01\R01-990</v>
      </c>
      <c r="S2369" t="s">
        <v>62</v>
      </c>
      <c r="T2369" s="11" t="str">
        <f>HYPERLINK("http://www.env.gov.bc.ca/esd/distdata/ecosystems/TEI_Scanned_Maps/R01/R01-990","http://www.env.gov.bc.ca/esd/distdata/ecosystems/TEI_Scanned_Maps/R01/R01-990")</f>
        <v>http://www.env.gov.bc.ca/esd/distdata/ecosystems/TEI_Scanned_Maps/R01/R01-990</v>
      </c>
      <c r="U2369" t="s">
        <v>58</v>
      </c>
      <c r="V2369" t="s">
        <v>58</v>
      </c>
      <c r="W2369" t="s">
        <v>58</v>
      </c>
      <c r="X2369" t="s">
        <v>58</v>
      </c>
      <c r="Y2369" t="s">
        <v>58</v>
      </c>
      <c r="Z2369" t="s">
        <v>58</v>
      </c>
      <c r="AA2369" t="s">
        <v>58</v>
      </c>
      <c r="AC2369" t="s">
        <v>58</v>
      </c>
      <c r="AE2369" t="s">
        <v>58</v>
      </c>
      <c r="AG2369" t="s">
        <v>63</v>
      </c>
      <c r="AH2369" s="11" t="str">
        <f t="shared" si="155"/>
        <v>mailto: soilterrain@victoria1.gov.bc.ca</v>
      </c>
    </row>
    <row r="2370" spans="1:34">
      <c r="A2370" t="s">
        <v>5470</v>
      </c>
      <c r="B2370" t="s">
        <v>56</v>
      </c>
      <c r="C2370" s="10" t="s">
        <v>5471</v>
      </c>
      <c r="D2370" t="s">
        <v>58</v>
      </c>
      <c r="E2370" t="s">
        <v>2952</v>
      </c>
      <c r="F2370" t="s">
        <v>5328</v>
      </c>
      <c r="G2370">
        <v>20000</v>
      </c>
      <c r="H2370">
        <v>1981</v>
      </c>
      <c r="I2370" t="s">
        <v>58</v>
      </c>
      <c r="J2370" t="s">
        <v>58</v>
      </c>
      <c r="K2370" t="s">
        <v>58</v>
      </c>
      <c r="L2370" t="s">
        <v>58</v>
      </c>
      <c r="M2370" t="s">
        <v>58</v>
      </c>
      <c r="P2370" t="s">
        <v>61</v>
      </c>
      <c r="Q2370" t="s">
        <v>58</v>
      </c>
      <c r="R2370" s="11" t="str">
        <f>HYPERLINK("\\imagefiles.bcgov\imagery\scanned_maps\moe_terrain_maps\Scanned_T_maps_all\R01\R01-999","\\imagefiles.bcgov\imagery\scanned_maps\moe_terrain_maps\Scanned_T_maps_all\R01\R01-999")</f>
        <v>\\imagefiles.bcgov\imagery\scanned_maps\moe_terrain_maps\Scanned_T_maps_all\R01\R01-999</v>
      </c>
      <c r="S2370" t="s">
        <v>62</v>
      </c>
      <c r="T2370" s="11" t="str">
        <f>HYPERLINK("http://www.env.gov.bc.ca/esd/distdata/ecosystems/TEI_Scanned_Maps/R01/R01-999","http://www.env.gov.bc.ca/esd/distdata/ecosystems/TEI_Scanned_Maps/R01/R01-999")</f>
        <v>http://www.env.gov.bc.ca/esd/distdata/ecosystems/TEI_Scanned_Maps/R01/R01-999</v>
      </c>
      <c r="U2370" t="s">
        <v>58</v>
      </c>
      <c r="V2370" t="s">
        <v>58</v>
      </c>
      <c r="W2370" t="s">
        <v>58</v>
      </c>
      <c r="X2370" t="s">
        <v>58</v>
      </c>
      <c r="Y2370" t="s">
        <v>58</v>
      </c>
      <c r="Z2370" t="s">
        <v>58</v>
      </c>
      <c r="AA2370" t="s">
        <v>58</v>
      </c>
      <c r="AC2370" t="s">
        <v>58</v>
      </c>
      <c r="AE2370" t="s">
        <v>58</v>
      </c>
      <c r="AG2370" t="s">
        <v>63</v>
      </c>
      <c r="AH2370" s="11" t="str">
        <f t="shared" ref="AH2370:AH2433" si="156">HYPERLINK("mailto: soilterrain@victoria1.gov.bc.ca","mailto: soilterrain@victoria1.gov.bc.ca")</f>
        <v>mailto: soilterrain@victoria1.gov.bc.ca</v>
      </c>
    </row>
    <row r="2371" spans="1:34">
      <c r="A2371" t="s">
        <v>5472</v>
      </c>
      <c r="B2371" t="s">
        <v>56</v>
      </c>
      <c r="C2371" s="10" t="s">
        <v>5473</v>
      </c>
      <c r="D2371" t="s">
        <v>58</v>
      </c>
      <c r="E2371" t="s">
        <v>2952</v>
      </c>
      <c r="F2371" t="s">
        <v>5474</v>
      </c>
      <c r="G2371">
        <v>25000</v>
      </c>
      <c r="H2371">
        <v>1980</v>
      </c>
      <c r="I2371" t="s">
        <v>58</v>
      </c>
      <c r="J2371" t="s">
        <v>58</v>
      </c>
      <c r="K2371" t="s">
        <v>58</v>
      </c>
      <c r="L2371" t="s">
        <v>58</v>
      </c>
      <c r="M2371" t="s">
        <v>58</v>
      </c>
      <c r="P2371" t="s">
        <v>61</v>
      </c>
      <c r="Q2371" t="s">
        <v>58</v>
      </c>
      <c r="R2371" s="11" t="str">
        <f>HYPERLINK("\\imagefiles.bcgov\imagery\scanned_maps\moe_terrain_maps\Scanned_T_maps_all\R02\R02-1501","\\imagefiles.bcgov\imagery\scanned_maps\moe_terrain_maps\Scanned_T_maps_all\R02\R02-1501")</f>
        <v>\\imagefiles.bcgov\imagery\scanned_maps\moe_terrain_maps\Scanned_T_maps_all\R02\R02-1501</v>
      </c>
      <c r="S2371" t="s">
        <v>62</v>
      </c>
      <c r="T2371" s="11" t="str">
        <f>HYPERLINK("http://www.env.gov.bc.ca/esd/distdata/ecosystems/TEI_Scanned_Maps/R02/R02-1501","http://www.env.gov.bc.ca/esd/distdata/ecosystems/TEI_Scanned_Maps/R02/R02-1501")</f>
        <v>http://www.env.gov.bc.ca/esd/distdata/ecosystems/TEI_Scanned_Maps/R02/R02-1501</v>
      </c>
      <c r="U2371" t="s">
        <v>58</v>
      </c>
      <c r="V2371" t="s">
        <v>58</v>
      </c>
      <c r="W2371" t="s">
        <v>58</v>
      </c>
      <c r="X2371" t="s">
        <v>58</v>
      </c>
      <c r="Y2371" t="s">
        <v>58</v>
      </c>
      <c r="Z2371" t="s">
        <v>58</v>
      </c>
      <c r="AA2371" t="s">
        <v>58</v>
      </c>
      <c r="AC2371" t="s">
        <v>58</v>
      </c>
      <c r="AE2371" t="s">
        <v>58</v>
      </c>
      <c r="AG2371" t="s">
        <v>63</v>
      </c>
      <c r="AH2371" s="11" t="str">
        <f t="shared" si="156"/>
        <v>mailto: soilterrain@victoria1.gov.bc.ca</v>
      </c>
    </row>
    <row r="2372" spans="1:34">
      <c r="A2372" t="s">
        <v>5475</v>
      </c>
      <c r="B2372" t="s">
        <v>56</v>
      </c>
      <c r="C2372" s="10" t="s">
        <v>5476</v>
      </c>
      <c r="D2372" t="s">
        <v>58</v>
      </c>
      <c r="E2372" t="s">
        <v>2952</v>
      </c>
      <c r="F2372" t="s">
        <v>5477</v>
      </c>
      <c r="G2372">
        <v>25000</v>
      </c>
      <c r="H2372">
        <v>1979</v>
      </c>
      <c r="I2372" t="s">
        <v>58</v>
      </c>
      <c r="J2372" t="s">
        <v>58</v>
      </c>
      <c r="K2372" t="s">
        <v>58</v>
      </c>
      <c r="L2372" t="s">
        <v>58</v>
      </c>
      <c r="M2372" t="s">
        <v>58</v>
      </c>
      <c r="P2372" t="s">
        <v>61</v>
      </c>
      <c r="Q2372" t="s">
        <v>58</v>
      </c>
      <c r="R2372" s="11" t="str">
        <f>HYPERLINK("\\imagefiles.bcgov\imagery\scanned_maps\moe_terrain_maps\Scanned_T_maps_all\R02\R02-1506","\\imagefiles.bcgov\imagery\scanned_maps\moe_terrain_maps\Scanned_T_maps_all\R02\R02-1506")</f>
        <v>\\imagefiles.bcgov\imagery\scanned_maps\moe_terrain_maps\Scanned_T_maps_all\R02\R02-1506</v>
      </c>
      <c r="S2372" t="s">
        <v>62</v>
      </c>
      <c r="T2372" s="11" t="str">
        <f>HYPERLINK("http://www.env.gov.bc.ca/esd/distdata/ecosystems/TEI_Scanned_Maps/R02/R02-1506","http://www.env.gov.bc.ca/esd/distdata/ecosystems/TEI_Scanned_Maps/R02/R02-1506")</f>
        <v>http://www.env.gov.bc.ca/esd/distdata/ecosystems/TEI_Scanned_Maps/R02/R02-1506</v>
      </c>
      <c r="U2372" t="s">
        <v>58</v>
      </c>
      <c r="V2372" t="s">
        <v>58</v>
      </c>
      <c r="W2372" t="s">
        <v>58</v>
      </c>
      <c r="X2372" t="s">
        <v>58</v>
      </c>
      <c r="Y2372" t="s">
        <v>58</v>
      </c>
      <c r="Z2372" t="s">
        <v>58</v>
      </c>
      <c r="AA2372" t="s">
        <v>58</v>
      </c>
      <c r="AC2372" t="s">
        <v>58</v>
      </c>
      <c r="AE2372" t="s">
        <v>58</v>
      </c>
      <c r="AG2372" t="s">
        <v>63</v>
      </c>
      <c r="AH2372" s="11" t="str">
        <f t="shared" si="156"/>
        <v>mailto: soilterrain@victoria1.gov.bc.ca</v>
      </c>
    </row>
    <row r="2373" spans="1:34">
      <c r="A2373" t="s">
        <v>5478</v>
      </c>
      <c r="B2373" t="s">
        <v>56</v>
      </c>
      <c r="C2373" s="10" t="s">
        <v>5479</v>
      </c>
      <c r="D2373" t="s">
        <v>58</v>
      </c>
      <c r="E2373" t="s">
        <v>2952</v>
      </c>
      <c r="F2373" t="s">
        <v>5480</v>
      </c>
      <c r="G2373">
        <v>25000</v>
      </c>
      <c r="H2373">
        <v>1978</v>
      </c>
      <c r="I2373" t="s">
        <v>58</v>
      </c>
      <c r="J2373" t="s">
        <v>58</v>
      </c>
      <c r="K2373" t="s">
        <v>58</v>
      </c>
      <c r="L2373" t="s">
        <v>58</v>
      </c>
      <c r="M2373" t="s">
        <v>58</v>
      </c>
      <c r="P2373" t="s">
        <v>61</v>
      </c>
      <c r="Q2373" t="s">
        <v>58</v>
      </c>
      <c r="R2373" s="11" t="str">
        <f>HYPERLINK("\\imagefiles.bcgov\imagery\scanned_maps\moe_terrain_maps\Scanned_T_maps_all\R02\R02-1511","\\imagefiles.bcgov\imagery\scanned_maps\moe_terrain_maps\Scanned_T_maps_all\R02\R02-1511")</f>
        <v>\\imagefiles.bcgov\imagery\scanned_maps\moe_terrain_maps\Scanned_T_maps_all\R02\R02-1511</v>
      </c>
      <c r="S2373" t="s">
        <v>62</v>
      </c>
      <c r="T2373" s="11" t="str">
        <f>HYPERLINK("http://www.env.gov.bc.ca/esd/distdata/ecosystems/TEI_Scanned_Maps/R02/R02-1511","http://www.env.gov.bc.ca/esd/distdata/ecosystems/TEI_Scanned_Maps/R02/R02-1511")</f>
        <v>http://www.env.gov.bc.ca/esd/distdata/ecosystems/TEI_Scanned_Maps/R02/R02-1511</v>
      </c>
      <c r="U2373" t="s">
        <v>58</v>
      </c>
      <c r="V2373" t="s">
        <v>58</v>
      </c>
      <c r="W2373" t="s">
        <v>58</v>
      </c>
      <c r="X2373" t="s">
        <v>58</v>
      </c>
      <c r="Y2373" t="s">
        <v>58</v>
      </c>
      <c r="Z2373" t="s">
        <v>58</v>
      </c>
      <c r="AA2373" t="s">
        <v>58</v>
      </c>
      <c r="AC2373" t="s">
        <v>58</v>
      </c>
      <c r="AE2373" t="s">
        <v>58</v>
      </c>
      <c r="AG2373" t="s">
        <v>63</v>
      </c>
      <c r="AH2373" s="11" t="str">
        <f t="shared" si="156"/>
        <v>mailto: soilterrain@victoria1.gov.bc.ca</v>
      </c>
    </row>
    <row r="2374" spans="1:34">
      <c r="A2374" t="s">
        <v>5481</v>
      </c>
      <c r="B2374" t="s">
        <v>56</v>
      </c>
      <c r="C2374" s="10" t="s">
        <v>5482</v>
      </c>
      <c r="D2374" t="s">
        <v>58</v>
      </c>
      <c r="E2374" t="s">
        <v>2952</v>
      </c>
      <c r="F2374" t="s">
        <v>5483</v>
      </c>
      <c r="G2374">
        <v>25000</v>
      </c>
      <c r="H2374">
        <v>1980</v>
      </c>
      <c r="I2374" t="s">
        <v>58</v>
      </c>
      <c r="J2374" t="s">
        <v>58</v>
      </c>
      <c r="K2374" t="s">
        <v>58</v>
      </c>
      <c r="L2374" t="s">
        <v>58</v>
      </c>
      <c r="M2374" t="s">
        <v>58</v>
      </c>
      <c r="P2374" t="s">
        <v>61</v>
      </c>
      <c r="Q2374" t="s">
        <v>58</v>
      </c>
      <c r="R2374" s="11" t="str">
        <f>HYPERLINK("\\imagefiles.bcgov\imagery\scanned_maps\moe_terrain_maps\Scanned_T_maps_all\R02\R02-1516","\\imagefiles.bcgov\imagery\scanned_maps\moe_terrain_maps\Scanned_T_maps_all\R02\R02-1516")</f>
        <v>\\imagefiles.bcgov\imagery\scanned_maps\moe_terrain_maps\Scanned_T_maps_all\R02\R02-1516</v>
      </c>
      <c r="S2374" t="s">
        <v>62</v>
      </c>
      <c r="T2374" s="11" t="str">
        <f>HYPERLINK("http://www.env.gov.bc.ca/esd/distdata/ecosystems/TEI_Scanned_Maps/R02/R02-1516","http://www.env.gov.bc.ca/esd/distdata/ecosystems/TEI_Scanned_Maps/R02/R02-1516")</f>
        <v>http://www.env.gov.bc.ca/esd/distdata/ecosystems/TEI_Scanned_Maps/R02/R02-1516</v>
      </c>
      <c r="U2374" t="s">
        <v>58</v>
      </c>
      <c r="V2374" t="s">
        <v>58</v>
      </c>
      <c r="W2374" t="s">
        <v>58</v>
      </c>
      <c r="X2374" t="s">
        <v>58</v>
      </c>
      <c r="Y2374" t="s">
        <v>58</v>
      </c>
      <c r="Z2374" t="s">
        <v>58</v>
      </c>
      <c r="AA2374" t="s">
        <v>58</v>
      </c>
      <c r="AC2374" t="s">
        <v>58</v>
      </c>
      <c r="AE2374" t="s">
        <v>58</v>
      </c>
      <c r="AG2374" t="s">
        <v>63</v>
      </c>
      <c r="AH2374" s="11" t="str">
        <f t="shared" si="156"/>
        <v>mailto: soilterrain@victoria1.gov.bc.ca</v>
      </c>
    </row>
    <row r="2375" spans="1:34">
      <c r="A2375" t="s">
        <v>5484</v>
      </c>
      <c r="B2375" t="s">
        <v>56</v>
      </c>
      <c r="C2375" s="10" t="s">
        <v>5485</v>
      </c>
      <c r="D2375" t="s">
        <v>58</v>
      </c>
      <c r="E2375" t="s">
        <v>2952</v>
      </c>
      <c r="F2375" t="s">
        <v>5486</v>
      </c>
      <c r="G2375">
        <v>25000</v>
      </c>
      <c r="H2375">
        <v>1981</v>
      </c>
      <c r="I2375" t="s">
        <v>58</v>
      </c>
      <c r="J2375" t="s">
        <v>58</v>
      </c>
      <c r="K2375" t="s">
        <v>58</v>
      </c>
      <c r="L2375" t="s">
        <v>58</v>
      </c>
      <c r="M2375" t="s">
        <v>58</v>
      </c>
      <c r="P2375" t="s">
        <v>61</v>
      </c>
      <c r="Q2375" t="s">
        <v>58</v>
      </c>
      <c r="R2375" s="11" t="str">
        <f>HYPERLINK("\\imagefiles.bcgov\imagery\scanned_maps\moe_terrain_maps\Scanned_T_maps_all\R02\R02-1521","\\imagefiles.bcgov\imagery\scanned_maps\moe_terrain_maps\Scanned_T_maps_all\R02\R02-1521")</f>
        <v>\\imagefiles.bcgov\imagery\scanned_maps\moe_terrain_maps\Scanned_T_maps_all\R02\R02-1521</v>
      </c>
      <c r="S2375" t="s">
        <v>62</v>
      </c>
      <c r="T2375" s="11" t="str">
        <f>HYPERLINK("http://www.env.gov.bc.ca/esd/distdata/ecosystems/TEI_Scanned_Maps/R02/R02-1521","http://www.env.gov.bc.ca/esd/distdata/ecosystems/TEI_Scanned_Maps/R02/R02-1521")</f>
        <v>http://www.env.gov.bc.ca/esd/distdata/ecosystems/TEI_Scanned_Maps/R02/R02-1521</v>
      </c>
      <c r="U2375" t="s">
        <v>58</v>
      </c>
      <c r="V2375" t="s">
        <v>58</v>
      </c>
      <c r="W2375" t="s">
        <v>58</v>
      </c>
      <c r="X2375" t="s">
        <v>58</v>
      </c>
      <c r="Y2375" t="s">
        <v>58</v>
      </c>
      <c r="Z2375" t="s">
        <v>58</v>
      </c>
      <c r="AA2375" t="s">
        <v>58</v>
      </c>
      <c r="AC2375" t="s">
        <v>58</v>
      </c>
      <c r="AE2375" t="s">
        <v>58</v>
      </c>
      <c r="AG2375" t="s">
        <v>63</v>
      </c>
      <c r="AH2375" s="11" t="str">
        <f t="shared" si="156"/>
        <v>mailto: soilterrain@victoria1.gov.bc.ca</v>
      </c>
    </row>
    <row r="2376" spans="1:34">
      <c r="A2376" t="s">
        <v>5487</v>
      </c>
      <c r="B2376" t="s">
        <v>56</v>
      </c>
      <c r="C2376" s="10" t="s">
        <v>5488</v>
      </c>
      <c r="D2376" t="s">
        <v>58</v>
      </c>
      <c r="E2376" t="s">
        <v>2952</v>
      </c>
      <c r="F2376" t="s">
        <v>5489</v>
      </c>
      <c r="G2376">
        <v>25000</v>
      </c>
      <c r="H2376">
        <v>1982</v>
      </c>
      <c r="I2376" t="s">
        <v>58</v>
      </c>
      <c r="J2376" t="s">
        <v>58</v>
      </c>
      <c r="K2376" t="s">
        <v>58</v>
      </c>
      <c r="L2376" t="s">
        <v>58</v>
      </c>
      <c r="M2376" t="s">
        <v>58</v>
      </c>
      <c r="P2376" t="s">
        <v>61</v>
      </c>
      <c r="Q2376" t="s">
        <v>58</v>
      </c>
      <c r="R2376" s="11" t="str">
        <f>HYPERLINK("\\imagefiles.bcgov\imagery\scanned_maps\moe_terrain_maps\Scanned_T_maps_all\R02\R02-1526","\\imagefiles.bcgov\imagery\scanned_maps\moe_terrain_maps\Scanned_T_maps_all\R02\R02-1526")</f>
        <v>\\imagefiles.bcgov\imagery\scanned_maps\moe_terrain_maps\Scanned_T_maps_all\R02\R02-1526</v>
      </c>
      <c r="S2376" t="s">
        <v>62</v>
      </c>
      <c r="T2376" s="11" t="str">
        <f>HYPERLINK("http://www.env.gov.bc.ca/esd/distdata/ecosystems/TEI_Scanned_Maps/R02/R02-1526","http://www.env.gov.bc.ca/esd/distdata/ecosystems/TEI_Scanned_Maps/R02/R02-1526")</f>
        <v>http://www.env.gov.bc.ca/esd/distdata/ecosystems/TEI_Scanned_Maps/R02/R02-1526</v>
      </c>
      <c r="U2376" t="s">
        <v>58</v>
      </c>
      <c r="V2376" t="s">
        <v>58</v>
      </c>
      <c r="W2376" t="s">
        <v>58</v>
      </c>
      <c r="X2376" t="s">
        <v>58</v>
      </c>
      <c r="Y2376" t="s">
        <v>58</v>
      </c>
      <c r="Z2376" t="s">
        <v>58</v>
      </c>
      <c r="AA2376" t="s">
        <v>58</v>
      </c>
      <c r="AC2376" t="s">
        <v>58</v>
      </c>
      <c r="AE2376" t="s">
        <v>58</v>
      </c>
      <c r="AG2376" t="s">
        <v>63</v>
      </c>
      <c r="AH2376" s="11" t="str">
        <f t="shared" si="156"/>
        <v>mailto: soilterrain@victoria1.gov.bc.ca</v>
      </c>
    </row>
    <row r="2377" spans="1:34">
      <c r="A2377" t="s">
        <v>5490</v>
      </c>
      <c r="B2377" t="s">
        <v>56</v>
      </c>
      <c r="C2377" s="10" t="s">
        <v>5491</v>
      </c>
      <c r="D2377" t="s">
        <v>58</v>
      </c>
      <c r="E2377" t="s">
        <v>2952</v>
      </c>
      <c r="F2377" t="s">
        <v>5492</v>
      </c>
      <c r="G2377">
        <v>25000</v>
      </c>
      <c r="H2377">
        <v>1982</v>
      </c>
      <c r="I2377" t="s">
        <v>58</v>
      </c>
      <c r="J2377" t="s">
        <v>58</v>
      </c>
      <c r="K2377" t="s">
        <v>58</v>
      </c>
      <c r="L2377" t="s">
        <v>58</v>
      </c>
      <c r="M2377" t="s">
        <v>58</v>
      </c>
      <c r="P2377" t="s">
        <v>61</v>
      </c>
      <c r="Q2377" t="s">
        <v>58</v>
      </c>
      <c r="R2377" s="11" t="str">
        <f>HYPERLINK("\\imagefiles.bcgov\imagery\scanned_maps\moe_terrain_maps\Scanned_T_maps_all\R02\R02-1531","\\imagefiles.bcgov\imagery\scanned_maps\moe_terrain_maps\Scanned_T_maps_all\R02\R02-1531")</f>
        <v>\\imagefiles.bcgov\imagery\scanned_maps\moe_terrain_maps\Scanned_T_maps_all\R02\R02-1531</v>
      </c>
      <c r="S2377" t="s">
        <v>62</v>
      </c>
      <c r="T2377" s="11" t="str">
        <f>HYPERLINK("http://www.env.gov.bc.ca/esd/distdata/ecosystems/TEI_Scanned_Maps/R02/R02-1531","http://www.env.gov.bc.ca/esd/distdata/ecosystems/TEI_Scanned_Maps/R02/R02-1531")</f>
        <v>http://www.env.gov.bc.ca/esd/distdata/ecosystems/TEI_Scanned_Maps/R02/R02-1531</v>
      </c>
      <c r="U2377" t="s">
        <v>58</v>
      </c>
      <c r="V2377" t="s">
        <v>58</v>
      </c>
      <c r="W2377" t="s">
        <v>58</v>
      </c>
      <c r="X2377" t="s">
        <v>58</v>
      </c>
      <c r="Y2377" t="s">
        <v>58</v>
      </c>
      <c r="Z2377" t="s">
        <v>58</v>
      </c>
      <c r="AA2377" t="s">
        <v>58</v>
      </c>
      <c r="AC2377" t="s">
        <v>58</v>
      </c>
      <c r="AE2377" t="s">
        <v>58</v>
      </c>
      <c r="AG2377" t="s">
        <v>63</v>
      </c>
      <c r="AH2377" s="11" t="str">
        <f t="shared" si="156"/>
        <v>mailto: soilterrain@victoria1.gov.bc.ca</v>
      </c>
    </row>
    <row r="2378" spans="1:34">
      <c r="A2378" t="s">
        <v>5493</v>
      </c>
      <c r="B2378" t="s">
        <v>56</v>
      </c>
      <c r="C2378" s="10" t="s">
        <v>5494</v>
      </c>
      <c r="D2378" t="s">
        <v>58</v>
      </c>
      <c r="E2378" t="s">
        <v>2952</v>
      </c>
      <c r="F2378" t="s">
        <v>5495</v>
      </c>
      <c r="G2378">
        <v>25000</v>
      </c>
      <c r="H2378">
        <v>1982</v>
      </c>
      <c r="I2378" t="s">
        <v>58</v>
      </c>
      <c r="J2378" t="s">
        <v>58</v>
      </c>
      <c r="K2378" t="s">
        <v>58</v>
      </c>
      <c r="L2378" t="s">
        <v>58</v>
      </c>
      <c r="M2378" t="s">
        <v>58</v>
      </c>
      <c r="P2378" t="s">
        <v>61</v>
      </c>
      <c r="Q2378" t="s">
        <v>58</v>
      </c>
      <c r="R2378" s="11" t="str">
        <f>HYPERLINK("\\imagefiles.bcgov\imagery\scanned_maps\moe_terrain_maps\Scanned_T_maps_all\R02\R02-1536","\\imagefiles.bcgov\imagery\scanned_maps\moe_terrain_maps\Scanned_T_maps_all\R02\R02-1536")</f>
        <v>\\imagefiles.bcgov\imagery\scanned_maps\moe_terrain_maps\Scanned_T_maps_all\R02\R02-1536</v>
      </c>
      <c r="S2378" t="s">
        <v>62</v>
      </c>
      <c r="T2378" s="11" t="str">
        <f>HYPERLINK("http://www.env.gov.bc.ca/esd/distdata/ecosystems/TEI_Scanned_Maps/R02/R02-1536","http://www.env.gov.bc.ca/esd/distdata/ecosystems/TEI_Scanned_Maps/R02/R02-1536")</f>
        <v>http://www.env.gov.bc.ca/esd/distdata/ecosystems/TEI_Scanned_Maps/R02/R02-1536</v>
      </c>
      <c r="U2378" t="s">
        <v>58</v>
      </c>
      <c r="V2378" t="s">
        <v>58</v>
      </c>
      <c r="W2378" t="s">
        <v>58</v>
      </c>
      <c r="X2378" t="s">
        <v>58</v>
      </c>
      <c r="Y2378" t="s">
        <v>58</v>
      </c>
      <c r="Z2378" t="s">
        <v>58</v>
      </c>
      <c r="AA2378" t="s">
        <v>58</v>
      </c>
      <c r="AC2378" t="s">
        <v>58</v>
      </c>
      <c r="AE2378" t="s">
        <v>58</v>
      </c>
      <c r="AG2378" t="s">
        <v>63</v>
      </c>
      <c r="AH2378" s="11" t="str">
        <f t="shared" si="156"/>
        <v>mailto: soilterrain@victoria1.gov.bc.ca</v>
      </c>
    </row>
    <row r="2379" spans="1:34">
      <c r="A2379" t="s">
        <v>5496</v>
      </c>
      <c r="B2379" t="s">
        <v>56</v>
      </c>
      <c r="C2379" s="10" t="s">
        <v>5497</v>
      </c>
      <c r="D2379" t="s">
        <v>58</v>
      </c>
      <c r="E2379" t="s">
        <v>2952</v>
      </c>
      <c r="F2379" t="s">
        <v>5498</v>
      </c>
      <c r="G2379">
        <v>25000</v>
      </c>
      <c r="H2379">
        <v>1982</v>
      </c>
      <c r="I2379" t="s">
        <v>58</v>
      </c>
      <c r="J2379" t="s">
        <v>58</v>
      </c>
      <c r="K2379" t="s">
        <v>58</v>
      </c>
      <c r="L2379" t="s">
        <v>58</v>
      </c>
      <c r="M2379" t="s">
        <v>58</v>
      </c>
      <c r="P2379" t="s">
        <v>61</v>
      </c>
      <c r="Q2379" t="s">
        <v>58</v>
      </c>
      <c r="R2379" s="11" t="str">
        <f>HYPERLINK("\\imagefiles.bcgov\imagery\scanned_maps\moe_terrain_maps\Scanned_T_maps_all\R02\R02-1541","\\imagefiles.bcgov\imagery\scanned_maps\moe_terrain_maps\Scanned_T_maps_all\R02\R02-1541")</f>
        <v>\\imagefiles.bcgov\imagery\scanned_maps\moe_terrain_maps\Scanned_T_maps_all\R02\R02-1541</v>
      </c>
      <c r="S2379" t="s">
        <v>62</v>
      </c>
      <c r="T2379" s="11" t="str">
        <f>HYPERLINK("http://www.env.gov.bc.ca/esd/distdata/ecosystems/TEI_Scanned_Maps/R02/R02-1541","http://www.env.gov.bc.ca/esd/distdata/ecosystems/TEI_Scanned_Maps/R02/R02-1541")</f>
        <v>http://www.env.gov.bc.ca/esd/distdata/ecosystems/TEI_Scanned_Maps/R02/R02-1541</v>
      </c>
      <c r="U2379" t="s">
        <v>58</v>
      </c>
      <c r="V2379" t="s">
        <v>58</v>
      </c>
      <c r="W2379" t="s">
        <v>58</v>
      </c>
      <c r="X2379" t="s">
        <v>58</v>
      </c>
      <c r="Y2379" t="s">
        <v>58</v>
      </c>
      <c r="Z2379" t="s">
        <v>58</v>
      </c>
      <c r="AA2379" t="s">
        <v>58</v>
      </c>
      <c r="AC2379" t="s">
        <v>58</v>
      </c>
      <c r="AE2379" t="s">
        <v>58</v>
      </c>
      <c r="AG2379" t="s">
        <v>63</v>
      </c>
      <c r="AH2379" s="11" t="str">
        <f t="shared" si="156"/>
        <v>mailto: soilterrain@victoria1.gov.bc.ca</v>
      </c>
    </row>
    <row r="2380" spans="1:34">
      <c r="A2380" t="s">
        <v>5499</v>
      </c>
      <c r="B2380" t="s">
        <v>56</v>
      </c>
      <c r="C2380" s="10" t="s">
        <v>5500</v>
      </c>
      <c r="D2380" t="s">
        <v>58</v>
      </c>
      <c r="E2380" t="s">
        <v>2952</v>
      </c>
      <c r="F2380" t="s">
        <v>5501</v>
      </c>
      <c r="G2380">
        <v>25000</v>
      </c>
      <c r="H2380">
        <v>1982</v>
      </c>
      <c r="I2380" t="s">
        <v>58</v>
      </c>
      <c r="J2380" t="s">
        <v>58</v>
      </c>
      <c r="K2380" t="s">
        <v>58</v>
      </c>
      <c r="L2380" t="s">
        <v>58</v>
      </c>
      <c r="M2380" t="s">
        <v>58</v>
      </c>
      <c r="P2380" t="s">
        <v>61</v>
      </c>
      <c r="Q2380" t="s">
        <v>58</v>
      </c>
      <c r="R2380" s="11" t="str">
        <f>HYPERLINK("\\imagefiles.bcgov\imagery\scanned_maps\moe_terrain_maps\Scanned_T_maps_all\R02\R02-1546","\\imagefiles.bcgov\imagery\scanned_maps\moe_terrain_maps\Scanned_T_maps_all\R02\R02-1546")</f>
        <v>\\imagefiles.bcgov\imagery\scanned_maps\moe_terrain_maps\Scanned_T_maps_all\R02\R02-1546</v>
      </c>
      <c r="S2380" t="s">
        <v>62</v>
      </c>
      <c r="T2380" s="11" t="str">
        <f>HYPERLINK("http://www.env.gov.bc.ca/esd/distdata/ecosystems/TEI_Scanned_Maps/R02/R02-1546","http://www.env.gov.bc.ca/esd/distdata/ecosystems/TEI_Scanned_Maps/R02/R02-1546")</f>
        <v>http://www.env.gov.bc.ca/esd/distdata/ecosystems/TEI_Scanned_Maps/R02/R02-1546</v>
      </c>
      <c r="U2380" t="s">
        <v>58</v>
      </c>
      <c r="V2380" t="s">
        <v>58</v>
      </c>
      <c r="W2380" t="s">
        <v>58</v>
      </c>
      <c r="X2380" t="s">
        <v>58</v>
      </c>
      <c r="Y2380" t="s">
        <v>58</v>
      </c>
      <c r="Z2380" t="s">
        <v>58</v>
      </c>
      <c r="AA2380" t="s">
        <v>58</v>
      </c>
      <c r="AC2380" t="s">
        <v>58</v>
      </c>
      <c r="AE2380" t="s">
        <v>58</v>
      </c>
      <c r="AG2380" t="s">
        <v>63</v>
      </c>
      <c r="AH2380" s="11" t="str">
        <f t="shared" si="156"/>
        <v>mailto: soilterrain@victoria1.gov.bc.ca</v>
      </c>
    </row>
    <row r="2381" spans="1:34">
      <c r="A2381" t="s">
        <v>5502</v>
      </c>
      <c r="B2381" t="s">
        <v>56</v>
      </c>
      <c r="C2381" s="10" t="s">
        <v>5503</v>
      </c>
      <c r="D2381" t="s">
        <v>58</v>
      </c>
      <c r="E2381" t="s">
        <v>2952</v>
      </c>
      <c r="F2381" t="s">
        <v>5504</v>
      </c>
      <c r="G2381">
        <v>25000</v>
      </c>
      <c r="H2381">
        <v>1982</v>
      </c>
      <c r="I2381" t="s">
        <v>58</v>
      </c>
      <c r="J2381" t="s">
        <v>58</v>
      </c>
      <c r="K2381" t="s">
        <v>58</v>
      </c>
      <c r="L2381" t="s">
        <v>58</v>
      </c>
      <c r="M2381" t="s">
        <v>58</v>
      </c>
      <c r="P2381" t="s">
        <v>61</v>
      </c>
      <c r="Q2381" t="s">
        <v>58</v>
      </c>
      <c r="R2381" s="11" t="str">
        <f>HYPERLINK("\\imagefiles.bcgov\imagery\scanned_maps\moe_terrain_maps\Scanned_T_maps_all\R02\R02-1551","\\imagefiles.bcgov\imagery\scanned_maps\moe_terrain_maps\Scanned_T_maps_all\R02\R02-1551")</f>
        <v>\\imagefiles.bcgov\imagery\scanned_maps\moe_terrain_maps\Scanned_T_maps_all\R02\R02-1551</v>
      </c>
      <c r="S2381" t="s">
        <v>62</v>
      </c>
      <c r="T2381" s="11" t="str">
        <f>HYPERLINK("http://www.env.gov.bc.ca/esd/distdata/ecosystems/TEI_Scanned_Maps/R02/R02-1551","http://www.env.gov.bc.ca/esd/distdata/ecosystems/TEI_Scanned_Maps/R02/R02-1551")</f>
        <v>http://www.env.gov.bc.ca/esd/distdata/ecosystems/TEI_Scanned_Maps/R02/R02-1551</v>
      </c>
      <c r="U2381" t="s">
        <v>58</v>
      </c>
      <c r="V2381" t="s">
        <v>58</v>
      </c>
      <c r="W2381" t="s">
        <v>58</v>
      </c>
      <c r="X2381" t="s">
        <v>58</v>
      </c>
      <c r="Y2381" t="s">
        <v>58</v>
      </c>
      <c r="Z2381" t="s">
        <v>58</v>
      </c>
      <c r="AA2381" t="s">
        <v>58</v>
      </c>
      <c r="AC2381" t="s">
        <v>58</v>
      </c>
      <c r="AE2381" t="s">
        <v>58</v>
      </c>
      <c r="AG2381" t="s">
        <v>63</v>
      </c>
      <c r="AH2381" s="11" t="str">
        <f t="shared" si="156"/>
        <v>mailto: soilterrain@victoria1.gov.bc.ca</v>
      </c>
    </row>
    <row r="2382" spans="1:34">
      <c r="A2382" t="s">
        <v>5505</v>
      </c>
      <c r="B2382" t="s">
        <v>56</v>
      </c>
      <c r="C2382" s="10" t="s">
        <v>5506</v>
      </c>
      <c r="D2382" t="s">
        <v>58</v>
      </c>
      <c r="E2382" t="s">
        <v>2952</v>
      </c>
      <c r="F2382" t="s">
        <v>5507</v>
      </c>
      <c r="G2382">
        <v>25000</v>
      </c>
      <c r="H2382">
        <v>1982</v>
      </c>
      <c r="I2382" t="s">
        <v>58</v>
      </c>
      <c r="J2382" t="s">
        <v>58</v>
      </c>
      <c r="K2382" t="s">
        <v>58</v>
      </c>
      <c r="L2382" t="s">
        <v>58</v>
      </c>
      <c r="M2382" t="s">
        <v>58</v>
      </c>
      <c r="P2382" t="s">
        <v>61</v>
      </c>
      <c r="Q2382" t="s">
        <v>58</v>
      </c>
      <c r="R2382" s="11" t="str">
        <f>HYPERLINK("\\imagefiles.bcgov\imagery\scanned_maps\moe_terrain_maps\Scanned_T_maps_all\R02\R02-1556","\\imagefiles.bcgov\imagery\scanned_maps\moe_terrain_maps\Scanned_T_maps_all\R02\R02-1556")</f>
        <v>\\imagefiles.bcgov\imagery\scanned_maps\moe_terrain_maps\Scanned_T_maps_all\R02\R02-1556</v>
      </c>
      <c r="S2382" t="s">
        <v>62</v>
      </c>
      <c r="T2382" s="11" t="str">
        <f>HYPERLINK("http://www.env.gov.bc.ca/esd/distdata/ecosystems/TEI_Scanned_Maps/R02/R02-1556","http://www.env.gov.bc.ca/esd/distdata/ecosystems/TEI_Scanned_Maps/R02/R02-1556")</f>
        <v>http://www.env.gov.bc.ca/esd/distdata/ecosystems/TEI_Scanned_Maps/R02/R02-1556</v>
      </c>
      <c r="U2382" t="s">
        <v>58</v>
      </c>
      <c r="V2382" t="s">
        <v>58</v>
      </c>
      <c r="W2382" t="s">
        <v>58</v>
      </c>
      <c r="X2382" t="s">
        <v>58</v>
      </c>
      <c r="Y2382" t="s">
        <v>58</v>
      </c>
      <c r="Z2382" t="s">
        <v>58</v>
      </c>
      <c r="AA2382" t="s">
        <v>58</v>
      </c>
      <c r="AC2382" t="s">
        <v>58</v>
      </c>
      <c r="AE2382" t="s">
        <v>58</v>
      </c>
      <c r="AG2382" t="s">
        <v>63</v>
      </c>
      <c r="AH2382" s="11" t="str">
        <f t="shared" si="156"/>
        <v>mailto: soilterrain@victoria1.gov.bc.ca</v>
      </c>
    </row>
    <row r="2383" spans="1:34">
      <c r="A2383" t="s">
        <v>5508</v>
      </c>
      <c r="B2383" t="s">
        <v>56</v>
      </c>
      <c r="C2383" s="10" t="s">
        <v>5509</v>
      </c>
      <c r="D2383" t="s">
        <v>58</v>
      </c>
      <c r="E2383" t="s">
        <v>2952</v>
      </c>
      <c r="F2383" t="s">
        <v>5510</v>
      </c>
      <c r="G2383">
        <v>25000</v>
      </c>
      <c r="H2383">
        <v>1982</v>
      </c>
      <c r="I2383" t="s">
        <v>58</v>
      </c>
      <c r="J2383" t="s">
        <v>58</v>
      </c>
      <c r="K2383" t="s">
        <v>58</v>
      </c>
      <c r="L2383" t="s">
        <v>58</v>
      </c>
      <c r="M2383" t="s">
        <v>58</v>
      </c>
      <c r="P2383" t="s">
        <v>61</v>
      </c>
      <c r="Q2383" t="s">
        <v>58</v>
      </c>
      <c r="R2383" s="11" t="str">
        <f>HYPERLINK("\\imagefiles.bcgov\imagery\scanned_maps\moe_terrain_maps\Scanned_T_maps_all\R02\R02-1561","\\imagefiles.bcgov\imagery\scanned_maps\moe_terrain_maps\Scanned_T_maps_all\R02\R02-1561")</f>
        <v>\\imagefiles.bcgov\imagery\scanned_maps\moe_terrain_maps\Scanned_T_maps_all\R02\R02-1561</v>
      </c>
      <c r="S2383" t="s">
        <v>62</v>
      </c>
      <c r="T2383" s="11" t="str">
        <f>HYPERLINK("http://www.env.gov.bc.ca/esd/distdata/ecosystems/TEI_Scanned_Maps/R02/R02-1561","http://www.env.gov.bc.ca/esd/distdata/ecosystems/TEI_Scanned_Maps/R02/R02-1561")</f>
        <v>http://www.env.gov.bc.ca/esd/distdata/ecosystems/TEI_Scanned_Maps/R02/R02-1561</v>
      </c>
      <c r="U2383" t="s">
        <v>58</v>
      </c>
      <c r="V2383" t="s">
        <v>58</v>
      </c>
      <c r="W2383" t="s">
        <v>58</v>
      </c>
      <c r="X2383" t="s">
        <v>58</v>
      </c>
      <c r="Y2383" t="s">
        <v>58</v>
      </c>
      <c r="Z2383" t="s">
        <v>58</v>
      </c>
      <c r="AA2383" t="s">
        <v>58</v>
      </c>
      <c r="AC2383" t="s">
        <v>58</v>
      </c>
      <c r="AE2383" t="s">
        <v>58</v>
      </c>
      <c r="AG2383" t="s">
        <v>63</v>
      </c>
      <c r="AH2383" s="11" t="str">
        <f t="shared" si="156"/>
        <v>mailto: soilterrain@victoria1.gov.bc.ca</v>
      </c>
    </row>
    <row r="2384" spans="1:34">
      <c r="A2384" t="s">
        <v>5511</v>
      </c>
      <c r="B2384" t="s">
        <v>56</v>
      </c>
      <c r="C2384" s="10" t="s">
        <v>5512</v>
      </c>
      <c r="D2384" t="s">
        <v>58</v>
      </c>
      <c r="E2384" t="s">
        <v>2952</v>
      </c>
      <c r="F2384" t="s">
        <v>5513</v>
      </c>
      <c r="G2384">
        <v>25000</v>
      </c>
      <c r="H2384">
        <v>1982</v>
      </c>
      <c r="I2384" t="s">
        <v>58</v>
      </c>
      <c r="J2384" t="s">
        <v>58</v>
      </c>
      <c r="K2384" t="s">
        <v>58</v>
      </c>
      <c r="L2384" t="s">
        <v>58</v>
      </c>
      <c r="M2384" t="s">
        <v>58</v>
      </c>
      <c r="P2384" t="s">
        <v>61</v>
      </c>
      <c r="Q2384" t="s">
        <v>58</v>
      </c>
      <c r="R2384" s="11" t="str">
        <f>HYPERLINK("\\imagefiles.bcgov\imagery\scanned_maps\moe_terrain_maps\Scanned_T_maps_all\R02\R02-1566","\\imagefiles.bcgov\imagery\scanned_maps\moe_terrain_maps\Scanned_T_maps_all\R02\R02-1566")</f>
        <v>\\imagefiles.bcgov\imagery\scanned_maps\moe_terrain_maps\Scanned_T_maps_all\R02\R02-1566</v>
      </c>
      <c r="S2384" t="s">
        <v>62</v>
      </c>
      <c r="T2384" s="11" t="str">
        <f>HYPERLINK("http://www.env.gov.bc.ca/esd/distdata/ecosystems/TEI_Scanned_Maps/R02/R02-1566","http://www.env.gov.bc.ca/esd/distdata/ecosystems/TEI_Scanned_Maps/R02/R02-1566")</f>
        <v>http://www.env.gov.bc.ca/esd/distdata/ecosystems/TEI_Scanned_Maps/R02/R02-1566</v>
      </c>
      <c r="U2384" t="s">
        <v>58</v>
      </c>
      <c r="V2384" t="s">
        <v>58</v>
      </c>
      <c r="W2384" t="s">
        <v>58</v>
      </c>
      <c r="X2384" t="s">
        <v>58</v>
      </c>
      <c r="Y2384" t="s">
        <v>58</v>
      </c>
      <c r="Z2384" t="s">
        <v>58</v>
      </c>
      <c r="AA2384" t="s">
        <v>58</v>
      </c>
      <c r="AC2384" t="s">
        <v>58</v>
      </c>
      <c r="AE2384" t="s">
        <v>58</v>
      </c>
      <c r="AG2384" t="s">
        <v>63</v>
      </c>
      <c r="AH2384" s="11" t="str">
        <f t="shared" si="156"/>
        <v>mailto: soilterrain@victoria1.gov.bc.ca</v>
      </c>
    </row>
    <row r="2385" spans="1:34">
      <c r="A2385" t="s">
        <v>5514</v>
      </c>
      <c r="B2385" t="s">
        <v>56</v>
      </c>
      <c r="C2385" s="10" t="s">
        <v>5515</v>
      </c>
      <c r="D2385" t="s">
        <v>58</v>
      </c>
      <c r="E2385" t="s">
        <v>2952</v>
      </c>
      <c r="F2385" t="s">
        <v>5516</v>
      </c>
      <c r="G2385">
        <v>25000</v>
      </c>
      <c r="H2385">
        <v>1982</v>
      </c>
      <c r="I2385" t="s">
        <v>58</v>
      </c>
      <c r="J2385" t="s">
        <v>58</v>
      </c>
      <c r="K2385" t="s">
        <v>58</v>
      </c>
      <c r="L2385" t="s">
        <v>58</v>
      </c>
      <c r="M2385" t="s">
        <v>58</v>
      </c>
      <c r="P2385" t="s">
        <v>61</v>
      </c>
      <c r="Q2385" t="s">
        <v>58</v>
      </c>
      <c r="R2385" s="11" t="str">
        <f>HYPERLINK("\\imagefiles.bcgov\imagery\scanned_maps\moe_terrain_maps\Scanned_T_maps_all\R02\R02-1571","\\imagefiles.bcgov\imagery\scanned_maps\moe_terrain_maps\Scanned_T_maps_all\R02\R02-1571")</f>
        <v>\\imagefiles.bcgov\imagery\scanned_maps\moe_terrain_maps\Scanned_T_maps_all\R02\R02-1571</v>
      </c>
      <c r="S2385" t="s">
        <v>62</v>
      </c>
      <c r="T2385" s="11" t="str">
        <f>HYPERLINK("http://www.env.gov.bc.ca/esd/distdata/ecosystems/TEI_Scanned_Maps/R02/R02-1571","http://www.env.gov.bc.ca/esd/distdata/ecosystems/TEI_Scanned_Maps/R02/R02-1571")</f>
        <v>http://www.env.gov.bc.ca/esd/distdata/ecosystems/TEI_Scanned_Maps/R02/R02-1571</v>
      </c>
      <c r="U2385" t="s">
        <v>58</v>
      </c>
      <c r="V2385" t="s">
        <v>58</v>
      </c>
      <c r="W2385" t="s">
        <v>58</v>
      </c>
      <c r="X2385" t="s">
        <v>58</v>
      </c>
      <c r="Y2385" t="s">
        <v>58</v>
      </c>
      <c r="Z2385" t="s">
        <v>58</v>
      </c>
      <c r="AA2385" t="s">
        <v>58</v>
      </c>
      <c r="AC2385" t="s">
        <v>58</v>
      </c>
      <c r="AE2385" t="s">
        <v>58</v>
      </c>
      <c r="AG2385" t="s">
        <v>63</v>
      </c>
      <c r="AH2385" s="11" t="str">
        <f t="shared" si="156"/>
        <v>mailto: soilterrain@victoria1.gov.bc.ca</v>
      </c>
    </row>
    <row r="2386" spans="1:34">
      <c r="A2386" t="s">
        <v>5517</v>
      </c>
      <c r="B2386" t="s">
        <v>56</v>
      </c>
      <c r="C2386" s="10" t="s">
        <v>5518</v>
      </c>
      <c r="D2386" t="s">
        <v>58</v>
      </c>
      <c r="E2386" t="s">
        <v>2952</v>
      </c>
      <c r="F2386" t="s">
        <v>5519</v>
      </c>
      <c r="G2386">
        <v>25000</v>
      </c>
      <c r="H2386">
        <v>1982</v>
      </c>
      <c r="I2386" t="s">
        <v>58</v>
      </c>
      <c r="J2386" t="s">
        <v>58</v>
      </c>
      <c r="K2386" t="s">
        <v>58</v>
      </c>
      <c r="L2386" t="s">
        <v>58</v>
      </c>
      <c r="M2386" t="s">
        <v>58</v>
      </c>
      <c r="P2386" t="s">
        <v>61</v>
      </c>
      <c r="Q2386" t="s">
        <v>58</v>
      </c>
      <c r="R2386" s="11" t="str">
        <f>HYPERLINK("\\imagefiles.bcgov\imagery\scanned_maps\moe_terrain_maps\Scanned_T_maps_all\R02\R02-1576","\\imagefiles.bcgov\imagery\scanned_maps\moe_terrain_maps\Scanned_T_maps_all\R02\R02-1576")</f>
        <v>\\imagefiles.bcgov\imagery\scanned_maps\moe_terrain_maps\Scanned_T_maps_all\R02\R02-1576</v>
      </c>
      <c r="S2386" t="s">
        <v>62</v>
      </c>
      <c r="T2386" s="11" t="str">
        <f>HYPERLINK("http://www.env.gov.bc.ca/esd/distdata/ecosystems/TEI_Scanned_Maps/R02/R02-1576","http://www.env.gov.bc.ca/esd/distdata/ecosystems/TEI_Scanned_Maps/R02/R02-1576")</f>
        <v>http://www.env.gov.bc.ca/esd/distdata/ecosystems/TEI_Scanned_Maps/R02/R02-1576</v>
      </c>
      <c r="U2386" t="s">
        <v>58</v>
      </c>
      <c r="V2386" t="s">
        <v>58</v>
      </c>
      <c r="W2386" t="s">
        <v>58</v>
      </c>
      <c r="X2386" t="s">
        <v>58</v>
      </c>
      <c r="Y2386" t="s">
        <v>58</v>
      </c>
      <c r="Z2386" t="s">
        <v>58</v>
      </c>
      <c r="AA2386" t="s">
        <v>58</v>
      </c>
      <c r="AC2386" t="s">
        <v>58</v>
      </c>
      <c r="AE2386" t="s">
        <v>58</v>
      </c>
      <c r="AG2386" t="s">
        <v>63</v>
      </c>
      <c r="AH2386" s="11" t="str">
        <f t="shared" si="156"/>
        <v>mailto: soilterrain@victoria1.gov.bc.ca</v>
      </c>
    </row>
    <row r="2387" spans="1:34">
      <c r="A2387" t="s">
        <v>5520</v>
      </c>
      <c r="B2387" t="s">
        <v>56</v>
      </c>
      <c r="C2387" s="10" t="s">
        <v>5521</v>
      </c>
      <c r="D2387" t="s">
        <v>58</v>
      </c>
      <c r="E2387" t="s">
        <v>2952</v>
      </c>
      <c r="F2387" t="s">
        <v>5522</v>
      </c>
      <c r="G2387">
        <v>25000</v>
      </c>
      <c r="H2387">
        <v>1981</v>
      </c>
      <c r="I2387" t="s">
        <v>58</v>
      </c>
      <c r="J2387" t="s">
        <v>58</v>
      </c>
      <c r="K2387" t="s">
        <v>58</v>
      </c>
      <c r="L2387" t="s">
        <v>58</v>
      </c>
      <c r="M2387" t="s">
        <v>58</v>
      </c>
      <c r="P2387" t="s">
        <v>61</v>
      </c>
      <c r="Q2387" t="s">
        <v>58</v>
      </c>
      <c r="R2387" s="11" t="str">
        <f>HYPERLINK("\\imagefiles.bcgov\imagery\scanned_maps\moe_terrain_maps\Scanned_T_maps_all\R02\R02-1581","\\imagefiles.bcgov\imagery\scanned_maps\moe_terrain_maps\Scanned_T_maps_all\R02\R02-1581")</f>
        <v>\\imagefiles.bcgov\imagery\scanned_maps\moe_terrain_maps\Scanned_T_maps_all\R02\R02-1581</v>
      </c>
      <c r="S2387" t="s">
        <v>62</v>
      </c>
      <c r="T2387" s="11" t="str">
        <f>HYPERLINK("http://www.env.gov.bc.ca/esd/distdata/ecosystems/TEI_Scanned_Maps/R02/R02-1581","http://www.env.gov.bc.ca/esd/distdata/ecosystems/TEI_Scanned_Maps/R02/R02-1581")</f>
        <v>http://www.env.gov.bc.ca/esd/distdata/ecosystems/TEI_Scanned_Maps/R02/R02-1581</v>
      </c>
      <c r="U2387" t="s">
        <v>58</v>
      </c>
      <c r="V2387" t="s">
        <v>58</v>
      </c>
      <c r="W2387" t="s">
        <v>58</v>
      </c>
      <c r="X2387" t="s">
        <v>58</v>
      </c>
      <c r="Y2387" t="s">
        <v>58</v>
      </c>
      <c r="Z2387" t="s">
        <v>58</v>
      </c>
      <c r="AA2387" t="s">
        <v>58</v>
      </c>
      <c r="AC2387" t="s">
        <v>58</v>
      </c>
      <c r="AE2387" t="s">
        <v>58</v>
      </c>
      <c r="AG2387" t="s">
        <v>63</v>
      </c>
      <c r="AH2387" s="11" t="str">
        <f t="shared" si="156"/>
        <v>mailto: soilterrain@victoria1.gov.bc.ca</v>
      </c>
    </row>
    <row r="2388" spans="1:34">
      <c r="A2388" t="s">
        <v>5523</v>
      </c>
      <c r="B2388" t="s">
        <v>56</v>
      </c>
      <c r="C2388" s="10" t="s">
        <v>5524</v>
      </c>
      <c r="D2388" t="s">
        <v>58</v>
      </c>
      <c r="E2388" t="s">
        <v>2952</v>
      </c>
      <c r="F2388" t="s">
        <v>5525</v>
      </c>
      <c r="G2388">
        <v>25000</v>
      </c>
      <c r="H2388">
        <v>1976</v>
      </c>
      <c r="I2388" t="s">
        <v>58</v>
      </c>
      <c r="J2388" t="s">
        <v>58</v>
      </c>
      <c r="K2388" t="s">
        <v>58</v>
      </c>
      <c r="L2388" t="s">
        <v>58</v>
      </c>
      <c r="M2388" t="s">
        <v>58</v>
      </c>
      <c r="P2388" t="s">
        <v>61</v>
      </c>
      <c r="Q2388" t="s">
        <v>58</v>
      </c>
      <c r="R2388" s="11" t="str">
        <f>HYPERLINK("\\imagefiles.bcgov\imagery\scanned_maps\moe_terrain_maps\Scanned_T_maps_all\R02\R02-1586","\\imagefiles.bcgov\imagery\scanned_maps\moe_terrain_maps\Scanned_T_maps_all\R02\R02-1586")</f>
        <v>\\imagefiles.bcgov\imagery\scanned_maps\moe_terrain_maps\Scanned_T_maps_all\R02\R02-1586</v>
      </c>
      <c r="S2388" t="s">
        <v>62</v>
      </c>
      <c r="T2388" s="11" t="str">
        <f>HYPERLINK("http://www.env.gov.bc.ca/esd/distdata/ecosystems/TEI_Scanned_Maps/R02/R02-1586","http://www.env.gov.bc.ca/esd/distdata/ecosystems/TEI_Scanned_Maps/R02/R02-1586")</f>
        <v>http://www.env.gov.bc.ca/esd/distdata/ecosystems/TEI_Scanned_Maps/R02/R02-1586</v>
      </c>
      <c r="U2388" t="s">
        <v>58</v>
      </c>
      <c r="V2388" t="s">
        <v>58</v>
      </c>
      <c r="W2388" t="s">
        <v>58</v>
      </c>
      <c r="X2388" t="s">
        <v>58</v>
      </c>
      <c r="Y2388" t="s">
        <v>58</v>
      </c>
      <c r="Z2388" t="s">
        <v>58</v>
      </c>
      <c r="AA2388" t="s">
        <v>58</v>
      </c>
      <c r="AC2388" t="s">
        <v>58</v>
      </c>
      <c r="AE2388" t="s">
        <v>58</v>
      </c>
      <c r="AG2388" t="s">
        <v>63</v>
      </c>
      <c r="AH2388" s="11" t="str">
        <f t="shared" si="156"/>
        <v>mailto: soilterrain@victoria1.gov.bc.ca</v>
      </c>
    </row>
    <row r="2389" spans="1:34">
      <c r="A2389" t="s">
        <v>5526</v>
      </c>
      <c r="B2389" t="s">
        <v>56</v>
      </c>
      <c r="C2389" s="10" t="s">
        <v>5527</v>
      </c>
      <c r="D2389" t="s">
        <v>58</v>
      </c>
      <c r="E2389" t="s">
        <v>2952</v>
      </c>
      <c r="F2389" t="s">
        <v>5528</v>
      </c>
      <c r="G2389">
        <v>25000</v>
      </c>
      <c r="H2389">
        <v>1976</v>
      </c>
      <c r="I2389" t="s">
        <v>58</v>
      </c>
      <c r="J2389" t="s">
        <v>58</v>
      </c>
      <c r="K2389" t="s">
        <v>58</v>
      </c>
      <c r="L2389" t="s">
        <v>58</v>
      </c>
      <c r="M2389" t="s">
        <v>58</v>
      </c>
      <c r="P2389" t="s">
        <v>61</v>
      </c>
      <c r="Q2389" t="s">
        <v>58</v>
      </c>
      <c r="R2389" s="11" t="str">
        <f>HYPERLINK("\\imagefiles.bcgov\imagery\scanned_maps\moe_terrain_maps\Scanned_T_maps_all\R02\R02-1591","\\imagefiles.bcgov\imagery\scanned_maps\moe_terrain_maps\Scanned_T_maps_all\R02\R02-1591")</f>
        <v>\\imagefiles.bcgov\imagery\scanned_maps\moe_terrain_maps\Scanned_T_maps_all\R02\R02-1591</v>
      </c>
      <c r="S2389" t="s">
        <v>62</v>
      </c>
      <c r="T2389" s="11" t="str">
        <f>HYPERLINK("http://www.env.gov.bc.ca/esd/distdata/ecosystems/TEI_Scanned_Maps/R02/R02-1591","http://www.env.gov.bc.ca/esd/distdata/ecosystems/TEI_Scanned_Maps/R02/R02-1591")</f>
        <v>http://www.env.gov.bc.ca/esd/distdata/ecosystems/TEI_Scanned_Maps/R02/R02-1591</v>
      </c>
      <c r="U2389" t="s">
        <v>58</v>
      </c>
      <c r="V2389" t="s">
        <v>58</v>
      </c>
      <c r="W2389" t="s">
        <v>58</v>
      </c>
      <c r="X2389" t="s">
        <v>58</v>
      </c>
      <c r="Y2389" t="s">
        <v>58</v>
      </c>
      <c r="Z2389" t="s">
        <v>58</v>
      </c>
      <c r="AA2389" t="s">
        <v>58</v>
      </c>
      <c r="AC2389" t="s">
        <v>58</v>
      </c>
      <c r="AE2389" t="s">
        <v>58</v>
      </c>
      <c r="AG2389" t="s">
        <v>63</v>
      </c>
      <c r="AH2389" s="11" t="str">
        <f t="shared" si="156"/>
        <v>mailto: soilterrain@victoria1.gov.bc.ca</v>
      </c>
    </row>
    <row r="2390" spans="1:34">
      <c r="A2390" t="s">
        <v>5529</v>
      </c>
      <c r="B2390" t="s">
        <v>56</v>
      </c>
      <c r="C2390" s="10" t="s">
        <v>5530</v>
      </c>
      <c r="D2390" t="s">
        <v>58</v>
      </c>
      <c r="E2390" t="s">
        <v>2952</v>
      </c>
      <c r="F2390" t="s">
        <v>5531</v>
      </c>
      <c r="G2390">
        <v>25000</v>
      </c>
      <c r="H2390">
        <v>1981</v>
      </c>
      <c r="I2390" t="s">
        <v>58</v>
      </c>
      <c r="J2390" t="s">
        <v>58</v>
      </c>
      <c r="K2390" t="s">
        <v>58</v>
      </c>
      <c r="L2390" t="s">
        <v>58</v>
      </c>
      <c r="M2390" t="s">
        <v>58</v>
      </c>
      <c r="P2390" t="s">
        <v>61</v>
      </c>
      <c r="Q2390" t="s">
        <v>58</v>
      </c>
      <c r="R2390" s="11" t="str">
        <f>HYPERLINK("\\imagefiles.bcgov\imagery\scanned_maps\moe_terrain_maps\Scanned_T_maps_all\R02\R02-1596","\\imagefiles.bcgov\imagery\scanned_maps\moe_terrain_maps\Scanned_T_maps_all\R02\R02-1596")</f>
        <v>\\imagefiles.bcgov\imagery\scanned_maps\moe_terrain_maps\Scanned_T_maps_all\R02\R02-1596</v>
      </c>
      <c r="S2390" t="s">
        <v>62</v>
      </c>
      <c r="T2390" s="11" t="str">
        <f>HYPERLINK("http://www.env.gov.bc.ca/esd/distdata/ecosystems/TEI_Scanned_Maps/R02/R02-1596","http://www.env.gov.bc.ca/esd/distdata/ecosystems/TEI_Scanned_Maps/R02/R02-1596")</f>
        <v>http://www.env.gov.bc.ca/esd/distdata/ecosystems/TEI_Scanned_Maps/R02/R02-1596</v>
      </c>
      <c r="U2390" t="s">
        <v>58</v>
      </c>
      <c r="V2390" t="s">
        <v>58</v>
      </c>
      <c r="W2390" t="s">
        <v>58</v>
      </c>
      <c r="X2390" t="s">
        <v>58</v>
      </c>
      <c r="Y2390" t="s">
        <v>58</v>
      </c>
      <c r="Z2390" t="s">
        <v>58</v>
      </c>
      <c r="AA2390" t="s">
        <v>58</v>
      </c>
      <c r="AC2390" t="s">
        <v>58</v>
      </c>
      <c r="AE2390" t="s">
        <v>58</v>
      </c>
      <c r="AG2390" t="s">
        <v>63</v>
      </c>
      <c r="AH2390" s="11" t="str">
        <f t="shared" si="156"/>
        <v>mailto: soilterrain@victoria1.gov.bc.ca</v>
      </c>
    </row>
    <row r="2391" spans="1:34">
      <c r="A2391" t="s">
        <v>5532</v>
      </c>
      <c r="B2391" t="s">
        <v>56</v>
      </c>
      <c r="C2391" s="10" t="s">
        <v>5533</v>
      </c>
      <c r="D2391" t="s">
        <v>58</v>
      </c>
      <c r="E2391" t="s">
        <v>2952</v>
      </c>
      <c r="F2391" t="s">
        <v>5534</v>
      </c>
      <c r="G2391">
        <v>25000</v>
      </c>
      <c r="H2391">
        <v>1981</v>
      </c>
      <c r="I2391" t="s">
        <v>58</v>
      </c>
      <c r="J2391" t="s">
        <v>58</v>
      </c>
      <c r="K2391" t="s">
        <v>58</v>
      </c>
      <c r="L2391" t="s">
        <v>58</v>
      </c>
      <c r="M2391" t="s">
        <v>58</v>
      </c>
      <c r="P2391" t="s">
        <v>61</v>
      </c>
      <c r="Q2391" t="s">
        <v>58</v>
      </c>
      <c r="R2391" s="11" t="str">
        <f>HYPERLINK("\\imagefiles.bcgov\imagery\scanned_maps\moe_terrain_maps\Scanned_T_maps_all\R02\R02-1611","\\imagefiles.bcgov\imagery\scanned_maps\moe_terrain_maps\Scanned_T_maps_all\R02\R02-1611")</f>
        <v>\\imagefiles.bcgov\imagery\scanned_maps\moe_terrain_maps\Scanned_T_maps_all\R02\R02-1611</v>
      </c>
      <c r="S2391" t="s">
        <v>62</v>
      </c>
      <c r="T2391" s="11" t="str">
        <f>HYPERLINK("http://www.env.gov.bc.ca/esd/distdata/ecosystems/TEI_Scanned_Maps/R02/R02-1611","http://www.env.gov.bc.ca/esd/distdata/ecosystems/TEI_Scanned_Maps/R02/R02-1611")</f>
        <v>http://www.env.gov.bc.ca/esd/distdata/ecosystems/TEI_Scanned_Maps/R02/R02-1611</v>
      </c>
      <c r="U2391" t="s">
        <v>58</v>
      </c>
      <c r="V2391" t="s">
        <v>58</v>
      </c>
      <c r="W2391" t="s">
        <v>58</v>
      </c>
      <c r="X2391" t="s">
        <v>58</v>
      </c>
      <c r="Y2391" t="s">
        <v>58</v>
      </c>
      <c r="Z2391" t="s">
        <v>58</v>
      </c>
      <c r="AA2391" t="s">
        <v>58</v>
      </c>
      <c r="AC2391" t="s">
        <v>58</v>
      </c>
      <c r="AE2391" t="s">
        <v>58</v>
      </c>
      <c r="AG2391" t="s">
        <v>63</v>
      </c>
      <c r="AH2391" s="11" t="str">
        <f t="shared" si="156"/>
        <v>mailto: soilterrain@victoria1.gov.bc.ca</v>
      </c>
    </row>
    <row r="2392" spans="1:34">
      <c r="A2392" t="s">
        <v>5535</v>
      </c>
      <c r="B2392" t="s">
        <v>56</v>
      </c>
      <c r="C2392" s="10" t="s">
        <v>5536</v>
      </c>
      <c r="D2392" t="s">
        <v>58</v>
      </c>
      <c r="E2392" t="s">
        <v>2952</v>
      </c>
      <c r="F2392" t="s">
        <v>5537</v>
      </c>
      <c r="G2392">
        <v>25000</v>
      </c>
      <c r="H2392">
        <v>1981</v>
      </c>
      <c r="I2392" t="s">
        <v>58</v>
      </c>
      <c r="J2392" t="s">
        <v>58</v>
      </c>
      <c r="K2392" t="s">
        <v>58</v>
      </c>
      <c r="L2392" t="s">
        <v>58</v>
      </c>
      <c r="M2392" t="s">
        <v>58</v>
      </c>
      <c r="P2392" t="s">
        <v>61</v>
      </c>
      <c r="Q2392" t="s">
        <v>58</v>
      </c>
      <c r="R2392" s="11" t="str">
        <f>HYPERLINK("\\imagefiles.bcgov\imagery\scanned_maps\moe_terrain_maps\Scanned_T_maps_all\R02\R02-1616","\\imagefiles.bcgov\imagery\scanned_maps\moe_terrain_maps\Scanned_T_maps_all\R02\R02-1616")</f>
        <v>\\imagefiles.bcgov\imagery\scanned_maps\moe_terrain_maps\Scanned_T_maps_all\R02\R02-1616</v>
      </c>
      <c r="S2392" t="s">
        <v>62</v>
      </c>
      <c r="T2392" s="11" t="str">
        <f>HYPERLINK("http://www.env.gov.bc.ca/esd/distdata/ecosystems/TEI_Scanned_Maps/R02/R02-1616","http://www.env.gov.bc.ca/esd/distdata/ecosystems/TEI_Scanned_Maps/R02/R02-1616")</f>
        <v>http://www.env.gov.bc.ca/esd/distdata/ecosystems/TEI_Scanned_Maps/R02/R02-1616</v>
      </c>
      <c r="U2392" t="s">
        <v>58</v>
      </c>
      <c r="V2392" t="s">
        <v>58</v>
      </c>
      <c r="W2392" t="s">
        <v>58</v>
      </c>
      <c r="X2392" t="s">
        <v>58</v>
      </c>
      <c r="Y2392" t="s">
        <v>58</v>
      </c>
      <c r="Z2392" t="s">
        <v>58</v>
      </c>
      <c r="AA2392" t="s">
        <v>58</v>
      </c>
      <c r="AC2392" t="s">
        <v>58</v>
      </c>
      <c r="AE2392" t="s">
        <v>58</v>
      </c>
      <c r="AG2392" t="s">
        <v>63</v>
      </c>
      <c r="AH2392" s="11" t="str">
        <f t="shared" si="156"/>
        <v>mailto: soilterrain@victoria1.gov.bc.ca</v>
      </c>
    </row>
    <row r="2393" spans="1:34">
      <c r="A2393" t="s">
        <v>5538</v>
      </c>
      <c r="B2393" t="s">
        <v>56</v>
      </c>
      <c r="C2393" s="10" t="s">
        <v>5539</v>
      </c>
      <c r="D2393" t="s">
        <v>58</v>
      </c>
      <c r="E2393" t="s">
        <v>2952</v>
      </c>
      <c r="F2393" t="s">
        <v>5540</v>
      </c>
      <c r="G2393">
        <v>25000</v>
      </c>
      <c r="H2393">
        <v>1981</v>
      </c>
      <c r="I2393" t="s">
        <v>58</v>
      </c>
      <c r="J2393" t="s">
        <v>58</v>
      </c>
      <c r="K2393" t="s">
        <v>58</v>
      </c>
      <c r="L2393" t="s">
        <v>58</v>
      </c>
      <c r="M2393" t="s">
        <v>58</v>
      </c>
      <c r="P2393" t="s">
        <v>61</v>
      </c>
      <c r="Q2393" t="s">
        <v>58</v>
      </c>
      <c r="R2393" s="11" t="str">
        <f>HYPERLINK("\\imagefiles.bcgov\imagery\scanned_maps\moe_terrain_maps\Scanned_T_maps_all\R02\R02-1673","\\imagefiles.bcgov\imagery\scanned_maps\moe_terrain_maps\Scanned_T_maps_all\R02\R02-1673")</f>
        <v>\\imagefiles.bcgov\imagery\scanned_maps\moe_terrain_maps\Scanned_T_maps_all\R02\R02-1673</v>
      </c>
      <c r="S2393" t="s">
        <v>62</v>
      </c>
      <c r="T2393" s="11" t="str">
        <f>HYPERLINK("http://www.env.gov.bc.ca/esd/distdata/ecosystems/TEI_Scanned_Maps/R02/R02-1673","http://www.env.gov.bc.ca/esd/distdata/ecosystems/TEI_Scanned_Maps/R02/R02-1673")</f>
        <v>http://www.env.gov.bc.ca/esd/distdata/ecosystems/TEI_Scanned_Maps/R02/R02-1673</v>
      </c>
      <c r="U2393" t="s">
        <v>58</v>
      </c>
      <c r="V2393" t="s">
        <v>58</v>
      </c>
      <c r="W2393" t="s">
        <v>58</v>
      </c>
      <c r="X2393" t="s">
        <v>58</v>
      </c>
      <c r="Y2393" t="s">
        <v>58</v>
      </c>
      <c r="Z2393" t="s">
        <v>58</v>
      </c>
      <c r="AA2393" t="s">
        <v>58</v>
      </c>
      <c r="AC2393" t="s">
        <v>58</v>
      </c>
      <c r="AE2393" t="s">
        <v>58</v>
      </c>
      <c r="AG2393" t="s">
        <v>63</v>
      </c>
      <c r="AH2393" s="11" t="str">
        <f t="shared" si="156"/>
        <v>mailto: soilterrain@victoria1.gov.bc.ca</v>
      </c>
    </row>
    <row r="2394" spans="1:34">
      <c r="A2394" t="s">
        <v>5541</v>
      </c>
      <c r="B2394" t="s">
        <v>56</v>
      </c>
      <c r="C2394" s="10" t="s">
        <v>5542</v>
      </c>
      <c r="D2394" t="s">
        <v>58</v>
      </c>
      <c r="E2394" t="s">
        <v>2952</v>
      </c>
      <c r="F2394" t="s">
        <v>5543</v>
      </c>
      <c r="G2394">
        <v>25000</v>
      </c>
      <c r="H2394">
        <v>1981</v>
      </c>
      <c r="I2394" t="s">
        <v>58</v>
      </c>
      <c r="J2394" t="s">
        <v>58</v>
      </c>
      <c r="K2394" t="s">
        <v>58</v>
      </c>
      <c r="L2394" t="s">
        <v>58</v>
      </c>
      <c r="M2394" t="s">
        <v>58</v>
      </c>
      <c r="P2394" t="s">
        <v>61</v>
      </c>
      <c r="Q2394" t="s">
        <v>58</v>
      </c>
      <c r="R2394" s="11" t="str">
        <f>HYPERLINK("\\imagefiles.bcgov\imagery\scanned_maps\moe_terrain_maps\Scanned_T_maps_all\R02\R02-1677","\\imagefiles.bcgov\imagery\scanned_maps\moe_terrain_maps\Scanned_T_maps_all\R02\R02-1677")</f>
        <v>\\imagefiles.bcgov\imagery\scanned_maps\moe_terrain_maps\Scanned_T_maps_all\R02\R02-1677</v>
      </c>
      <c r="S2394" t="s">
        <v>62</v>
      </c>
      <c r="T2394" s="11" t="str">
        <f>HYPERLINK("http://www.env.gov.bc.ca/esd/distdata/ecosystems/TEI_Scanned_Maps/R02/R02-1677","http://www.env.gov.bc.ca/esd/distdata/ecosystems/TEI_Scanned_Maps/R02/R02-1677")</f>
        <v>http://www.env.gov.bc.ca/esd/distdata/ecosystems/TEI_Scanned_Maps/R02/R02-1677</v>
      </c>
      <c r="U2394" t="s">
        <v>58</v>
      </c>
      <c r="V2394" t="s">
        <v>58</v>
      </c>
      <c r="W2394" t="s">
        <v>58</v>
      </c>
      <c r="X2394" t="s">
        <v>58</v>
      </c>
      <c r="Y2394" t="s">
        <v>58</v>
      </c>
      <c r="Z2394" t="s">
        <v>58</v>
      </c>
      <c r="AA2394" t="s">
        <v>58</v>
      </c>
      <c r="AC2394" t="s">
        <v>58</v>
      </c>
      <c r="AE2394" t="s">
        <v>58</v>
      </c>
      <c r="AG2394" t="s">
        <v>63</v>
      </c>
      <c r="AH2394" s="11" t="str">
        <f t="shared" si="156"/>
        <v>mailto: soilterrain@victoria1.gov.bc.ca</v>
      </c>
    </row>
    <row r="2395" spans="1:34">
      <c r="A2395" t="s">
        <v>5544</v>
      </c>
      <c r="B2395" t="s">
        <v>56</v>
      </c>
      <c r="C2395" s="10" t="s">
        <v>5545</v>
      </c>
      <c r="D2395" t="s">
        <v>58</v>
      </c>
      <c r="E2395" t="s">
        <v>2952</v>
      </c>
      <c r="F2395" t="s">
        <v>5546</v>
      </c>
      <c r="G2395">
        <v>25000</v>
      </c>
      <c r="H2395">
        <v>1976</v>
      </c>
      <c r="I2395" t="s">
        <v>58</v>
      </c>
      <c r="J2395" t="s">
        <v>58</v>
      </c>
      <c r="K2395" t="s">
        <v>58</v>
      </c>
      <c r="L2395" t="s">
        <v>58</v>
      </c>
      <c r="M2395" t="s">
        <v>58</v>
      </c>
      <c r="P2395" t="s">
        <v>61</v>
      </c>
      <c r="Q2395" t="s">
        <v>58</v>
      </c>
      <c r="R2395" s="11" t="str">
        <f>HYPERLINK("\\imagefiles.bcgov\imagery\scanned_maps\moe_terrain_maps\Scanned_T_maps_all\R02\R02-1681","\\imagefiles.bcgov\imagery\scanned_maps\moe_terrain_maps\Scanned_T_maps_all\R02\R02-1681")</f>
        <v>\\imagefiles.bcgov\imagery\scanned_maps\moe_terrain_maps\Scanned_T_maps_all\R02\R02-1681</v>
      </c>
      <c r="S2395" t="s">
        <v>62</v>
      </c>
      <c r="T2395" s="11" t="str">
        <f>HYPERLINK("http://www.env.gov.bc.ca/esd/distdata/ecosystems/TEI_Scanned_Maps/R02/R02-1681","http://www.env.gov.bc.ca/esd/distdata/ecosystems/TEI_Scanned_Maps/R02/R02-1681")</f>
        <v>http://www.env.gov.bc.ca/esd/distdata/ecosystems/TEI_Scanned_Maps/R02/R02-1681</v>
      </c>
      <c r="U2395" t="s">
        <v>58</v>
      </c>
      <c r="V2395" t="s">
        <v>58</v>
      </c>
      <c r="W2395" t="s">
        <v>58</v>
      </c>
      <c r="X2395" t="s">
        <v>58</v>
      </c>
      <c r="Y2395" t="s">
        <v>58</v>
      </c>
      <c r="Z2395" t="s">
        <v>58</v>
      </c>
      <c r="AA2395" t="s">
        <v>58</v>
      </c>
      <c r="AC2395" t="s">
        <v>58</v>
      </c>
      <c r="AE2395" t="s">
        <v>58</v>
      </c>
      <c r="AG2395" t="s">
        <v>63</v>
      </c>
      <c r="AH2395" s="11" t="str">
        <f t="shared" si="156"/>
        <v>mailto: soilterrain@victoria1.gov.bc.ca</v>
      </c>
    </row>
    <row r="2396" spans="1:34">
      <c r="A2396" t="s">
        <v>5547</v>
      </c>
      <c r="B2396" t="s">
        <v>56</v>
      </c>
      <c r="C2396" s="10" t="s">
        <v>5548</v>
      </c>
      <c r="D2396" t="s">
        <v>58</v>
      </c>
      <c r="E2396" t="s">
        <v>2952</v>
      </c>
      <c r="F2396" t="s">
        <v>5549</v>
      </c>
      <c r="G2396">
        <v>25000</v>
      </c>
      <c r="H2396">
        <v>1981</v>
      </c>
      <c r="I2396" t="s">
        <v>58</v>
      </c>
      <c r="J2396" t="s">
        <v>58</v>
      </c>
      <c r="K2396" t="s">
        <v>58</v>
      </c>
      <c r="L2396" t="s">
        <v>58</v>
      </c>
      <c r="M2396" t="s">
        <v>58</v>
      </c>
      <c r="P2396" t="s">
        <v>61</v>
      </c>
      <c r="Q2396" t="s">
        <v>58</v>
      </c>
      <c r="R2396" s="11" t="str">
        <f>HYPERLINK("\\imagefiles.bcgov\imagery\scanned_maps\moe_terrain_maps\Scanned_T_maps_all\R02\R02-1685","\\imagefiles.bcgov\imagery\scanned_maps\moe_terrain_maps\Scanned_T_maps_all\R02\R02-1685")</f>
        <v>\\imagefiles.bcgov\imagery\scanned_maps\moe_terrain_maps\Scanned_T_maps_all\R02\R02-1685</v>
      </c>
      <c r="S2396" t="s">
        <v>62</v>
      </c>
      <c r="T2396" s="11" t="str">
        <f>HYPERLINK("http://www.env.gov.bc.ca/esd/distdata/ecosystems/TEI_Scanned_Maps/R02/R02-1685","http://www.env.gov.bc.ca/esd/distdata/ecosystems/TEI_Scanned_Maps/R02/R02-1685")</f>
        <v>http://www.env.gov.bc.ca/esd/distdata/ecosystems/TEI_Scanned_Maps/R02/R02-1685</v>
      </c>
      <c r="U2396" t="s">
        <v>58</v>
      </c>
      <c r="V2396" t="s">
        <v>58</v>
      </c>
      <c r="W2396" t="s">
        <v>58</v>
      </c>
      <c r="X2396" t="s">
        <v>58</v>
      </c>
      <c r="Y2396" t="s">
        <v>58</v>
      </c>
      <c r="Z2396" t="s">
        <v>58</v>
      </c>
      <c r="AA2396" t="s">
        <v>58</v>
      </c>
      <c r="AC2396" t="s">
        <v>58</v>
      </c>
      <c r="AE2396" t="s">
        <v>58</v>
      </c>
      <c r="AG2396" t="s">
        <v>63</v>
      </c>
      <c r="AH2396" s="11" t="str">
        <f t="shared" si="156"/>
        <v>mailto: soilterrain@victoria1.gov.bc.ca</v>
      </c>
    </row>
    <row r="2397" spans="1:34">
      <c r="A2397" t="s">
        <v>5550</v>
      </c>
      <c r="B2397" t="s">
        <v>56</v>
      </c>
      <c r="C2397" s="10" t="s">
        <v>5551</v>
      </c>
      <c r="D2397" t="s">
        <v>58</v>
      </c>
      <c r="E2397" t="s">
        <v>2952</v>
      </c>
      <c r="F2397" t="s">
        <v>5370</v>
      </c>
      <c r="G2397">
        <v>25000</v>
      </c>
      <c r="H2397">
        <v>1981</v>
      </c>
      <c r="I2397" t="s">
        <v>58</v>
      </c>
      <c r="J2397" t="s">
        <v>58</v>
      </c>
      <c r="K2397" t="s">
        <v>58</v>
      </c>
      <c r="L2397" t="s">
        <v>58</v>
      </c>
      <c r="M2397" t="s">
        <v>58</v>
      </c>
      <c r="P2397" t="s">
        <v>61</v>
      </c>
      <c r="Q2397" t="s">
        <v>58</v>
      </c>
      <c r="R2397" s="11" t="str">
        <f>HYPERLINK("\\imagefiles.bcgov\imagery\scanned_maps\moe_terrain_maps\Scanned_T_maps_all\R02\R02-1689","\\imagefiles.bcgov\imagery\scanned_maps\moe_terrain_maps\Scanned_T_maps_all\R02\R02-1689")</f>
        <v>\\imagefiles.bcgov\imagery\scanned_maps\moe_terrain_maps\Scanned_T_maps_all\R02\R02-1689</v>
      </c>
      <c r="S2397" t="s">
        <v>62</v>
      </c>
      <c r="T2397" s="11" t="str">
        <f>HYPERLINK("http://www.env.gov.bc.ca/esd/distdata/ecosystems/TEI_Scanned_Maps/R02/R02-1689","http://www.env.gov.bc.ca/esd/distdata/ecosystems/TEI_Scanned_Maps/R02/R02-1689")</f>
        <v>http://www.env.gov.bc.ca/esd/distdata/ecosystems/TEI_Scanned_Maps/R02/R02-1689</v>
      </c>
      <c r="U2397" t="s">
        <v>58</v>
      </c>
      <c r="V2397" t="s">
        <v>58</v>
      </c>
      <c r="W2397" t="s">
        <v>58</v>
      </c>
      <c r="X2397" t="s">
        <v>58</v>
      </c>
      <c r="Y2397" t="s">
        <v>58</v>
      </c>
      <c r="Z2397" t="s">
        <v>58</v>
      </c>
      <c r="AA2397" t="s">
        <v>58</v>
      </c>
      <c r="AC2397" t="s">
        <v>58</v>
      </c>
      <c r="AE2397" t="s">
        <v>58</v>
      </c>
      <c r="AG2397" t="s">
        <v>63</v>
      </c>
      <c r="AH2397" s="11" t="str">
        <f t="shared" si="156"/>
        <v>mailto: soilterrain@victoria1.gov.bc.ca</v>
      </c>
    </row>
    <row r="2398" spans="1:34">
      <c r="A2398" t="s">
        <v>5552</v>
      </c>
      <c r="B2398" t="s">
        <v>56</v>
      </c>
      <c r="C2398" s="10" t="s">
        <v>5553</v>
      </c>
      <c r="D2398" t="s">
        <v>58</v>
      </c>
      <c r="E2398" t="s">
        <v>2952</v>
      </c>
      <c r="F2398" t="s">
        <v>5370</v>
      </c>
      <c r="G2398">
        <v>25000</v>
      </c>
      <c r="H2398">
        <v>1981</v>
      </c>
      <c r="I2398" t="s">
        <v>58</v>
      </c>
      <c r="J2398" t="s">
        <v>58</v>
      </c>
      <c r="K2398" t="s">
        <v>58</v>
      </c>
      <c r="L2398" t="s">
        <v>58</v>
      </c>
      <c r="M2398" t="s">
        <v>58</v>
      </c>
      <c r="P2398" t="s">
        <v>61</v>
      </c>
      <c r="Q2398" t="s">
        <v>58</v>
      </c>
      <c r="R2398" s="11" t="str">
        <f>HYPERLINK("\\imagefiles.bcgov\imagery\scanned_maps\moe_terrain_maps\Scanned_T_maps_all\R02\R02-1693","\\imagefiles.bcgov\imagery\scanned_maps\moe_terrain_maps\Scanned_T_maps_all\R02\R02-1693")</f>
        <v>\\imagefiles.bcgov\imagery\scanned_maps\moe_terrain_maps\Scanned_T_maps_all\R02\R02-1693</v>
      </c>
      <c r="S2398" t="s">
        <v>62</v>
      </c>
      <c r="T2398" s="11" t="str">
        <f>HYPERLINK("http://www.env.gov.bc.ca/esd/distdata/ecosystems/TEI_Scanned_Maps/R02/R02-1693","http://www.env.gov.bc.ca/esd/distdata/ecosystems/TEI_Scanned_Maps/R02/R02-1693")</f>
        <v>http://www.env.gov.bc.ca/esd/distdata/ecosystems/TEI_Scanned_Maps/R02/R02-1693</v>
      </c>
      <c r="U2398" t="s">
        <v>58</v>
      </c>
      <c r="V2398" t="s">
        <v>58</v>
      </c>
      <c r="W2398" t="s">
        <v>58</v>
      </c>
      <c r="X2398" t="s">
        <v>58</v>
      </c>
      <c r="Y2398" t="s">
        <v>58</v>
      </c>
      <c r="Z2398" t="s">
        <v>58</v>
      </c>
      <c r="AA2398" t="s">
        <v>58</v>
      </c>
      <c r="AC2398" t="s">
        <v>58</v>
      </c>
      <c r="AE2398" t="s">
        <v>58</v>
      </c>
      <c r="AG2398" t="s">
        <v>63</v>
      </c>
      <c r="AH2398" s="11" t="str">
        <f t="shared" si="156"/>
        <v>mailto: soilterrain@victoria1.gov.bc.ca</v>
      </c>
    </row>
    <row r="2399" spans="1:34">
      <c r="A2399" t="s">
        <v>5554</v>
      </c>
      <c r="B2399" t="s">
        <v>56</v>
      </c>
      <c r="C2399" s="10" t="s">
        <v>5555</v>
      </c>
      <c r="D2399" t="s">
        <v>58</v>
      </c>
      <c r="E2399" t="s">
        <v>2952</v>
      </c>
      <c r="F2399" t="s">
        <v>5370</v>
      </c>
      <c r="G2399">
        <v>25000</v>
      </c>
      <c r="H2399">
        <v>1981</v>
      </c>
      <c r="I2399" t="s">
        <v>58</v>
      </c>
      <c r="J2399" t="s">
        <v>58</v>
      </c>
      <c r="K2399" t="s">
        <v>58</v>
      </c>
      <c r="L2399" t="s">
        <v>58</v>
      </c>
      <c r="M2399" t="s">
        <v>58</v>
      </c>
      <c r="P2399" t="s">
        <v>61</v>
      </c>
      <c r="Q2399" t="s">
        <v>58</v>
      </c>
      <c r="R2399" s="11" t="str">
        <f>HYPERLINK("\\imagefiles.bcgov\imagery\scanned_maps\moe_terrain_maps\Scanned_T_maps_all\R02\R02-1697","\\imagefiles.bcgov\imagery\scanned_maps\moe_terrain_maps\Scanned_T_maps_all\R02\R02-1697")</f>
        <v>\\imagefiles.bcgov\imagery\scanned_maps\moe_terrain_maps\Scanned_T_maps_all\R02\R02-1697</v>
      </c>
      <c r="S2399" t="s">
        <v>62</v>
      </c>
      <c r="T2399" s="11" t="str">
        <f>HYPERLINK("http://www.env.gov.bc.ca/esd/distdata/ecosystems/TEI_Scanned_Maps/R02/R02-1697","http://www.env.gov.bc.ca/esd/distdata/ecosystems/TEI_Scanned_Maps/R02/R02-1697")</f>
        <v>http://www.env.gov.bc.ca/esd/distdata/ecosystems/TEI_Scanned_Maps/R02/R02-1697</v>
      </c>
      <c r="U2399" t="s">
        <v>58</v>
      </c>
      <c r="V2399" t="s">
        <v>58</v>
      </c>
      <c r="W2399" t="s">
        <v>58</v>
      </c>
      <c r="X2399" t="s">
        <v>58</v>
      </c>
      <c r="Y2399" t="s">
        <v>58</v>
      </c>
      <c r="Z2399" t="s">
        <v>58</v>
      </c>
      <c r="AA2399" t="s">
        <v>58</v>
      </c>
      <c r="AC2399" t="s">
        <v>58</v>
      </c>
      <c r="AE2399" t="s">
        <v>58</v>
      </c>
      <c r="AG2399" t="s">
        <v>63</v>
      </c>
      <c r="AH2399" s="11" t="str">
        <f t="shared" si="156"/>
        <v>mailto: soilterrain@victoria1.gov.bc.ca</v>
      </c>
    </row>
    <row r="2400" spans="1:34">
      <c r="A2400" t="s">
        <v>5556</v>
      </c>
      <c r="B2400" t="s">
        <v>56</v>
      </c>
      <c r="C2400" s="10" t="s">
        <v>5557</v>
      </c>
      <c r="D2400" t="s">
        <v>58</v>
      </c>
      <c r="E2400" t="s">
        <v>2952</v>
      </c>
      <c r="F2400" t="s">
        <v>5370</v>
      </c>
      <c r="G2400">
        <v>25000</v>
      </c>
      <c r="H2400">
        <v>1981</v>
      </c>
      <c r="I2400" t="s">
        <v>58</v>
      </c>
      <c r="J2400" t="s">
        <v>58</v>
      </c>
      <c r="K2400" t="s">
        <v>58</v>
      </c>
      <c r="L2400" t="s">
        <v>58</v>
      </c>
      <c r="M2400" t="s">
        <v>58</v>
      </c>
      <c r="P2400" t="s">
        <v>61</v>
      </c>
      <c r="Q2400" t="s">
        <v>58</v>
      </c>
      <c r="R2400" s="11" t="str">
        <f>HYPERLINK("\\imagefiles.bcgov\imagery\scanned_maps\moe_terrain_maps\Scanned_T_maps_all\R02\R02-1701","\\imagefiles.bcgov\imagery\scanned_maps\moe_terrain_maps\Scanned_T_maps_all\R02\R02-1701")</f>
        <v>\\imagefiles.bcgov\imagery\scanned_maps\moe_terrain_maps\Scanned_T_maps_all\R02\R02-1701</v>
      </c>
      <c r="S2400" t="s">
        <v>62</v>
      </c>
      <c r="T2400" s="11" t="str">
        <f>HYPERLINK("http://www.env.gov.bc.ca/esd/distdata/ecosystems/TEI_Scanned_Maps/R02/R02-1701","http://www.env.gov.bc.ca/esd/distdata/ecosystems/TEI_Scanned_Maps/R02/R02-1701")</f>
        <v>http://www.env.gov.bc.ca/esd/distdata/ecosystems/TEI_Scanned_Maps/R02/R02-1701</v>
      </c>
      <c r="U2400" t="s">
        <v>58</v>
      </c>
      <c r="V2400" t="s">
        <v>58</v>
      </c>
      <c r="W2400" t="s">
        <v>58</v>
      </c>
      <c r="X2400" t="s">
        <v>58</v>
      </c>
      <c r="Y2400" t="s">
        <v>58</v>
      </c>
      <c r="Z2400" t="s">
        <v>58</v>
      </c>
      <c r="AA2400" t="s">
        <v>58</v>
      </c>
      <c r="AC2400" t="s">
        <v>58</v>
      </c>
      <c r="AE2400" t="s">
        <v>58</v>
      </c>
      <c r="AG2400" t="s">
        <v>63</v>
      </c>
      <c r="AH2400" s="11" t="str">
        <f t="shared" si="156"/>
        <v>mailto: soilterrain@victoria1.gov.bc.ca</v>
      </c>
    </row>
    <row r="2401" spans="1:34">
      <c r="A2401" t="s">
        <v>5558</v>
      </c>
      <c r="B2401" t="s">
        <v>56</v>
      </c>
      <c r="C2401" s="10" t="s">
        <v>5559</v>
      </c>
      <c r="D2401" t="s">
        <v>58</v>
      </c>
      <c r="E2401" t="s">
        <v>2952</v>
      </c>
      <c r="F2401" t="s">
        <v>5370</v>
      </c>
      <c r="G2401">
        <v>25000</v>
      </c>
      <c r="H2401">
        <v>1981</v>
      </c>
      <c r="I2401" t="s">
        <v>58</v>
      </c>
      <c r="J2401" t="s">
        <v>58</v>
      </c>
      <c r="K2401" t="s">
        <v>58</v>
      </c>
      <c r="L2401" t="s">
        <v>58</v>
      </c>
      <c r="M2401" t="s">
        <v>58</v>
      </c>
      <c r="P2401" t="s">
        <v>61</v>
      </c>
      <c r="Q2401" t="s">
        <v>58</v>
      </c>
      <c r="R2401" s="11" t="str">
        <f>HYPERLINK("\\imagefiles.bcgov\imagery\scanned_maps\moe_terrain_maps\Scanned_T_maps_all\R02\R02-1705","\\imagefiles.bcgov\imagery\scanned_maps\moe_terrain_maps\Scanned_T_maps_all\R02\R02-1705")</f>
        <v>\\imagefiles.bcgov\imagery\scanned_maps\moe_terrain_maps\Scanned_T_maps_all\R02\R02-1705</v>
      </c>
      <c r="S2401" t="s">
        <v>62</v>
      </c>
      <c r="T2401" s="11" t="str">
        <f>HYPERLINK("http://www.env.gov.bc.ca/esd/distdata/ecosystems/TEI_Scanned_Maps/R02/R02-1705","http://www.env.gov.bc.ca/esd/distdata/ecosystems/TEI_Scanned_Maps/R02/R02-1705")</f>
        <v>http://www.env.gov.bc.ca/esd/distdata/ecosystems/TEI_Scanned_Maps/R02/R02-1705</v>
      </c>
      <c r="U2401" t="s">
        <v>58</v>
      </c>
      <c r="V2401" t="s">
        <v>58</v>
      </c>
      <c r="W2401" t="s">
        <v>58</v>
      </c>
      <c r="X2401" t="s">
        <v>58</v>
      </c>
      <c r="Y2401" t="s">
        <v>58</v>
      </c>
      <c r="Z2401" t="s">
        <v>58</v>
      </c>
      <c r="AA2401" t="s">
        <v>58</v>
      </c>
      <c r="AC2401" t="s">
        <v>58</v>
      </c>
      <c r="AE2401" t="s">
        <v>58</v>
      </c>
      <c r="AG2401" t="s">
        <v>63</v>
      </c>
      <c r="AH2401" s="11" t="str">
        <f t="shared" si="156"/>
        <v>mailto: soilterrain@victoria1.gov.bc.ca</v>
      </c>
    </row>
    <row r="2402" spans="1:34">
      <c r="A2402" t="s">
        <v>5560</v>
      </c>
      <c r="B2402" t="s">
        <v>56</v>
      </c>
      <c r="C2402" s="10" t="s">
        <v>5561</v>
      </c>
      <c r="D2402" t="s">
        <v>58</v>
      </c>
      <c r="E2402" t="s">
        <v>2952</v>
      </c>
      <c r="F2402" t="s">
        <v>5370</v>
      </c>
      <c r="G2402">
        <v>25000</v>
      </c>
      <c r="H2402" t="s">
        <v>187</v>
      </c>
      <c r="I2402" t="s">
        <v>58</v>
      </c>
      <c r="J2402" t="s">
        <v>58</v>
      </c>
      <c r="K2402" t="s">
        <v>58</v>
      </c>
      <c r="L2402" t="s">
        <v>58</v>
      </c>
      <c r="M2402" t="s">
        <v>58</v>
      </c>
      <c r="P2402" t="s">
        <v>61</v>
      </c>
      <c r="Q2402" t="s">
        <v>58</v>
      </c>
      <c r="R2402" s="11" t="str">
        <f>HYPERLINK("\\imagefiles.bcgov\imagery\scanned_maps\moe_terrain_maps\Scanned_T_maps_all\R02\R02-1709","\\imagefiles.bcgov\imagery\scanned_maps\moe_terrain_maps\Scanned_T_maps_all\R02\R02-1709")</f>
        <v>\\imagefiles.bcgov\imagery\scanned_maps\moe_terrain_maps\Scanned_T_maps_all\R02\R02-1709</v>
      </c>
      <c r="S2402" t="s">
        <v>62</v>
      </c>
      <c r="T2402" s="11" t="str">
        <f>HYPERLINK("http://www.env.gov.bc.ca/esd/distdata/ecosystems/TEI_Scanned_Maps/R02/R02-1709","http://www.env.gov.bc.ca/esd/distdata/ecosystems/TEI_Scanned_Maps/R02/R02-1709")</f>
        <v>http://www.env.gov.bc.ca/esd/distdata/ecosystems/TEI_Scanned_Maps/R02/R02-1709</v>
      </c>
      <c r="U2402" t="s">
        <v>58</v>
      </c>
      <c r="V2402" t="s">
        <v>58</v>
      </c>
      <c r="W2402" t="s">
        <v>58</v>
      </c>
      <c r="X2402" t="s">
        <v>58</v>
      </c>
      <c r="Y2402" t="s">
        <v>58</v>
      </c>
      <c r="Z2402" t="s">
        <v>58</v>
      </c>
      <c r="AA2402" t="s">
        <v>58</v>
      </c>
      <c r="AC2402" t="s">
        <v>58</v>
      </c>
      <c r="AE2402" t="s">
        <v>58</v>
      </c>
      <c r="AG2402" t="s">
        <v>63</v>
      </c>
      <c r="AH2402" s="11" t="str">
        <f t="shared" si="156"/>
        <v>mailto: soilterrain@victoria1.gov.bc.ca</v>
      </c>
    </row>
    <row r="2403" spans="1:34">
      <c r="A2403" t="s">
        <v>5562</v>
      </c>
      <c r="B2403" t="s">
        <v>56</v>
      </c>
      <c r="C2403" s="10" t="s">
        <v>5563</v>
      </c>
      <c r="D2403" t="s">
        <v>58</v>
      </c>
      <c r="E2403" t="s">
        <v>2952</v>
      </c>
      <c r="F2403" t="s">
        <v>5370</v>
      </c>
      <c r="G2403">
        <v>25000</v>
      </c>
      <c r="H2403">
        <v>1981</v>
      </c>
      <c r="I2403" t="s">
        <v>58</v>
      </c>
      <c r="J2403" t="s">
        <v>58</v>
      </c>
      <c r="K2403" t="s">
        <v>58</v>
      </c>
      <c r="L2403" t="s">
        <v>58</v>
      </c>
      <c r="M2403" t="s">
        <v>58</v>
      </c>
      <c r="P2403" t="s">
        <v>61</v>
      </c>
      <c r="Q2403" t="s">
        <v>58</v>
      </c>
      <c r="R2403" s="11" t="str">
        <f>HYPERLINK("\\imagefiles.bcgov\imagery\scanned_maps\moe_terrain_maps\Scanned_T_maps_all\R02\R02-1713","\\imagefiles.bcgov\imagery\scanned_maps\moe_terrain_maps\Scanned_T_maps_all\R02\R02-1713")</f>
        <v>\\imagefiles.bcgov\imagery\scanned_maps\moe_terrain_maps\Scanned_T_maps_all\R02\R02-1713</v>
      </c>
      <c r="S2403" t="s">
        <v>62</v>
      </c>
      <c r="T2403" s="11" t="str">
        <f>HYPERLINK("http://www.env.gov.bc.ca/esd/distdata/ecosystems/TEI_Scanned_Maps/R02/R02-1713","http://www.env.gov.bc.ca/esd/distdata/ecosystems/TEI_Scanned_Maps/R02/R02-1713")</f>
        <v>http://www.env.gov.bc.ca/esd/distdata/ecosystems/TEI_Scanned_Maps/R02/R02-1713</v>
      </c>
      <c r="U2403" t="s">
        <v>58</v>
      </c>
      <c r="V2403" t="s">
        <v>58</v>
      </c>
      <c r="W2403" t="s">
        <v>58</v>
      </c>
      <c r="X2403" t="s">
        <v>58</v>
      </c>
      <c r="Y2403" t="s">
        <v>58</v>
      </c>
      <c r="Z2403" t="s">
        <v>58</v>
      </c>
      <c r="AA2403" t="s">
        <v>58</v>
      </c>
      <c r="AC2403" t="s">
        <v>58</v>
      </c>
      <c r="AE2403" t="s">
        <v>58</v>
      </c>
      <c r="AG2403" t="s">
        <v>63</v>
      </c>
      <c r="AH2403" s="11" t="str">
        <f t="shared" si="156"/>
        <v>mailto: soilterrain@victoria1.gov.bc.ca</v>
      </c>
    </row>
    <row r="2404" spans="1:34">
      <c r="A2404" t="s">
        <v>5564</v>
      </c>
      <c r="B2404" t="s">
        <v>56</v>
      </c>
      <c r="C2404" s="10" t="s">
        <v>5565</v>
      </c>
      <c r="D2404" t="s">
        <v>58</v>
      </c>
      <c r="E2404" t="s">
        <v>2952</v>
      </c>
      <c r="F2404" t="s">
        <v>5370</v>
      </c>
      <c r="G2404">
        <v>25000</v>
      </c>
      <c r="H2404">
        <v>1980</v>
      </c>
      <c r="I2404" t="s">
        <v>58</v>
      </c>
      <c r="J2404" t="s">
        <v>58</v>
      </c>
      <c r="K2404" t="s">
        <v>58</v>
      </c>
      <c r="L2404" t="s">
        <v>58</v>
      </c>
      <c r="M2404" t="s">
        <v>58</v>
      </c>
      <c r="P2404" t="s">
        <v>61</v>
      </c>
      <c r="Q2404" t="s">
        <v>58</v>
      </c>
      <c r="R2404" s="11" t="str">
        <f>HYPERLINK("\\imagefiles.bcgov\imagery\scanned_maps\moe_terrain_maps\Scanned_T_maps_all\R02\R02-1717","\\imagefiles.bcgov\imagery\scanned_maps\moe_terrain_maps\Scanned_T_maps_all\R02\R02-1717")</f>
        <v>\\imagefiles.bcgov\imagery\scanned_maps\moe_terrain_maps\Scanned_T_maps_all\R02\R02-1717</v>
      </c>
      <c r="S2404" t="s">
        <v>62</v>
      </c>
      <c r="T2404" s="11" t="str">
        <f>HYPERLINK("http://www.env.gov.bc.ca/esd/distdata/ecosystems/TEI_Scanned_Maps/R02/R02-1717","http://www.env.gov.bc.ca/esd/distdata/ecosystems/TEI_Scanned_Maps/R02/R02-1717")</f>
        <v>http://www.env.gov.bc.ca/esd/distdata/ecosystems/TEI_Scanned_Maps/R02/R02-1717</v>
      </c>
      <c r="U2404" t="s">
        <v>58</v>
      </c>
      <c r="V2404" t="s">
        <v>58</v>
      </c>
      <c r="W2404" t="s">
        <v>58</v>
      </c>
      <c r="X2404" t="s">
        <v>58</v>
      </c>
      <c r="Y2404" t="s">
        <v>58</v>
      </c>
      <c r="Z2404" t="s">
        <v>58</v>
      </c>
      <c r="AA2404" t="s">
        <v>58</v>
      </c>
      <c r="AC2404" t="s">
        <v>58</v>
      </c>
      <c r="AE2404" t="s">
        <v>58</v>
      </c>
      <c r="AG2404" t="s">
        <v>63</v>
      </c>
      <c r="AH2404" s="11" t="str">
        <f t="shared" si="156"/>
        <v>mailto: soilterrain@victoria1.gov.bc.ca</v>
      </c>
    </row>
    <row r="2405" spans="1:34">
      <c r="A2405" t="s">
        <v>5566</v>
      </c>
      <c r="B2405" t="s">
        <v>56</v>
      </c>
      <c r="C2405" s="10" t="s">
        <v>5567</v>
      </c>
      <c r="D2405" t="s">
        <v>58</v>
      </c>
      <c r="E2405" t="s">
        <v>2952</v>
      </c>
      <c r="F2405" t="s">
        <v>5370</v>
      </c>
      <c r="G2405">
        <v>25000</v>
      </c>
      <c r="H2405">
        <v>1984</v>
      </c>
      <c r="I2405" t="s">
        <v>58</v>
      </c>
      <c r="J2405" t="s">
        <v>58</v>
      </c>
      <c r="K2405" t="s">
        <v>58</v>
      </c>
      <c r="L2405" t="s">
        <v>58</v>
      </c>
      <c r="M2405" t="s">
        <v>58</v>
      </c>
      <c r="P2405" t="s">
        <v>61</v>
      </c>
      <c r="Q2405" t="s">
        <v>58</v>
      </c>
      <c r="R2405" s="11" t="str">
        <f>HYPERLINK("\\imagefiles.bcgov\imagery\scanned_maps\moe_terrain_maps\Scanned_T_maps_all\R02\R02-4988","\\imagefiles.bcgov\imagery\scanned_maps\moe_terrain_maps\Scanned_T_maps_all\R02\R02-4988")</f>
        <v>\\imagefiles.bcgov\imagery\scanned_maps\moe_terrain_maps\Scanned_T_maps_all\R02\R02-4988</v>
      </c>
      <c r="S2405" t="s">
        <v>62</v>
      </c>
      <c r="T2405" s="11" t="str">
        <f>HYPERLINK("http://www.env.gov.bc.ca/esd/distdata/ecosystems/TEI_Scanned_Maps/R02/R02-4988","http://www.env.gov.bc.ca/esd/distdata/ecosystems/TEI_Scanned_Maps/R02/R02-4988")</f>
        <v>http://www.env.gov.bc.ca/esd/distdata/ecosystems/TEI_Scanned_Maps/R02/R02-4988</v>
      </c>
      <c r="U2405" t="s">
        <v>58</v>
      </c>
      <c r="V2405" t="s">
        <v>58</v>
      </c>
      <c r="W2405" t="s">
        <v>58</v>
      </c>
      <c r="X2405" t="s">
        <v>58</v>
      </c>
      <c r="Y2405" t="s">
        <v>58</v>
      </c>
      <c r="Z2405" t="s">
        <v>58</v>
      </c>
      <c r="AA2405" t="s">
        <v>58</v>
      </c>
      <c r="AC2405" t="s">
        <v>58</v>
      </c>
      <c r="AE2405" t="s">
        <v>58</v>
      </c>
      <c r="AG2405" t="s">
        <v>63</v>
      </c>
      <c r="AH2405" s="11" t="str">
        <f t="shared" si="156"/>
        <v>mailto: soilterrain@victoria1.gov.bc.ca</v>
      </c>
    </row>
    <row r="2406" spans="1:34">
      <c r="A2406" t="s">
        <v>5568</v>
      </c>
      <c r="B2406" t="s">
        <v>56</v>
      </c>
      <c r="C2406" s="10" t="s">
        <v>2987</v>
      </c>
      <c r="D2406" t="s">
        <v>61</v>
      </c>
      <c r="E2406" t="s">
        <v>2952</v>
      </c>
      <c r="F2406" t="s">
        <v>5569</v>
      </c>
      <c r="G2406">
        <v>20000</v>
      </c>
      <c r="H2406">
        <v>1979</v>
      </c>
      <c r="I2406" t="s">
        <v>58</v>
      </c>
      <c r="J2406" t="s">
        <v>58</v>
      </c>
      <c r="K2406" t="s">
        <v>58</v>
      </c>
      <c r="L2406" t="s">
        <v>58</v>
      </c>
      <c r="M2406" t="s">
        <v>58</v>
      </c>
      <c r="P2406" t="s">
        <v>61</v>
      </c>
      <c r="Q2406" t="s">
        <v>58</v>
      </c>
      <c r="R2406" s="11" t="str">
        <f>HYPERLINK("\\imagefiles.bcgov\imagery\scanned_maps\moe_terrain_maps\Scanned_T_maps_all\R03\R03-1006","\\imagefiles.bcgov\imagery\scanned_maps\moe_terrain_maps\Scanned_T_maps_all\R03\R03-1006")</f>
        <v>\\imagefiles.bcgov\imagery\scanned_maps\moe_terrain_maps\Scanned_T_maps_all\R03\R03-1006</v>
      </c>
      <c r="S2406" t="s">
        <v>62</v>
      </c>
      <c r="T2406" s="11" t="str">
        <f>HYPERLINK("http://www.env.gov.bc.ca/esd/distdata/ecosystems/TEI_Scanned_Maps/R03/R03-1006","http://www.env.gov.bc.ca/esd/distdata/ecosystems/TEI_Scanned_Maps/R03/R03-1006")</f>
        <v>http://www.env.gov.bc.ca/esd/distdata/ecosystems/TEI_Scanned_Maps/R03/R03-1006</v>
      </c>
      <c r="U2406" t="s">
        <v>58</v>
      </c>
      <c r="V2406" t="s">
        <v>58</v>
      </c>
      <c r="W2406" t="s">
        <v>58</v>
      </c>
      <c r="X2406" t="s">
        <v>58</v>
      </c>
      <c r="Y2406" t="s">
        <v>58</v>
      </c>
      <c r="Z2406" t="s">
        <v>58</v>
      </c>
      <c r="AA2406" t="s">
        <v>58</v>
      </c>
      <c r="AC2406" t="s">
        <v>58</v>
      </c>
      <c r="AE2406" t="s">
        <v>58</v>
      </c>
      <c r="AG2406" t="s">
        <v>63</v>
      </c>
      <c r="AH2406" s="11" t="str">
        <f t="shared" si="156"/>
        <v>mailto: soilterrain@victoria1.gov.bc.ca</v>
      </c>
    </row>
    <row r="2407" spans="1:34">
      <c r="A2407" t="s">
        <v>5570</v>
      </c>
      <c r="B2407" t="s">
        <v>56</v>
      </c>
      <c r="C2407" s="10" t="s">
        <v>5330</v>
      </c>
      <c r="D2407" t="s">
        <v>61</v>
      </c>
      <c r="E2407" t="s">
        <v>2952</v>
      </c>
      <c r="F2407" t="s">
        <v>5569</v>
      </c>
      <c r="G2407">
        <v>20000</v>
      </c>
      <c r="H2407">
        <v>1978</v>
      </c>
      <c r="I2407" t="s">
        <v>58</v>
      </c>
      <c r="J2407" t="s">
        <v>58</v>
      </c>
      <c r="K2407" t="s">
        <v>58</v>
      </c>
      <c r="L2407" t="s">
        <v>58</v>
      </c>
      <c r="M2407" t="s">
        <v>58</v>
      </c>
      <c r="P2407" t="s">
        <v>61</v>
      </c>
      <c r="Q2407" t="s">
        <v>58</v>
      </c>
      <c r="R2407" s="11" t="str">
        <f>HYPERLINK("\\imagefiles.bcgov\imagery\scanned_maps\moe_terrain_maps\Scanned_T_maps_all\R03\R03-1015","\\imagefiles.bcgov\imagery\scanned_maps\moe_terrain_maps\Scanned_T_maps_all\R03\R03-1015")</f>
        <v>\\imagefiles.bcgov\imagery\scanned_maps\moe_terrain_maps\Scanned_T_maps_all\R03\R03-1015</v>
      </c>
      <c r="S2407" t="s">
        <v>62</v>
      </c>
      <c r="T2407" s="11" t="str">
        <f>HYPERLINK("http://www.env.gov.bc.ca/esd/distdata/ecosystems/TEI_Scanned_Maps/R03/R03-1015","http://www.env.gov.bc.ca/esd/distdata/ecosystems/TEI_Scanned_Maps/R03/R03-1015")</f>
        <v>http://www.env.gov.bc.ca/esd/distdata/ecosystems/TEI_Scanned_Maps/R03/R03-1015</v>
      </c>
      <c r="U2407" t="s">
        <v>58</v>
      </c>
      <c r="V2407" t="s">
        <v>58</v>
      </c>
      <c r="W2407" t="s">
        <v>58</v>
      </c>
      <c r="X2407" t="s">
        <v>58</v>
      </c>
      <c r="Y2407" t="s">
        <v>58</v>
      </c>
      <c r="Z2407" t="s">
        <v>58</v>
      </c>
      <c r="AA2407" t="s">
        <v>58</v>
      </c>
      <c r="AC2407" t="s">
        <v>58</v>
      </c>
      <c r="AE2407" t="s">
        <v>58</v>
      </c>
      <c r="AG2407" t="s">
        <v>63</v>
      </c>
      <c r="AH2407" s="11" t="str">
        <f t="shared" si="156"/>
        <v>mailto: soilterrain@victoria1.gov.bc.ca</v>
      </c>
    </row>
    <row r="2408" spans="1:34">
      <c r="A2408" t="s">
        <v>5571</v>
      </c>
      <c r="B2408" t="s">
        <v>56</v>
      </c>
      <c r="C2408" s="10" t="s">
        <v>5332</v>
      </c>
      <c r="D2408" t="s">
        <v>61</v>
      </c>
      <c r="E2408" t="s">
        <v>2952</v>
      </c>
      <c r="F2408" t="s">
        <v>5569</v>
      </c>
      <c r="G2408">
        <v>20000</v>
      </c>
      <c r="H2408">
        <v>1980</v>
      </c>
      <c r="I2408" t="s">
        <v>58</v>
      </c>
      <c r="J2408" t="s">
        <v>58</v>
      </c>
      <c r="K2408" t="s">
        <v>58</v>
      </c>
      <c r="L2408" t="s">
        <v>58</v>
      </c>
      <c r="M2408" t="s">
        <v>58</v>
      </c>
      <c r="P2408" t="s">
        <v>61</v>
      </c>
      <c r="Q2408" t="s">
        <v>58</v>
      </c>
      <c r="R2408" s="11" t="str">
        <f>HYPERLINK("\\imagefiles.bcgov\imagery\scanned_maps\moe_terrain_maps\Scanned_T_maps_all\R03\R03-1024","\\imagefiles.bcgov\imagery\scanned_maps\moe_terrain_maps\Scanned_T_maps_all\R03\R03-1024")</f>
        <v>\\imagefiles.bcgov\imagery\scanned_maps\moe_terrain_maps\Scanned_T_maps_all\R03\R03-1024</v>
      </c>
      <c r="S2408" t="s">
        <v>62</v>
      </c>
      <c r="T2408" s="11" t="str">
        <f>HYPERLINK("http://www.env.gov.bc.ca/esd/distdata/ecosystems/TEI_Scanned_Maps/R03/R03-1024","http://www.env.gov.bc.ca/esd/distdata/ecosystems/TEI_Scanned_Maps/R03/R03-1024")</f>
        <v>http://www.env.gov.bc.ca/esd/distdata/ecosystems/TEI_Scanned_Maps/R03/R03-1024</v>
      </c>
      <c r="U2408" t="s">
        <v>58</v>
      </c>
      <c r="V2408" t="s">
        <v>58</v>
      </c>
      <c r="W2408" t="s">
        <v>58</v>
      </c>
      <c r="X2408" t="s">
        <v>58</v>
      </c>
      <c r="Y2408" t="s">
        <v>58</v>
      </c>
      <c r="Z2408" t="s">
        <v>58</v>
      </c>
      <c r="AA2408" t="s">
        <v>58</v>
      </c>
      <c r="AC2408" t="s">
        <v>58</v>
      </c>
      <c r="AE2408" t="s">
        <v>58</v>
      </c>
      <c r="AG2408" t="s">
        <v>63</v>
      </c>
      <c r="AH2408" s="11" t="str">
        <f t="shared" si="156"/>
        <v>mailto: soilterrain@victoria1.gov.bc.ca</v>
      </c>
    </row>
    <row r="2409" spans="1:34">
      <c r="A2409" t="s">
        <v>5572</v>
      </c>
      <c r="B2409" t="s">
        <v>56</v>
      </c>
      <c r="C2409" s="10" t="s">
        <v>5258</v>
      </c>
      <c r="D2409" t="s">
        <v>61</v>
      </c>
      <c r="E2409" t="s">
        <v>2952</v>
      </c>
      <c r="F2409" t="s">
        <v>5569</v>
      </c>
      <c r="G2409">
        <v>20000</v>
      </c>
      <c r="H2409">
        <v>1981</v>
      </c>
      <c r="I2409" t="s">
        <v>58</v>
      </c>
      <c r="J2409" t="s">
        <v>58</v>
      </c>
      <c r="K2409" t="s">
        <v>58</v>
      </c>
      <c r="L2409" t="s">
        <v>58</v>
      </c>
      <c r="M2409" t="s">
        <v>58</v>
      </c>
      <c r="P2409" t="s">
        <v>61</v>
      </c>
      <c r="Q2409" t="s">
        <v>58</v>
      </c>
      <c r="R2409" s="11" t="str">
        <f>HYPERLINK("\\imagefiles.bcgov\imagery\scanned_maps\moe_terrain_maps\Scanned_T_maps_all\R03\R03-1033","\\imagefiles.bcgov\imagery\scanned_maps\moe_terrain_maps\Scanned_T_maps_all\R03\R03-1033")</f>
        <v>\\imagefiles.bcgov\imagery\scanned_maps\moe_terrain_maps\Scanned_T_maps_all\R03\R03-1033</v>
      </c>
      <c r="S2409" t="s">
        <v>62</v>
      </c>
      <c r="T2409" s="11" t="str">
        <f>HYPERLINK("http://www.env.gov.bc.ca/esd/distdata/ecosystems/TEI_Scanned_Maps/R03/R03-1033","http://www.env.gov.bc.ca/esd/distdata/ecosystems/TEI_Scanned_Maps/R03/R03-1033")</f>
        <v>http://www.env.gov.bc.ca/esd/distdata/ecosystems/TEI_Scanned_Maps/R03/R03-1033</v>
      </c>
      <c r="U2409" t="s">
        <v>58</v>
      </c>
      <c r="V2409" t="s">
        <v>58</v>
      </c>
      <c r="W2409" t="s">
        <v>58</v>
      </c>
      <c r="X2409" t="s">
        <v>58</v>
      </c>
      <c r="Y2409" t="s">
        <v>58</v>
      </c>
      <c r="Z2409" t="s">
        <v>58</v>
      </c>
      <c r="AA2409" t="s">
        <v>58</v>
      </c>
      <c r="AC2409" t="s">
        <v>58</v>
      </c>
      <c r="AE2409" t="s">
        <v>58</v>
      </c>
      <c r="AG2409" t="s">
        <v>63</v>
      </c>
      <c r="AH2409" s="11" t="str">
        <f t="shared" si="156"/>
        <v>mailto: soilterrain@victoria1.gov.bc.ca</v>
      </c>
    </row>
    <row r="2410" spans="1:34">
      <c r="A2410" t="s">
        <v>5573</v>
      </c>
      <c r="B2410" t="s">
        <v>56</v>
      </c>
      <c r="C2410" s="10" t="s">
        <v>5335</v>
      </c>
      <c r="D2410" t="s">
        <v>61</v>
      </c>
      <c r="E2410" t="s">
        <v>2952</v>
      </c>
      <c r="F2410" t="s">
        <v>5569</v>
      </c>
      <c r="G2410">
        <v>20000</v>
      </c>
      <c r="H2410">
        <v>1980</v>
      </c>
      <c r="I2410" t="s">
        <v>58</v>
      </c>
      <c r="J2410" t="s">
        <v>58</v>
      </c>
      <c r="K2410" t="s">
        <v>58</v>
      </c>
      <c r="L2410" t="s">
        <v>58</v>
      </c>
      <c r="M2410" t="s">
        <v>58</v>
      </c>
      <c r="P2410" t="s">
        <v>61</v>
      </c>
      <c r="Q2410" t="s">
        <v>58</v>
      </c>
      <c r="R2410" s="11" t="str">
        <f>HYPERLINK("\\imagefiles.bcgov\imagery\scanned_maps\moe_terrain_maps\Scanned_T_maps_all\R03\R03-1041","\\imagefiles.bcgov\imagery\scanned_maps\moe_terrain_maps\Scanned_T_maps_all\R03\R03-1041")</f>
        <v>\\imagefiles.bcgov\imagery\scanned_maps\moe_terrain_maps\Scanned_T_maps_all\R03\R03-1041</v>
      </c>
      <c r="S2410" t="s">
        <v>62</v>
      </c>
      <c r="T2410" s="11" t="str">
        <f>HYPERLINK("http://www.env.gov.bc.ca/esd/distdata/ecosystems/TEI_Scanned_Maps/R03/R03-1041","http://www.env.gov.bc.ca/esd/distdata/ecosystems/TEI_Scanned_Maps/R03/R03-1041")</f>
        <v>http://www.env.gov.bc.ca/esd/distdata/ecosystems/TEI_Scanned_Maps/R03/R03-1041</v>
      </c>
      <c r="U2410" t="s">
        <v>58</v>
      </c>
      <c r="V2410" t="s">
        <v>58</v>
      </c>
      <c r="W2410" t="s">
        <v>58</v>
      </c>
      <c r="X2410" t="s">
        <v>58</v>
      </c>
      <c r="Y2410" t="s">
        <v>58</v>
      </c>
      <c r="Z2410" t="s">
        <v>58</v>
      </c>
      <c r="AA2410" t="s">
        <v>58</v>
      </c>
      <c r="AC2410" t="s">
        <v>58</v>
      </c>
      <c r="AE2410" t="s">
        <v>58</v>
      </c>
      <c r="AG2410" t="s">
        <v>63</v>
      </c>
      <c r="AH2410" s="11" t="str">
        <f t="shared" si="156"/>
        <v>mailto: soilterrain@victoria1.gov.bc.ca</v>
      </c>
    </row>
    <row r="2411" spans="1:34">
      <c r="A2411" t="s">
        <v>5574</v>
      </c>
      <c r="B2411" t="s">
        <v>56</v>
      </c>
      <c r="C2411" s="10" t="s">
        <v>5027</v>
      </c>
      <c r="D2411" t="s">
        <v>61</v>
      </c>
      <c r="E2411" t="s">
        <v>2952</v>
      </c>
      <c r="F2411" t="s">
        <v>5569</v>
      </c>
      <c r="G2411">
        <v>20000</v>
      </c>
      <c r="H2411">
        <v>1979</v>
      </c>
      <c r="I2411" t="s">
        <v>58</v>
      </c>
      <c r="J2411" t="s">
        <v>58</v>
      </c>
      <c r="K2411" t="s">
        <v>58</v>
      </c>
      <c r="L2411" t="s">
        <v>58</v>
      </c>
      <c r="M2411" t="s">
        <v>58</v>
      </c>
      <c r="P2411" t="s">
        <v>61</v>
      </c>
      <c r="Q2411" t="s">
        <v>58</v>
      </c>
      <c r="R2411" s="11" t="str">
        <f>HYPERLINK("\\imagefiles.bcgov\imagery\scanned_maps\moe_terrain_maps\Scanned_T_maps_all\R03\R03-1049","\\imagefiles.bcgov\imagery\scanned_maps\moe_terrain_maps\Scanned_T_maps_all\R03\R03-1049")</f>
        <v>\\imagefiles.bcgov\imagery\scanned_maps\moe_terrain_maps\Scanned_T_maps_all\R03\R03-1049</v>
      </c>
      <c r="S2411" t="s">
        <v>62</v>
      </c>
      <c r="T2411" s="11" t="str">
        <f>HYPERLINK("http://www.env.gov.bc.ca/esd/distdata/ecosystems/TEI_Scanned_Maps/R03/R03-1049","http://www.env.gov.bc.ca/esd/distdata/ecosystems/TEI_Scanned_Maps/R03/R03-1049")</f>
        <v>http://www.env.gov.bc.ca/esd/distdata/ecosystems/TEI_Scanned_Maps/R03/R03-1049</v>
      </c>
      <c r="U2411" t="s">
        <v>58</v>
      </c>
      <c r="V2411" t="s">
        <v>58</v>
      </c>
      <c r="W2411" t="s">
        <v>58</v>
      </c>
      <c r="X2411" t="s">
        <v>58</v>
      </c>
      <c r="Y2411" t="s">
        <v>58</v>
      </c>
      <c r="Z2411" t="s">
        <v>58</v>
      </c>
      <c r="AA2411" t="s">
        <v>58</v>
      </c>
      <c r="AC2411" t="s">
        <v>58</v>
      </c>
      <c r="AE2411" t="s">
        <v>58</v>
      </c>
      <c r="AG2411" t="s">
        <v>63</v>
      </c>
      <c r="AH2411" s="11" t="str">
        <f t="shared" si="156"/>
        <v>mailto: soilterrain@victoria1.gov.bc.ca</v>
      </c>
    </row>
    <row r="2412" spans="1:34">
      <c r="A2412" t="s">
        <v>5575</v>
      </c>
      <c r="B2412" t="s">
        <v>56</v>
      </c>
      <c r="C2412" s="10" t="s">
        <v>5338</v>
      </c>
      <c r="D2412" t="s">
        <v>61</v>
      </c>
      <c r="E2412" t="s">
        <v>2952</v>
      </c>
      <c r="F2412" t="s">
        <v>5569</v>
      </c>
      <c r="G2412">
        <v>20000</v>
      </c>
      <c r="H2412">
        <v>1978</v>
      </c>
      <c r="I2412" t="s">
        <v>58</v>
      </c>
      <c r="J2412" t="s">
        <v>58</v>
      </c>
      <c r="K2412" t="s">
        <v>58</v>
      </c>
      <c r="L2412" t="s">
        <v>58</v>
      </c>
      <c r="M2412" t="s">
        <v>58</v>
      </c>
      <c r="P2412" t="s">
        <v>61</v>
      </c>
      <c r="Q2412" t="s">
        <v>58</v>
      </c>
      <c r="R2412" s="11" t="str">
        <f>HYPERLINK("\\imagefiles.bcgov\imagery\scanned_maps\moe_terrain_maps\Scanned_T_maps_all\R03\R03-1117","\\imagefiles.bcgov\imagery\scanned_maps\moe_terrain_maps\Scanned_T_maps_all\R03\R03-1117")</f>
        <v>\\imagefiles.bcgov\imagery\scanned_maps\moe_terrain_maps\Scanned_T_maps_all\R03\R03-1117</v>
      </c>
      <c r="S2412" t="s">
        <v>62</v>
      </c>
      <c r="T2412" s="11" t="str">
        <f>HYPERLINK("http://www.env.gov.bc.ca/esd/distdata/ecosystems/TEI_Scanned_Maps/R03/R03-1117","http://www.env.gov.bc.ca/esd/distdata/ecosystems/TEI_Scanned_Maps/R03/R03-1117")</f>
        <v>http://www.env.gov.bc.ca/esd/distdata/ecosystems/TEI_Scanned_Maps/R03/R03-1117</v>
      </c>
      <c r="U2412" t="s">
        <v>58</v>
      </c>
      <c r="V2412" t="s">
        <v>58</v>
      </c>
      <c r="W2412" t="s">
        <v>58</v>
      </c>
      <c r="X2412" t="s">
        <v>58</v>
      </c>
      <c r="Y2412" t="s">
        <v>58</v>
      </c>
      <c r="Z2412" t="s">
        <v>58</v>
      </c>
      <c r="AA2412" t="s">
        <v>58</v>
      </c>
      <c r="AC2412" t="s">
        <v>58</v>
      </c>
      <c r="AE2412" t="s">
        <v>58</v>
      </c>
      <c r="AG2412" t="s">
        <v>63</v>
      </c>
      <c r="AH2412" s="11" t="str">
        <f t="shared" si="156"/>
        <v>mailto: soilterrain@victoria1.gov.bc.ca</v>
      </c>
    </row>
    <row r="2413" spans="1:34">
      <c r="A2413" t="s">
        <v>5576</v>
      </c>
      <c r="B2413" t="s">
        <v>56</v>
      </c>
      <c r="C2413" s="10" t="s">
        <v>5340</v>
      </c>
      <c r="D2413" t="s">
        <v>61</v>
      </c>
      <c r="E2413" t="s">
        <v>2952</v>
      </c>
      <c r="F2413" t="s">
        <v>5569</v>
      </c>
      <c r="G2413">
        <v>20000</v>
      </c>
      <c r="H2413">
        <v>1980</v>
      </c>
      <c r="I2413" t="s">
        <v>58</v>
      </c>
      <c r="J2413" t="s">
        <v>58</v>
      </c>
      <c r="K2413" t="s">
        <v>58</v>
      </c>
      <c r="L2413" t="s">
        <v>58</v>
      </c>
      <c r="M2413" t="s">
        <v>58</v>
      </c>
      <c r="P2413" t="s">
        <v>61</v>
      </c>
      <c r="Q2413" t="s">
        <v>58</v>
      </c>
      <c r="R2413" s="11" t="str">
        <f>HYPERLINK("\\imagefiles.bcgov\imagery\scanned_maps\moe_terrain_maps\Scanned_T_maps_all\R03\R03-1125","\\imagefiles.bcgov\imagery\scanned_maps\moe_terrain_maps\Scanned_T_maps_all\R03\R03-1125")</f>
        <v>\\imagefiles.bcgov\imagery\scanned_maps\moe_terrain_maps\Scanned_T_maps_all\R03\R03-1125</v>
      </c>
      <c r="S2413" t="s">
        <v>62</v>
      </c>
      <c r="T2413" s="11" t="str">
        <f>HYPERLINK("http://www.env.gov.bc.ca/esd/distdata/ecosystems/TEI_Scanned_Maps/R03/R03-1125","http://www.env.gov.bc.ca/esd/distdata/ecosystems/TEI_Scanned_Maps/R03/R03-1125")</f>
        <v>http://www.env.gov.bc.ca/esd/distdata/ecosystems/TEI_Scanned_Maps/R03/R03-1125</v>
      </c>
      <c r="U2413" t="s">
        <v>58</v>
      </c>
      <c r="V2413" t="s">
        <v>58</v>
      </c>
      <c r="W2413" t="s">
        <v>58</v>
      </c>
      <c r="X2413" t="s">
        <v>58</v>
      </c>
      <c r="Y2413" t="s">
        <v>58</v>
      </c>
      <c r="Z2413" t="s">
        <v>58</v>
      </c>
      <c r="AA2413" t="s">
        <v>58</v>
      </c>
      <c r="AC2413" t="s">
        <v>58</v>
      </c>
      <c r="AE2413" t="s">
        <v>58</v>
      </c>
      <c r="AG2413" t="s">
        <v>63</v>
      </c>
      <c r="AH2413" s="11" t="str">
        <f t="shared" si="156"/>
        <v>mailto: soilterrain@victoria1.gov.bc.ca</v>
      </c>
    </row>
    <row r="2414" spans="1:34">
      <c r="A2414" t="s">
        <v>5577</v>
      </c>
      <c r="B2414" t="s">
        <v>56</v>
      </c>
      <c r="C2414" s="10" t="s">
        <v>5342</v>
      </c>
      <c r="D2414" t="s">
        <v>61</v>
      </c>
      <c r="E2414" t="s">
        <v>2952</v>
      </c>
      <c r="F2414" t="s">
        <v>5569</v>
      </c>
      <c r="G2414">
        <v>20000</v>
      </c>
      <c r="H2414" t="s">
        <v>187</v>
      </c>
      <c r="I2414" t="s">
        <v>58</v>
      </c>
      <c r="J2414" t="s">
        <v>58</v>
      </c>
      <c r="K2414" t="s">
        <v>58</v>
      </c>
      <c r="L2414" t="s">
        <v>58</v>
      </c>
      <c r="M2414" t="s">
        <v>58</v>
      </c>
      <c r="P2414" t="s">
        <v>61</v>
      </c>
      <c r="Q2414" t="s">
        <v>58</v>
      </c>
      <c r="R2414" s="11" t="str">
        <f>HYPERLINK("\\imagefiles.bcgov\imagery\scanned_maps\moe_terrain_maps\Scanned_T_maps_all\R03\R03-1133","\\imagefiles.bcgov\imagery\scanned_maps\moe_terrain_maps\Scanned_T_maps_all\R03\R03-1133")</f>
        <v>\\imagefiles.bcgov\imagery\scanned_maps\moe_terrain_maps\Scanned_T_maps_all\R03\R03-1133</v>
      </c>
      <c r="S2414" t="s">
        <v>62</v>
      </c>
      <c r="T2414" s="11" t="str">
        <f>HYPERLINK("http://www.env.gov.bc.ca/esd/distdata/ecosystems/TEI_Scanned_Maps/R03/R03-1133","http://www.env.gov.bc.ca/esd/distdata/ecosystems/TEI_Scanned_Maps/R03/R03-1133")</f>
        <v>http://www.env.gov.bc.ca/esd/distdata/ecosystems/TEI_Scanned_Maps/R03/R03-1133</v>
      </c>
      <c r="U2414" t="s">
        <v>58</v>
      </c>
      <c r="V2414" t="s">
        <v>58</v>
      </c>
      <c r="W2414" t="s">
        <v>58</v>
      </c>
      <c r="X2414" t="s">
        <v>58</v>
      </c>
      <c r="Y2414" t="s">
        <v>58</v>
      </c>
      <c r="Z2414" t="s">
        <v>58</v>
      </c>
      <c r="AA2414" t="s">
        <v>58</v>
      </c>
      <c r="AC2414" t="s">
        <v>58</v>
      </c>
      <c r="AE2414" t="s">
        <v>58</v>
      </c>
      <c r="AG2414" t="s">
        <v>63</v>
      </c>
      <c r="AH2414" s="11" t="str">
        <f t="shared" si="156"/>
        <v>mailto: soilterrain@victoria1.gov.bc.ca</v>
      </c>
    </row>
    <row r="2415" spans="1:34">
      <c r="A2415" t="s">
        <v>5578</v>
      </c>
      <c r="B2415" t="s">
        <v>56</v>
      </c>
      <c r="C2415" s="10" t="s">
        <v>5344</v>
      </c>
      <c r="D2415" t="s">
        <v>61</v>
      </c>
      <c r="E2415" t="s">
        <v>2952</v>
      </c>
      <c r="F2415" t="s">
        <v>5569</v>
      </c>
      <c r="G2415">
        <v>20000</v>
      </c>
      <c r="H2415">
        <v>1981</v>
      </c>
      <c r="I2415" t="s">
        <v>58</v>
      </c>
      <c r="J2415" t="s">
        <v>58</v>
      </c>
      <c r="K2415" t="s">
        <v>58</v>
      </c>
      <c r="L2415" t="s">
        <v>58</v>
      </c>
      <c r="M2415" t="s">
        <v>58</v>
      </c>
      <c r="P2415" t="s">
        <v>61</v>
      </c>
      <c r="Q2415" t="s">
        <v>58</v>
      </c>
      <c r="R2415" s="11" t="str">
        <f>HYPERLINK("\\imagefiles.bcgov\imagery\scanned_maps\moe_terrain_maps\Scanned_T_maps_all\R03\R03-1143","\\imagefiles.bcgov\imagery\scanned_maps\moe_terrain_maps\Scanned_T_maps_all\R03\R03-1143")</f>
        <v>\\imagefiles.bcgov\imagery\scanned_maps\moe_terrain_maps\Scanned_T_maps_all\R03\R03-1143</v>
      </c>
      <c r="S2415" t="s">
        <v>62</v>
      </c>
      <c r="T2415" s="11" t="str">
        <f>HYPERLINK("http://www.env.gov.bc.ca/esd/distdata/ecosystems/TEI_Scanned_Maps/R03/R03-1143","http://www.env.gov.bc.ca/esd/distdata/ecosystems/TEI_Scanned_Maps/R03/R03-1143")</f>
        <v>http://www.env.gov.bc.ca/esd/distdata/ecosystems/TEI_Scanned_Maps/R03/R03-1143</v>
      </c>
      <c r="U2415" t="s">
        <v>58</v>
      </c>
      <c r="V2415" t="s">
        <v>58</v>
      </c>
      <c r="W2415" t="s">
        <v>58</v>
      </c>
      <c r="X2415" t="s">
        <v>58</v>
      </c>
      <c r="Y2415" t="s">
        <v>58</v>
      </c>
      <c r="Z2415" t="s">
        <v>58</v>
      </c>
      <c r="AA2415" t="s">
        <v>58</v>
      </c>
      <c r="AC2415" t="s">
        <v>58</v>
      </c>
      <c r="AE2415" t="s">
        <v>58</v>
      </c>
      <c r="AG2415" t="s">
        <v>63</v>
      </c>
      <c r="AH2415" s="11" t="str">
        <f t="shared" si="156"/>
        <v>mailto: soilterrain@victoria1.gov.bc.ca</v>
      </c>
    </row>
    <row r="2416" spans="1:34">
      <c r="A2416" t="s">
        <v>5579</v>
      </c>
      <c r="B2416" t="s">
        <v>56</v>
      </c>
      <c r="C2416" s="10" t="s">
        <v>5346</v>
      </c>
      <c r="D2416" t="s">
        <v>61</v>
      </c>
      <c r="E2416" t="s">
        <v>2952</v>
      </c>
      <c r="F2416" t="s">
        <v>5569</v>
      </c>
      <c r="G2416">
        <v>20000</v>
      </c>
      <c r="H2416">
        <v>1980</v>
      </c>
      <c r="I2416" t="s">
        <v>58</v>
      </c>
      <c r="J2416" t="s">
        <v>58</v>
      </c>
      <c r="K2416" t="s">
        <v>58</v>
      </c>
      <c r="L2416" t="s">
        <v>58</v>
      </c>
      <c r="M2416" t="s">
        <v>58</v>
      </c>
      <c r="P2416" t="s">
        <v>61</v>
      </c>
      <c r="Q2416" t="s">
        <v>58</v>
      </c>
      <c r="R2416" s="11" t="str">
        <f>HYPERLINK("\\imagefiles.bcgov\imagery\scanned_maps\moe_terrain_maps\Scanned_T_maps_all\R03\R03-1152","\\imagefiles.bcgov\imagery\scanned_maps\moe_terrain_maps\Scanned_T_maps_all\R03\R03-1152")</f>
        <v>\\imagefiles.bcgov\imagery\scanned_maps\moe_terrain_maps\Scanned_T_maps_all\R03\R03-1152</v>
      </c>
      <c r="S2416" t="s">
        <v>62</v>
      </c>
      <c r="T2416" s="11" t="str">
        <f>HYPERLINK("http://www.env.gov.bc.ca/esd/distdata/ecosystems/TEI_Scanned_Maps/R03/R03-1152","http://www.env.gov.bc.ca/esd/distdata/ecosystems/TEI_Scanned_Maps/R03/R03-1152")</f>
        <v>http://www.env.gov.bc.ca/esd/distdata/ecosystems/TEI_Scanned_Maps/R03/R03-1152</v>
      </c>
      <c r="U2416" t="s">
        <v>58</v>
      </c>
      <c r="V2416" t="s">
        <v>58</v>
      </c>
      <c r="W2416" t="s">
        <v>58</v>
      </c>
      <c r="X2416" t="s">
        <v>58</v>
      </c>
      <c r="Y2416" t="s">
        <v>58</v>
      </c>
      <c r="Z2416" t="s">
        <v>58</v>
      </c>
      <c r="AA2416" t="s">
        <v>58</v>
      </c>
      <c r="AC2416" t="s">
        <v>58</v>
      </c>
      <c r="AE2416" t="s">
        <v>58</v>
      </c>
      <c r="AG2416" t="s">
        <v>63</v>
      </c>
      <c r="AH2416" s="11" t="str">
        <f t="shared" si="156"/>
        <v>mailto: soilterrain@victoria1.gov.bc.ca</v>
      </c>
    </row>
    <row r="2417" spans="1:34">
      <c r="A2417" t="s">
        <v>5580</v>
      </c>
      <c r="B2417" t="s">
        <v>56</v>
      </c>
      <c r="C2417" s="10" t="s">
        <v>5348</v>
      </c>
      <c r="D2417" t="s">
        <v>61</v>
      </c>
      <c r="E2417" t="s">
        <v>2952</v>
      </c>
      <c r="F2417" t="s">
        <v>5569</v>
      </c>
      <c r="G2417">
        <v>20000</v>
      </c>
      <c r="H2417">
        <v>1979</v>
      </c>
      <c r="I2417" t="s">
        <v>58</v>
      </c>
      <c r="J2417" t="s">
        <v>58</v>
      </c>
      <c r="K2417" t="s">
        <v>58</v>
      </c>
      <c r="L2417" t="s">
        <v>58</v>
      </c>
      <c r="M2417" t="s">
        <v>58</v>
      </c>
      <c r="P2417" t="s">
        <v>61</v>
      </c>
      <c r="Q2417" t="s">
        <v>58</v>
      </c>
      <c r="R2417" s="11" t="str">
        <f>HYPERLINK("\\imagefiles.bcgov\imagery\scanned_maps\moe_terrain_maps\Scanned_T_maps_all\R03\R03-1161","\\imagefiles.bcgov\imagery\scanned_maps\moe_terrain_maps\Scanned_T_maps_all\R03\R03-1161")</f>
        <v>\\imagefiles.bcgov\imagery\scanned_maps\moe_terrain_maps\Scanned_T_maps_all\R03\R03-1161</v>
      </c>
      <c r="S2417" t="s">
        <v>62</v>
      </c>
      <c r="T2417" s="11" t="str">
        <f>HYPERLINK("http://www.env.gov.bc.ca/esd/distdata/ecosystems/TEI_Scanned_Maps/R03/R03-1161","http://www.env.gov.bc.ca/esd/distdata/ecosystems/TEI_Scanned_Maps/R03/R03-1161")</f>
        <v>http://www.env.gov.bc.ca/esd/distdata/ecosystems/TEI_Scanned_Maps/R03/R03-1161</v>
      </c>
      <c r="U2417" t="s">
        <v>58</v>
      </c>
      <c r="V2417" t="s">
        <v>58</v>
      </c>
      <c r="W2417" t="s">
        <v>58</v>
      </c>
      <c r="X2417" t="s">
        <v>58</v>
      </c>
      <c r="Y2417" t="s">
        <v>58</v>
      </c>
      <c r="Z2417" t="s">
        <v>58</v>
      </c>
      <c r="AA2417" t="s">
        <v>58</v>
      </c>
      <c r="AC2417" t="s">
        <v>58</v>
      </c>
      <c r="AE2417" t="s">
        <v>58</v>
      </c>
      <c r="AG2417" t="s">
        <v>63</v>
      </c>
      <c r="AH2417" s="11" t="str">
        <f t="shared" si="156"/>
        <v>mailto: soilterrain@victoria1.gov.bc.ca</v>
      </c>
    </row>
    <row r="2418" spans="1:34">
      <c r="A2418" t="s">
        <v>5581</v>
      </c>
      <c r="B2418" t="s">
        <v>56</v>
      </c>
      <c r="C2418" s="10" t="s">
        <v>5350</v>
      </c>
      <c r="D2418" t="s">
        <v>61</v>
      </c>
      <c r="E2418" t="s">
        <v>2952</v>
      </c>
      <c r="F2418" t="s">
        <v>5569</v>
      </c>
      <c r="G2418">
        <v>20000</v>
      </c>
      <c r="H2418">
        <v>1978</v>
      </c>
      <c r="I2418" t="s">
        <v>58</v>
      </c>
      <c r="J2418" t="s">
        <v>58</v>
      </c>
      <c r="K2418" t="s">
        <v>58</v>
      </c>
      <c r="L2418" t="s">
        <v>58</v>
      </c>
      <c r="M2418" t="s">
        <v>58</v>
      </c>
      <c r="P2418" t="s">
        <v>61</v>
      </c>
      <c r="Q2418" t="s">
        <v>58</v>
      </c>
      <c r="R2418" s="11" t="str">
        <f>HYPERLINK("\\imagefiles.bcgov\imagery\scanned_maps\moe_terrain_maps\Scanned_T_maps_all\R03\R03-1169","\\imagefiles.bcgov\imagery\scanned_maps\moe_terrain_maps\Scanned_T_maps_all\R03\R03-1169")</f>
        <v>\\imagefiles.bcgov\imagery\scanned_maps\moe_terrain_maps\Scanned_T_maps_all\R03\R03-1169</v>
      </c>
      <c r="S2418" t="s">
        <v>62</v>
      </c>
      <c r="T2418" s="11" t="str">
        <f>HYPERLINK("http://www.env.gov.bc.ca/esd/distdata/ecosystems/TEI_Scanned_Maps/R03/R03-1169","http://www.env.gov.bc.ca/esd/distdata/ecosystems/TEI_Scanned_Maps/R03/R03-1169")</f>
        <v>http://www.env.gov.bc.ca/esd/distdata/ecosystems/TEI_Scanned_Maps/R03/R03-1169</v>
      </c>
      <c r="U2418" t="s">
        <v>58</v>
      </c>
      <c r="V2418" t="s">
        <v>58</v>
      </c>
      <c r="W2418" t="s">
        <v>58</v>
      </c>
      <c r="X2418" t="s">
        <v>58</v>
      </c>
      <c r="Y2418" t="s">
        <v>58</v>
      </c>
      <c r="Z2418" t="s">
        <v>58</v>
      </c>
      <c r="AA2418" t="s">
        <v>58</v>
      </c>
      <c r="AC2418" t="s">
        <v>58</v>
      </c>
      <c r="AE2418" t="s">
        <v>58</v>
      </c>
      <c r="AG2418" t="s">
        <v>63</v>
      </c>
      <c r="AH2418" s="11" t="str">
        <f t="shared" si="156"/>
        <v>mailto: soilterrain@victoria1.gov.bc.ca</v>
      </c>
    </row>
    <row r="2419" spans="1:34">
      <c r="A2419" t="s">
        <v>5582</v>
      </c>
      <c r="B2419" t="s">
        <v>56</v>
      </c>
      <c r="C2419" s="10" t="s">
        <v>5352</v>
      </c>
      <c r="D2419" t="s">
        <v>61</v>
      </c>
      <c r="E2419" t="s">
        <v>2952</v>
      </c>
      <c r="F2419" t="s">
        <v>5569</v>
      </c>
      <c r="G2419">
        <v>20000</v>
      </c>
      <c r="H2419">
        <v>1980</v>
      </c>
      <c r="I2419" t="s">
        <v>58</v>
      </c>
      <c r="J2419" t="s">
        <v>58</v>
      </c>
      <c r="K2419" t="s">
        <v>58</v>
      </c>
      <c r="L2419" t="s">
        <v>58</v>
      </c>
      <c r="M2419" t="s">
        <v>58</v>
      </c>
      <c r="P2419" t="s">
        <v>61</v>
      </c>
      <c r="Q2419" t="s">
        <v>58</v>
      </c>
      <c r="R2419" s="11" t="str">
        <f>HYPERLINK("\\imagefiles.bcgov\imagery\scanned_maps\moe_terrain_maps\Scanned_T_maps_all\R03\R03-1177","\\imagefiles.bcgov\imagery\scanned_maps\moe_terrain_maps\Scanned_T_maps_all\R03\R03-1177")</f>
        <v>\\imagefiles.bcgov\imagery\scanned_maps\moe_terrain_maps\Scanned_T_maps_all\R03\R03-1177</v>
      </c>
      <c r="S2419" t="s">
        <v>62</v>
      </c>
      <c r="T2419" s="11" t="str">
        <f>HYPERLINK("http://www.env.gov.bc.ca/esd/distdata/ecosystems/TEI_Scanned_Maps/R03/R03-1177","http://www.env.gov.bc.ca/esd/distdata/ecosystems/TEI_Scanned_Maps/R03/R03-1177")</f>
        <v>http://www.env.gov.bc.ca/esd/distdata/ecosystems/TEI_Scanned_Maps/R03/R03-1177</v>
      </c>
      <c r="U2419" t="s">
        <v>58</v>
      </c>
      <c r="V2419" t="s">
        <v>58</v>
      </c>
      <c r="W2419" t="s">
        <v>58</v>
      </c>
      <c r="X2419" t="s">
        <v>58</v>
      </c>
      <c r="Y2419" t="s">
        <v>58</v>
      </c>
      <c r="Z2419" t="s">
        <v>58</v>
      </c>
      <c r="AA2419" t="s">
        <v>58</v>
      </c>
      <c r="AC2419" t="s">
        <v>58</v>
      </c>
      <c r="AE2419" t="s">
        <v>58</v>
      </c>
      <c r="AG2419" t="s">
        <v>63</v>
      </c>
      <c r="AH2419" s="11" t="str">
        <f t="shared" si="156"/>
        <v>mailto: soilterrain@victoria1.gov.bc.ca</v>
      </c>
    </row>
    <row r="2420" spans="1:34">
      <c r="A2420" t="s">
        <v>5583</v>
      </c>
      <c r="B2420" t="s">
        <v>56</v>
      </c>
      <c r="C2420" s="10" t="s">
        <v>5354</v>
      </c>
      <c r="D2420" t="s">
        <v>61</v>
      </c>
      <c r="E2420" t="s">
        <v>2952</v>
      </c>
      <c r="F2420" t="s">
        <v>5569</v>
      </c>
      <c r="G2420">
        <v>20000</v>
      </c>
      <c r="H2420" t="s">
        <v>187</v>
      </c>
      <c r="I2420" t="s">
        <v>58</v>
      </c>
      <c r="J2420" t="s">
        <v>58</v>
      </c>
      <c r="K2420" t="s">
        <v>58</v>
      </c>
      <c r="L2420" t="s">
        <v>58</v>
      </c>
      <c r="M2420" t="s">
        <v>58</v>
      </c>
      <c r="P2420" t="s">
        <v>61</v>
      </c>
      <c r="Q2420" t="s">
        <v>58</v>
      </c>
      <c r="R2420" s="11" t="str">
        <f>HYPERLINK("\\imagefiles.bcgov\imagery\scanned_maps\moe_terrain_maps\Scanned_T_maps_all\R03\R03-1185","\\imagefiles.bcgov\imagery\scanned_maps\moe_terrain_maps\Scanned_T_maps_all\R03\R03-1185")</f>
        <v>\\imagefiles.bcgov\imagery\scanned_maps\moe_terrain_maps\Scanned_T_maps_all\R03\R03-1185</v>
      </c>
      <c r="S2420" t="s">
        <v>62</v>
      </c>
      <c r="T2420" s="11" t="str">
        <f>HYPERLINK("http://www.env.gov.bc.ca/esd/distdata/ecosystems/TEI_Scanned_Maps/R03/R03-1185","http://www.env.gov.bc.ca/esd/distdata/ecosystems/TEI_Scanned_Maps/R03/R03-1185")</f>
        <v>http://www.env.gov.bc.ca/esd/distdata/ecosystems/TEI_Scanned_Maps/R03/R03-1185</v>
      </c>
      <c r="U2420" t="s">
        <v>58</v>
      </c>
      <c r="V2420" t="s">
        <v>58</v>
      </c>
      <c r="W2420" t="s">
        <v>58</v>
      </c>
      <c r="X2420" t="s">
        <v>58</v>
      </c>
      <c r="Y2420" t="s">
        <v>58</v>
      </c>
      <c r="Z2420" t="s">
        <v>58</v>
      </c>
      <c r="AA2420" t="s">
        <v>58</v>
      </c>
      <c r="AC2420" t="s">
        <v>58</v>
      </c>
      <c r="AE2420" t="s">
        <v>58</v>
      </c>
      <c r="AG2420" t="s">
        <v>63</v>
      </c>
      <c r="AH2420" s="11" t="str">
        <f t="shared" si="156"/>
        <v>mailto: soilterrain@victoria1.gov.bc.ca</v>
      </c>
    </row>
    <row r="2421" spans="1:34">
      <c r="A2421" t="s">
        <v>5584</v>
      </c>
      <c r="B2421" t="s">
        <v>56</v>
      </c>
      <c r="C2421" s="10" t="s">
        <v>5356</v>
      </c>
      <c r="D2421" t="s">
        <v>61</v>
      </c>
      <c r="E2421" t="s">
        <v>2952</v>
      </c>
      <c r="F2421" t="s">
        <v>5569</v>
      </c>
      <c r="G2421">
        <v>20000</v>
      </c>
      <c r="H2421">
        <v>1978</v>
      </c>
      <c r="I2421" t="s">
        <v>58</v>
      </c>
      <c r="J2421" t="s">
        <v>58</v>
      </c>
      <c r="K2421" t="s">
        <v>58</v>
      </c>
      <c r="L2421" t="s">
        <v>58</v>
      </c>
      <c r="M2421" t="s">
        <v>58</v>
      </c>
      <c r="P2421" t="s">
        <v>61</v>
      </c>
      <c r="Q2421" t="s">
        <v>58</v>
      </c>
      <c r="R2421" s="11" t="str">
        <f>HYPERLINK("\\imagefiles.bcgov\imagery\scanned_maps\moe_terrain_maps\Scanned_T_maps_all\R03\R03-1193","\\imagefiles.bcgov\imagery\scanned_maps\moe_terrain_maps\Scanned_T_maps_all\R03\R03-1193")</f>
        <v>\\imagefiles.bcgov\imagery\scanned_maps\moe_terrain_maps\Scanned_T_maps_all\R03\R03-1193</v>
      </c>
      <c r="S2421" t="s">
        <v>62</v>
      </c>
      <c r="T2421" s="11" t="str">
        <f>HYPERLINK("http://www.env.gov.bc.ca/esd/distdata/ecosystems/TEI_Scanned_Maps/R03/R03-1193","http://www.env.gov.bc.ca/esd/distdata/ecosystems/TEI_Scanned_Maps/R03/R03-1193")</f>
        <v>http://www.env.gov.bc.ca/esd/distdata/ecosystems/TEI_Scanned_Maps/R03/R03-1193</v>
      </c>
      <c r="U2421" t="s">
        <v>58</v>
      </c>
      <c r="V2421" t="s">
        <v>58</v>
      </c>
      <c r="W2421" t="s">
        <v>58</v>
      </c>
      <c r="X2421" t="s">
        <v>58</v>
      </c>
      <c r="Y2421" t="s">
        <v>58</v>
      </c>
      <c r="Z2421" t="s">
        <v>58</v>
      </c>
      <c r="AA2421" t="s">
        <v>58</v>
      </c>
      <c r="AC2421" t="s">
        <v>58</v>
      </c>
      <c r="AE2421" t="s">
        <v>58</v>
      </c>
      <c r="AG2421" t="s">
        <v>63</v>
      </c>
      <c r="AH2421" s="11" t="str">
        <f t="shared" si="156"/>
        <v>mailto: soilterrain@victoria1.gov.bc.ca</v>
      </c>
    </row>
    <row r="2422" spans="1:34">
      <c r="A2422" t="s">
        <v>5585</v>
      </c>
      <c r="B2422" t="s">
        <v>56</v>
      </c>
      <c r="C2422" s="10" t="s">
        <v>5358</v>
      </c>
      <c r="D2422" t="s">
        <v>61</v>
      </c>
      <c r="E2422" t="s">
        <v>2952</v>
      </c>
      <c r="F2422" t="s">
        <v>5569</v>
      </c>
      <c r="G2422">
        <v>20000</v>
      </c>
      <c r="H2422">
        <v>1980</v>
      </c>
      <c r="I2422" t="s">
        <v>58</v>
      </c>
      <c r="J2422" t="s">
        <v>58</v>
      </c>
      <c r="K2422" t="s">
        <v>58</v>
      </c>
      <c r="L2422" t="s">
        <v>58</v>
      </c>
      <c r="M2422" t="s">
        <v>58</v>
      </c>
      <c r="P2422" t="s">
        <v>61</v>
      </c>
      <c r="Q2422" t="s">
        <v>58</v>
      </c>
      <c r="R2422" s="11" t="str">
        <f>HYPERLINK("\\imagefiles.bcgov\imagery\scanned_maps\moe_terrain_maps\Scanned_T_maps_all\R03\R03-1201","\\imagefiles.bcgov\imagery\scanned_maps\moe_terrain_maps\Scanned_T_maps_all\R03\R03-1201")</f>
        <v>\\imagefiles.bcgov\imagery\scanned_maps\moe_terrain_maps\Scanned_T_maps_all\R03\R03-1201</v>
      </c>
      <c r="S2422" t="s">
        <v>62</v>
      </c>
      <c r="T2422" s="11" t="str">
        <f>HYPERLINK("http://www.env.gov.bc.ca/esd/distdata/ecosystems/TEI_Scanned_Maps/R03/R03-1201","http://www.env.gov.bc.ca/esd/distdata/ecosystems/TEI_Scanned_Maps/R03/R03-1201")</f>
        <v>http://www.env.gov.bc.ca/esd/distdata/ecosystems/TEI_Scanned_Maps/R03/R03-1201</v>
      </c>
      <c r="U2422" t="s">
        <v>58</v>
      </c>
      <c r="V2422" t="s">
        <v>58</v>
      </c>
      <c r="W2422" t="s">
        <v>58</v>
      </c>
      <c r="X2422" t="s">
        <v>58</v>
      </c>
      <c r="Y2422" t="s">
        <v>58</v>
      </c>
      <c r="Z2422" t="s">
        <v>58</v>
      </c>
      <c r="AA2422" t="s">
        <v>58</v>
      </c>
      <c r="AC2422" t="s">
        <v>58</v>
      </c>
      <c r="AE2422" t="s">
        <v>58</v>
      </c>
      <c r="AG2422" t="s">
        <v>63</v>
      </c>
      <c r="AH2422" s="11" t="str">
        <f t="shared" si="156"/>
        <v>mailto: soilterrain@victoria1.gov.bc.ca</v>
      </c>
    </row>
    <row r="2423" spans="1:34">
      <c r="A2423" t="s">
        <v>5586</v>
      </c>
      <c r="B2423" t="s">
        <v>56</v>
      </c>
      <c r="C2423" s="10" t="s">
        <v>5360</v>
      </c>
      <c r="D2423" t="s">
        <v>61</v>
      </c>
      <c r="E2423" t="s">
        <v>2952</v>
      </c>
      <c r="F2423" t="s">
        <v>5569</v>
      </c>
      <c r="G2423">
        <v>20000</v>
      </c>
      <c r="H2423" t="s">
        <v>187</v>
      </c>
      <c r="I2423" t="s">
        <v>58</v>
      </c>
      <c r="J2423" t="s">
        <v>58</v>
      </c>
      <c r="K2423" t="s">
        <v>58</v>
      </c>
      <c r="L2423" t="s">
        <v>58</v>
      </c>
      <c r="M2423" t="s">
        <v>58</v>
      </c>
      <c r="P2423" t="s">
        <v>61</v>
      </c>
      <c r="Q2423" t="s">
        <v>58</v>
      </c>
      <c r="R2423" s="11" t="str">
        <f>HYPERLINK("\\imagefiles.bcgov\imagery\scanned_maps\moe_terrain_maps\Scanned_T_maps_all\R03\R03-1209","\\imagefiles.bcgov\imagery\scanned_maps\moe_terrain_maps\Scanned_T_maps_all\R03\R03-1209")</f>
        <v>\\imagefiles.bcgov\imagery\scanned_maps\moe_terrain_maps\Scanned_T_maps_all\R03\R03-1209</v>
      </c>
      <c r="S2423" t="s">
        <v>62</v>
      </c>
      <c r="T2423" s="11" t="str">
        <f>HYPERLINK("http://www.env.gov.bc.ca/esd/distdata/ecosystems/TEI_Scanned_Maps/R03/R03-1209","http://www.env.gov.bc.ca/esd/distdata/ecosystems/TEI_Scanned_Maps/R03/R03-1209")</f>
        <v>http://www.env.gov.bc.ca/esd/distdata/ecosystems/TEI_Scanned_Maps/R03/R03-1209</v>
      </c>
      <c r="U2423" t="s">
        <v>58</v>
      </c>
      <c r="V2423" t="s">
        <v>58</v>
      </c>
      <c r="W2423" t="s">
        <v>58</v>
      </c>
      <c r="X2423" t="s">
        <v>58</v>
      </c>
      <c r="Y2423" t="s">
        <v>58</v>
      </c>
      <c r="Z2423" t="s">
        <v>58</v>
      </c>
      <c r="AA2423" t="s">
        <v>58</v>
      </c>
      <c r="AC2423" t="s">
        <v>58</v>
      </c>
      <c r="AE2423" t="s">
        <v>58</v>
      </c>
      <c r="AG2423" t="s">
        <v>63</v>
      </c>
      <c r="AH2423" s="11" t="str">
        <f t="shared" si="156"/>
        <v>mailto: soilterrain@victoria1.gov.bc.ca</v>
      </c>
    </row>
    <row r="2424" spans="1:34">
      <c r="A2424" t="s">
        <v>5587</v>
      </c>
      <c r="B2424" t="s">
        <v>56</v>
      </c>
      <c r="C2424" s="10" t="s">
        <v>5362</v>
      </c>
      <c r="D2424" t="s">
        <v>58</v>
      </c>
      <c r="E2424" t="s">
        <v>2952</v>
      </c>
      <c r="F2424" t="s">
        <v>5569</v>
      </c>
      <c r="G2424">
        <v>20000</v>
      </c>
      <c r="H2424">
        <v>1974</v>
      </c>
      <c r="I2424" t="s">
        <v>58</v>
      </c>
      <c r="J2424" t="s">
        <v>58</v>
      </c>
      <c r="K2424" t="s">
        <v>58</v>
      </c>
      <c r="L2424" t="s">
        <v>58</v>
      </c>
      <c r="M2424" t="s">
        <v>58</v>
      </c>
      <c r="P2424" t="s">
        <v>61</v>
      </c>
      <c r="Q2424" t="s">
        <v>58</v>
      </c>
      <c r="R2424" s="11" t="str">
        <f>HYPERLINK("\\imagefiles.bcgov\imagery\scanned_maps\moe_terrain_maps\Scanned_T_maps_all\R03\R03-1217","\\imagefiles.bcgov\imagery\scanned_maps\moe_terrain_maps\Scanned_T_maps_all\R03\R03-1217")</f>
        <v>\\imagefiles.bcgov\imagery\scanned_maps\moe_terrain_maps\Scanned_T_maps_all\R03\R03-1217</v>
      </c>
      <c r="S2424" t="s">
        <v>62</v>
      </c>
      <c r="T2424" s="11" t="str">
        <f>HYPERLINK("http://www.env.gov.bc.ca/esd/distdata/ecosystems/TEI_Scanned_Maps/R03/R03-1217","http://www.env.gov.bc.ca/esd/distdata/ecosystems/TEI_Scanned_Maps/R03/R03-1217")</f>
        <v>http://www.env.gov.bc.ca/esd/distdata/ecosystems/TEI_Scanned_Maps/R03/R03-1217</v>
      </c>
      <c r="U2424" t="s">
        <v>58</v>
      </c>
      <c r="V2424" t="s">
        <v>58</v>
      </c>
      <c r="W2424" t="s">
        <v>58</v>
      </c>
      <c r="X2424" t="s">
        <v>58</v>
      </c>
      <c r="Y2424" t="s">
        <v>58</v>
      </c>
      <c r="Z2424" t="s">
        <v>58</v>
      </c>
      <c r="AA2424" t="s">
        <v>58</v>
      </c>
      <c r="AC2424" t="s">
        <v>58</v>
      </c>
      <c r="AE2424" t="s">
        <v>58</v>
      </c>
      <c r="AG2424" t="s">
        <v>63</v>
      </c>
      <c r="AH2424" s="11" t="str">
        <f t="shared" si="156"/>
        <v>mailto: soilterrain@victoria1.gov.bc.ca</v>
      </c>
    </row>
    <row r="2425" spans="1:34">
      <c r="A2425" t="s">
        <v>5588</v>
      </c>
      <c r="B2425" t="s">
        <v>56</v>
      </c>
      <c r="C2425" s="10" t="s">
        <v>5589</v>
      </c>
      <c r="D2425" t="s">
        <v>58</v>
      </c>
      <c r="E2425" t="s">
        <v>2952</v>
      </c>
      <c r="F2425" t="s">
        <v>5569</v>
      </c>
      <c r="G2425">
        <v>20000</v>
      </c>
      <c r="H2425">
        <v>1974</v>
      </c>
      <c r="I2425" t="s">
        <v>58</v>
      </c>
      <c r="J2425" t="s">
        <v>58</v>
      </c>
      <c r="K2425" t="s">
        <v>58</v>
      </c>
      <c r="L2425" t="s">
        <v>58</v>
      </c>
      <c r="M2425" t="s">
        <v>58</v>
      </c>
      <c r="P2425" t="s">
        <v>61</v>
      </c>
      <c r="Q2425" t="s">
        <v>58</v>
      </c>
      <c r="R2425" s="11" t="str">
        <f>HYPERLINK("\\imagefiles.bcgov\imagery\scanned_maps\moe_terrain_maps\Scanned_T_maps_all\R03\R03-1225","\\imagefiles.bcgov\imagery\scanned_maps\moe_terrain_maps\Scanned_T_maps_all\R03\R03-1225")</f>
        <v>\\imagefiles.bcgov\imagery\scanned_maps\moe_terrain_maps\Scanned_T_maps_all\R03\R03-1225</v>
      </c>
      <c r="S2425" t="s">
        <v>62</v>
      </c>
      <c r="T2425" s="11" t="str">
        <f>HYPERLINK("http://www.env.gov.bc.ca/esd/distdata/ecosystems/TEI_Scanned_Maps/R03/R03-1225","http://www.env.gov.bc.ca/esd/distdata/ecosystems/TEI_Scanned_Maps/R03/R03-1225")</f>
        <v>http://www.env.gov.bc.ca/esd/distdata/ecosystems/TEI_Scanned_Maps/R03/R03-1225</v>
      </c>
      <c r="U2425" t="s">
        <v>58</v>
      </c>
      <c r="V2425" t="s">
        <v>58</v>
      </c>
      <c r="W2425" t="s">
        <v>58</v>
      </c>
      <c r="X2425" t="s">
        <v>58</v>
      </c>
      <c r="Y2425" t="s">
        <v>58</v>
      </c>
      <c r="Z2425" t="s">
        <v>58</v>
      </c>
      <c r="AA2425" t="s">
        <v>58</v>
      </c>
      <c r="AC2425" t="s">
        <v>58</v>
      </c>
      <c r="AE2425" t="s">
        <v>58</v>
      </c>
      <c r="AG2425" t="s">
        <v>63</v>
      </c>
      <c r="AH2425" s="11" t="str">
        <f t="shared" si="156"/>
        <v>mailto: soilterrain@victoria1.gov.bc.ca</v>
      </c>
    </row>
    <row r="2426" spans="1:34">
      <c r="A2426" t="s">
        <v>5590</v>
      </c>
      <c r="B2426" t="s">
        <v>56</v>
      </c>
      <c r="C2426" s="10" t="s">
        <v>5365</v>
      </c>
      <c r="D2426" t="s">
        <v>61</v>
      </c>
      <c r="E2426" t="s">
        <v>2952</v>
      </c>
      <c r="F2426" t="s">
        <v>5569</v>
      </c>
      <c r="G2426">
        <v>20000</v>
      </c>
      <c r="H2426">
        <v>1974</v>
      </c>
      <c r="I2426" t="s">
        <v>58</v>
      </c>
      <c r="J2426" t="s">
        <v>58</v>
      </c>
      <c r="K2426" t="s">
        <v>58</v>
      </c>
      <c r="L2426" t="s">
        <v>58</v>
      </c>
      <c r="M2426" t="s">
        <v>58</v>
      </c>
      <c r="P2426" t="s">
        <v>61</v>
      </c>
      <c r="Q2426" t="s">
        <v>58</v>
      </c>
      <c r="R2426" s="11" t="str">
        <f>HYPERLINK("\\imagefiles.bcgov\imagery\scanned_maps\moe_terrain_maps\Scanned_T_maps_all\R03\R03-1231","\\imagefiles.bcgov\imagery\scanned_maps\moe_terrain_maps\Scanned_T_maps_all\R03\R03-1231")</f>
        <v>\\imagefiles.bcgov\imagery\scanned_maps\moe_terrain_maps\Scanned_T_maps_all\R03\R03-1231</v>
      </c>
      <c r="S2426" t="s">
        <v>62</v>
      </c>
      <c r="T2426" s="11" t="str">
        <f>HYPERLINK("http://www.env.gov.bc.ca/esd/distdata/ecosystems/TEI_Scanned_Maps/R03/R03-1231","http://www.env.gov.bc.ca/esd/distdata/ecosystems/TEI_Scanned_Maps/R03/R03-1231")</f>
        <v>http://www.env.gov.bc.ca/esd/distdata/ecosystems/TEI_Scanned_Maps/R03/R03-1231</v>
      </c>
      <c r="U2426" t="s">
        <v>58</v>
      </c>
      <c r="V2426" t="s">
        <v>58</v>
      </c>
      <c r="W2426" t="s">
        <v>58</v>
      </c>
      <c r="X2426" t="s">
        <v>58</v>
      </c>
      <c r="Y2426" t="s">
        <v>58</v>
      </c>
      <c r="Z2426" t="s">
        <v>58</v>
      </c>
      <c r="AA2426" t="s">
        <v>58</v>
      </c>
      <c r="AC2426" t="s">
        <v>58</v>
      </c>
      <c r="AE2426" t="s">
        <v>58</v>
      </c>
      <c r="AG2426" t="s">
        <v>63</v>
      </c>
      <c r="AH2426" s="11" t="str">
        <f t="shared" si="156"/>
        <v>mailto: soilterrain@victoria1.gov.bc.ca</v>
      </c>
    </row>
    <row r="2427" spans="1:34">
      <c r="A2427" t="s">
        <v>5591</v>
      </c>
      <c r="B2427" t="s">
        <v>56</v>
      </c>
      <c r="C2427" s="10" t="s">
        <v>5367</v>
      </c>
      <c r="D2427" t="s">
        <v>61</v>
      </c>
      <c r="E2427" t="s">
        <v>2952</v>
      </c>
      <c r="F2427" t="s">
        <v>5569</v>
      </c>
      <c r="G2427">
        <v>20000</v>
      </c>
      <c r="H2427">
        <v>1974</v>
      </c>
      <c r="I2427" t="s">
        <v>58</v>
      </c>
      <c r="J2427" t="s">
        <v>58</v>
      </c>
      <c r="K2427" t="s">
        <v>58</v>
      </c>
      <c r="L2427" t="s">
        <v>58</v>
      </c>
      <c r="M2427" t="s">
        <v>58</v>
      </c>
      <c r="P2427" t="s">
        <v>61</v>
      </c>
      <c r="Q2427" t="s">
        <v>58</v>
      </c>
      <c r="R2427" s="11" t="str">
        <f>HYPERLINK("\\imagefiles.bcgov\imagery\scanned_maps\moe_terrain_maps\Scanned_T_maps_all\R03\R03-1239","\\imagefiles.bcgov\imagery\scanned_maps\moe_terrain_maps\Scanned_T_maps_all\R03\R03-1239")</f>
        <v>\\imagefiles.bcgov\imagery\scanned_maps\moe_terrain_maps\Scanned_T_maps_all\R03\R03-1239</v>
      </c>
      <c r="S2427" t="s">
        <v>62</v>
      </c>
      <c r="T2427" s="11" t="str">
        <f>HYPERLINK("http://www.env.gov.bc.ca/esd/distdata/ecosystems/TEI_Scanned_Maps/R03/R03-1239","http://www.env.gov.bc.ca/esd/distdata/ecosystems/TEI_Scanned_Maps/R03/R03-1239")</f>
        <v>http://www.env.gov.bc.ca/esd/distdata/ecosystems/TEI_Scanned_Maps/R03/R03-1239</v>
      </c>
      <c r="U2427" t="s">
        <v>58</v>
      </c>
      <c r="V2427" t="s">
        <v>58</v>
      </c>
      <c r="W2427" t="s">
        <v>58</v>
      </c>
      <c r="X2427" t="s">
        <v>58</v>
      </c>
      <c r="Y2427" t="s">
        <v>58</v>
      </c>
      <c r="Z2427" t="s">
        <v>58</v>
      </c>
      <c r="AA2427" t="s">
        <v>58</v>
      </c>
      <c r="AC2427" t="s">
        <v>58</v>
      </c>
      <c r="AE2427" t="s">
        <v>58</v>
      </c>
      <c r="AG2427" t="s">
        <v>63</v>
      </c>
      <c r="AH2427" s="11" t="str">
        <f t="shared" si="156"/>
        <v>mailto: soilterrain@victoria1.gov.bc.ca</v>
      </c>
    </row>
    <row r="2428" spans="1:34">
      <c r="A2428" t="s">
        <v>5592</v>
      </c>
      <c r="B2428" t="s">
        <v>56</v>
      </c>
      <c r="C2428" s="10" t="s">
        <v>5369</v>
      </c>
      <c r="D2428" t="s">
        <v>61</v>
      </c>
      <c r="E2428" t="s">
        <v>2952</v>
      </c>
      <c r="F2428" t="s">
        <v>5593</v>
      </c>
      <c r="G2428">
        <v>20000</v>
      </c>
      <c r="H2428">
        <v>1974</v>
      </c>
      <c r="I2428" t="s">
        <v>58</v>
      </c>
      <c r="J2428" t="s">
        <v>58</v>
      </c>
      <c r="K2428" t="s">
        <v>58</v>
      </c>
      <c r="L2428" t="s">
        <v>58</v>
      </c>
      <c r="M2428" t="s">
        <v>58</v>
      </c>
      <c r="P2428" t="s">
        <v>61</v>
      </c>
      <c r="Q2428" t="s">
        <v>58</v>
      </c>
      <c r="R2428" s="11" t="str">
        <f>HYPERLINK("\\imagefiles.bcgov\imagery\scanned_maps\moe_terrain_maps\Scanned_T_maps_all\R03\R03-1247","\\imagefiles.bcgov\imagery\scanned_maps\moe_terrain_maps\Scanned_T_maps_all\R03\R03-1247")</f>
        <v>\\imagefiles.bcgov\imagery\scanned_maps\moe_terrain_maps\Scanned_T_maps_all\R03\R03-1247</v>
      </c>
      <c r="S2428" t="s">
        <v>62</v>
      </c>
      <c r="T2428" s="11" t="str">
        <f>HYPERLINK("http://www.env.gov.bc.ca/esd/distdata/ecosystems/TEI_Scanned_Maps/R03/R03-1247","http://www.env.gov.bc.ca/esd/distdata/ecosystems/TEI_Scanned_Maps/R03/R03-1247")</f>
        <v>http://www.env.gov.bc.ca/esd/distdata/ecosystems/TEI_Scanned_Maps/R03/R03-1247</v>
      </c>
      <c r="U2428" t="s">
        <v>58</v>
      </c>
      <c r="V2428" t="s">
        <v>58</v>
      </c>
      <c r="W2428" t="s">
        <v>58</v>
      </c>
      <c r="X2428" t="s">
        <v>58</v>
      </c>
      <c r="Y2428" t="s">
        <v>58</v>
      </c>
      <c r="Z2428" t="s">
        <v>58</v>
      </c>
      <c r="AA2428" t="s">
        <v>58</v>
      </c>
      <c r="AC2428" t="s">
        <v>58</v>
      </c>
      <c r="AE2428" t="s">
        <v>58</v>
      </c>
      <c r="AG2428" t="s">
        <v>63</v>
      </c>
      <c r="AH2428" s="11" t="str">
        <f t="shared" si="156"/>
        <v>mailto: soilterrain@victoria1.gov.bc.ca</v>
      </c>
    </row>
    <row r="2429" spans="1:34">
      <c r="A2429" t="s">
        <v>5594</v>
      </c>
      <c r="B2429" t="s">
        <v>56</v>
      </c>
      <c r="C2429" s="10" t="s">
        <v>5372</v>
      </c>
      <c r="D2429" t="s">
        <v>61</v>
      </c>
      <c r="E2429" t="s">
        <v>2952</v>
      </c>
      <c r="F2429" t="s">
        <v>5569</v>
      </c>
      <c r="G2429">
        <v>20000</v>
      </c>
      <c r="H2429">
        <v>1974</v>
      </c>
      <c r="I2429" t="s">
        <v>58</v>
      </c>
      <c r="J2429" t="s">
        <v>58</v>
      </c>
      <c r="K2429" t="s">
        <v>58</v>
      </c>
      <c r="L2429" t="s">
        <v>58</v>
      </c>
      <c r="M2429" t="s">
        <v>58</v>
      </c>
      <c r="P2429" t="s">
        <v>61</v>
      </c>
      <c r="Q2429" t="s">
        <v>58</v>
      </c>
      <c r="R2429" s="11" t="str">
        <f>HYPERLINK("\\imagefiles.bcgov\imagery\scanned_maps\moe_terrain_maps\Scanned_T_maps_all\R03\R03-1255","\\imagefiles.bcgov\imagery\scanned_maps\moe_terrain_maps\Scanned_T_maps_all\R03\R03-1255")</f>
        <v>\\imagefiles.bcgov\imagery\scanned_maps\moe_terrain_maps\Scanned_T_maps_all\R03\R03-1255</v>
      </c>
      <c r="S2429" t="s">
        <v>62</v>
      </c>
      <c r="T2429" s="11" t="str">
        <f>HYPERLINK("http://www.env.gov.bc.ca/esd/distdata/ecosystems/TEI_Scanned_Maps/R03/R03-1255","http://www.env.gov.bc.ca/esd/distdata/ecosystems/TEI_Scanned_Maps/R03/R03-1255")</f>
        <v>http://www.env.gov.bc.ca/esd/distdata/ecosystems/TEI_Scanned_Maps/R03/R03-1255</v>
      </c>
      <c r="U2429" t="s">
        <v>58</v>
      </c>
      <c r="V2429" t="s">
        <v>58</v>
      </c>
      <c r="W2429" t="s">
        <v>58</v>
      </c>
      <c r="X2429" t="s">
        <v>58</v>
      </c>
      <c r="Y2429" t="s">
        <v>58</v>
      </c>
      <c r="Z2429" t="s">
        <v>58</v>
      </c>
      <c r="AA2429" t="s">
        <v>58</v>
      </c>
      <c r="AC2429" t="s">
        <v>58</v>
      </c>
      <c r="AE2429" t="s">
        <v>58</v>
      </c>
      <c r="AG2429" t="s">
        <v>63</v>
      </c>
      <c r="AH2429" s="11" t="str">
        <f t="shared" si="156"/>
        <v>mailto: soilterrain@victoria1.gov.bc.ca</v>
      </c>
    </row>
    <row r="2430" spans="1:34">
      <c r="A2430" t="s">
        <v>5595</v>
      </c>
      <c r="B2430" t="s">
        <v>56</v>
      </c>
      <c r="C2430" s="10" t="s">
        <v>5033</v>
      </c>
      <c r="D2430" t="s">
        <v>58</v>
      </c>
      <c r="E2430" t="s">
        <v>2952</v>
      </c>
      <c r="F2430" t="s">
        <v>5569</v>
      </c>
      <c r="G2430">
        <v>20000</v>
      </c>
      <c r="H2430">
        <v>1971</v>
      </c>
      <c r="I2430" t="s">
        <v>58</v>
      </c>
      <c r="J2430" t="s">
        <v>58</v>
      </c>
      <c r="K2430" t="s">
        <v>58</v>
      </c>
      <c r="L2430" t="s">
        <v>58</v>
      </c>
      <c r="M2430" t="s">
        <v>58</v>
      </c>
      <c r="P2430" t="s">
        <v>61</v>
      </c>
      <c r="Q2430" t="s">
        <v>58</v>
      </c>
      <c r="R2430" s="11" t="str">
        <f>HYPERLINK("\\imagefiles.bcgov\imagery\scanned_maps\moe_terrain_maps\Scanned_T_maps_all\R03\R03-1263","\\imagefiles.bcgov\imagery\scanned_maps\moe_terrain_maps\Scanned_T_maps_all\R03\R03-1263")</f>
        <v>\\imagefiles.bcgov\imagery\scanned_maps\moe_terrain_maps\Scanned_T_maps_all\R03\R03-1263</v>
      </c>
      <c r="S2430" t="s">
        <v>62</v>
      </c>
      <c r="T2430" s="11" t="str">
        <f>HYPERLINK("http://www.env.gov.bc.ca/esd/distdata/ecosystems/TEI_Scanned_Maps/R03/R03-1263","http://www.env.gov.bc.ca/esd/distdata/ecosystems/TEI_Scanned_Maps/R03/R03-1263")</f>
        <v>http://www.env.gov.bc.ca/esd/distdata/ecosystems/TEI_Scanned_Maps/R03/R03-1263</v>
      </c>
      <c r="U2430" t="s">
        <v>58</v>
      </c>
      <c r="V2430" t="s">
        <v>58</v>
      </c>
      <c r="W2430" t="s">
        <v>58</v>
      </c>
      <c r="X2430" t="s">
        <v>58</v>
      </c>
      <c r="Y2430" t="s">
        <v>58</v>
      </c>
      <c r="Z2430" t="s">
        <v>58</v>
      </c>
      <c r="AA2430" t="s">
        <v>58</v>
      </c>
      <c r="AC2430" t="s">
        <v>58</v>
      </c>
      <c r="AE2430" t="s">
        <v>58</v>
      </c>
      <c r="AG2430" t="s">
        <v>63</v>
      </c>
      <c r="AH2430" s="11" t="str">
        <f t="shared" si="156"/>
        <v>mailto: soilterrain@victoria1.gov.bc.ca</v>
      </c>
    </row>
    <row r="2431" spans="1:34">
      <c r="A2431" t="s">
        <v>5596</v>
      </c>
      <c r="B2431" t="s">
        <v>56</v>
      </c>
      <c r="C2431" s="10" t="s">
        <v>5375</v>
      </c>
      <c r="D2431" t="s">
        <v>61</v>
      </c>
      <c r="E2431" t="s">
        <v>2952</v>
      </c>
      <c r="F2431" t="s">
        <v>5569</v>
      </c>
      <c r="G2431">
        <v>20000</v>
      </c>
      <c r="H2431">
        <v>1974</v>
      </c>
      <c r="I2431" t="s">
        <v>58</v>
      </c>
      <c r="J2431" t="s">
        <v>58</v>
      </c>
      <c r="K2431" t="s">
        <v>58</v>
      </c>
      <c r="L2431" t="s">
        <v>58</v>
      </c>
      <c r="M2431" t="s">
        <v>58</v>
      </c>
      <c r="P2431" t="s">
        <v>61</v>
      </c>
      <c r="Q2431" t="s">
        <v>58</v>
      </c>
      <c r="R2431" s="11" t="str">
        <f>HYPERLINK("\\imagefiles.bcgov\imagery\scanned_maps\moe_terrain_maps\Scanned_T_maps_all\R03\R03-1271","\\imagefiles.bcgov\imagery\scanned_maps\moe_terrain_maps\Scanned_T_maps_all\R03\R03-1271")</f>
        <v>\\imagefiles.bcgov\imagery\scanned_maps\moe_terrain_maps\Scanned_T_maps_all\R03\R03-1271</v>
      </c>
      <c r="S2431" t="s">
        <v>62</v>
      </c>
      <c r="T2431" s="11" t="str">
        <f>HYPERLINK("http://www.env.gov.bc.ca/esd/distdata/ecosystems/TEI_Scanned_Maps/R03/R03-1271","http://www.env.gov.bc.ca/esd/distdata/ecosystems/TEI_Scanned_Maps/R03/R03-1271")</f>
        <v>http://www.env.gov.bc.ca/esd/distdata/ecosystems/TEI_Scanned_Maps/R03/R03-1271</v>
      </c>
      <c r="U2431" t="s">
        <v>58</v>
      </c>
      <c r="V2431" t="s">
        <v>58</v>
      </c>
      <c r="W2431" t="s">
        <v>58</v>
      </c>
      <c r="X2431" t="s">
        <v>58</v>
      </c>
      <c r="Y2431" t="s">
        <v>58</v>
      </c>
      <c r="Z2431" t="s">
        <v>58</v>
      </c>
      <c r="AA2431" t="s">
        <v>58</v>
      </c>
      <c r="AC2431" t="s">
        <v>58</v>
      </c>
      <c r="AE2431" t="s">
        <v>58</v>
      </c>
      <c r="AG2431" t="s">
        <v>63</v>
      </c>
      <c r="AH2431" s="11" t="str">
        <f t="shared" si="156"/>
        <v>mailto: soilterrain@victoria1.gov.bc.ca</v>
      </c>
    </row>
    <row r="2432" spans="1:34">
      <c r="A2432" t="s">
        <v>5597</v>
      </c>
      <c r="B2432" t="s">
        <v>56</v>
      </c>
      <c r="C2432" s="10" t="s">
        <v>5096</v>
      </c>
      <c r="D2432" t="s">
        <v>58</v>
      </c>
      <c r="E2432" t="s">
        <v>2952</v>
      </c>
      <c r="F2432" t="s">
        <v>5569</v>
      </c>
      <c r="G2432">
        <v>20000</v>
      </c>
      <c r="H2432">
        <v>1979</v>
      </c>
      <c r="I2432" t="s">
        <v>58</v>
      </c>
      <c r="J2432" t="s">
        <v>58</v>
      </c>
      <c r="K2432" t="s">
        <v>58</v>
      </c>
      <c r="L2432" t="s">
        <v>58</v>
      </c>
      <c r="M2432" t="s">
        <v>58</v>
      </c>
      <c r="P2432" t="s">
        <v>61</v>
      </c>
      <c r="Q2432" t="s">
        <v>58</v>
      </c>
      <c r="R2432" s="11" t="str">
        <f>HYPERLINK("\\imagefiles.bcgov\imagery\scanned_maps\moe_terrain_maps\Scanned_T_maps_all\R03\R03-1279","\\imagefiles.bcgov\imagery\scanned_maps\moe_terrain_maps\Scanned_T_maps_all\R03\R03-1279")</f>
        <v>\\imagefiles.bcgov\imagery\scanned_maps\moe_terrain_maps\Scanned_T_maps_all\R03\R03-1279</v>
      </c>
      <c r="S2432" t="s">
        <v>62</v>
      </c>
      <c r="T2432" s="11" t="str">
        <f>HYPERLINK("http://www.env.gov.bc.ca/esd/distdata/ecosystems/TEI_Scanned_Maps/R03/R03-1279","http://www.env.gov.bc.ca/esd/distdata/ecosystems/TEI_Scanned_Maps/R03/R03-1279")</f>
        <v>http://www.env.gov.bc.ca/esd/distdata/ecosystems/TEI_Scanned_Maps/R03/R03-1279</v>
      </c>
      <c r="U2432" t="s">
        <v>58</v>
      </c>
      <c r="V2432" t="s">
        <v>58</v>
      </c>
      <c r="W2432" t="s">
        <v>58</v>
      </c>
      <c r="X2432" t="s">
        <v>58</v>
      </c>
      <c r="Y2432" t="s">
        <v>58</v>
      </c>
      <c r="Z2432" t="s">
        <v>58</v>
      </c>
      <c r="AA2432" t="s">
        <v>58</v>
      </c>
      <c r="AC2432" t="s">
        <v>58</v>
      </c>
      <c r="AE2432" t="s">
        <v>58</v>
      </c>
      <c r="AG2432" t="s">
        <v>63</v>
      </c>
      <c r="AH2432" s="11" t="str">
        <f t="shared" si="156"/>
        <v>mailto: soilterrain@victoria1.gov.bc.ca</v>
      </c>
    </row>
    <row r="2433" spans="1:34">
      <c r="A2433" t="s">
        <v>5598</v>
      </c>
      <c r="B2433" t="s">
        <v>56</v>
      </c>
      <c r="C2433" s="10" t="s">
        <v>5378</v>
      </c>
      <c r="D2433" t="s">
        <v>61</v>
      </c>
      <c r="E2433" t="s">
        <v>2952</v>
      </c>
      <c r="F2433" t="s">
        <v>5569</v>
      </c>
      <c r="G2433">
        <v>20000</v>
      </c>
      <c r="H2433">
        <v>1974</v>
      </c>
      <c r="I2433" t="s">
        <v>58</v>
      </c>
      <c r="J2433" t="s">
        <v>58</v>
      </c>
      <c r="K2433" t="s">
        <v>58</v>
      </c>
      <c r="L2433" t="s">
        <v>58</v>
      </c>
      <c r="M2433" t="s">
        <v>58</v>
      </c>
      <c r="P2433" t="s">
        <v>61</v>
      </c>
      <c r="Q2433" t="s">
        <v>58</v>
      </c>
      <c r="R2433" s="11" t="str">
        <f>HYPERLINK("\\imagefiles.bcgov\imagery\scanned_maps\moe_terrain_maps\Scanned_T_maps_all\R03\R03-1287","\\imagefiles.bcgov\imagery\scanned_maps\moe_terrain_maps\Scanned_T_maps_all\R03\R03-1287")</f>
        <v>\\imagefiles.bcgov\imagery\scanned_maps\moe_terrain_maps\Scanned_T_maps_all\R03\R03-1287</v>
      </c>
      <c r="S2433" t="s">
        <v>62</v>
      </c>
      <c r="T2433" s="11" t="str">
        <f>HYPERLINK("http://www.env.gov.bc.ca/esd/distdata/ecosystems/TEI_Scanned_Maps/R03/R03-1287","http://www.env.gov.bc.ca/esd/distdata/ecosystems/TEI_Scanned_Maps/R03/R03-1287")</f>
        <v>http://www.env.gov.bc.ca/esd/distdata/ecosystems/TEI_Scanned_Maps/R03/R03-1287</v>
      </c>
      <c r="U2433" t="s">
        <v>58</v>
      </c>
      <c r="V2433" t="s">
        <v>58</v>
      </c>
      <c r="W2433" t="s">
        <v>58</v>
      </c>
      <c r="X2433" t="s">
        <v>58</v>
      </c>
      <c r="Y2433" t="s">
        <v>58</v>
      </c>
      <c r="Z2433" t="s">
        <v>58</v>
      </c>
      <c r="AA2433" t="s">
        <v>58</v>
      </c>
      <c r="AC2433" t="s">
        <v>58</v>
      </c>
      <c r="AE2433" t="s">
        <v>58</v>
      </c>
      <c r="AG2433" t="s">
        <v>63</v>
      </c>
      <c r="AH2433" s="11" t="str">
        <f t="shared" si="156"/>
        <v>mailto: soilterrain@victoria1.gov.bc.ca</v>
      </c>
    </row>
    <row r="2434" spans="1:34">
      <c r="A2434" t="s">
        <v>5599</v>
      </c>
      <c r="B2434" t="s">
        <v>56</v>
      </c>
      <c r="C2434" s="10" t="s">
        <v>5143</v>
      </c>
      <c r="D2434" t="s">
        <v>61</v>
      </c>
      <c r="E2434" t="s">
        <v>2952</v>
      </c>
      <c r="F2434" t="s">
        <v>5569</v>
      </c>
      <c r="G2434">
        <v>20000</v>
      </c>
      <c r="H2434">
        <v>1979</v>
      </c>
      <c r="I2434" t="s">
        <v>58</v>
      </c>
      <c r="J2434" t="s">
        <v>58</v>
      </c>
      <c r="K2434" t="s">
        <v>58</v>
      </c>
      <c r="L2434" t="s">
        <v>58</v>
      </c>
      <c r="M2434" t="s">
        <v>58</v>
      </c>
      <c r="P2434" t="s">
        <v>61</v>
      </c>
      <c r="Q2434" t="s">
        <v>58</v>
      </c>
      <c r="R2434" s="11" t="str">
        <f>HYPERLINK("\\imagefiles.bcgov\imagery\scanned_maps\moe_terrain_maps\Scanned_T_maps_all\R03\R03-1295","\\imagefiles.bcgov\imagery\scanned_maps\moe_terrain_maps\Scanned_T_maps_all\R03\R03-1295")</f>
        <v>\\imagefiles.bcgov\imagery\scanned_maps\moe_terrain_maps\Scanned_T_maps_all\R03\R03-1295</v>
      </c>
      <c r="S2434" t="s">
        <v>62</v>
      </c>
      <c r="T2434" s="11" t="str">
        <f>HYPERLINK("http://www.env.gov.bc.ca/esd/distdata/ecosystems/TEI_Scanned_Maps/R03/R03-1295","http://www.env.gov.bc.ca/esd/distdata/ecosystems/TEI_Scanned_Maps/R03/R03-1295")</f>
        <v>http://www.env.gov.bc.ca/esd/distdata/ecosystems/TEI_Scanned_Maps/R03/R03-1295</v>
      </c>
      <c r="U2434" t="s">
        <v>58</v>
      </c>
      <c r="V2434" t="s">
        <v>58</v>
      </c>
      <c r="W2434" t="s">
        <v>58</v>
      </c>
      <c r="X2434" t="s">
        <v>58</v>
      </c>
      <c r="Y2434" t="s">
        <v>58</v>
      </c>
      <c r="Z2434" t="s">
        <v>58</v>
      </c>
      <c r="AA2434" t="s">
        <v>58</v>
      </c>
      <c r="AC2434" t="s">
        <v>58</v>
      </c>
      <c r="AE2434" t="s">
        <v>58</v>
      </c>
      <c r="AG2434" t="s">
        <v>63</v>
      </c>
      <c r="AH2434" s="11" t="str">
        <f t="shared" ref="AH2434:AH2497" si="157">HYPERLINK("mailto: soilterrain@victoria1.gov.bc.ca","mailto: soilterrain@victoria1.gov.bc.ca")</f>
        <v>mailto: soilterrain@victoria1.gov.bc.ca</v>
      </c>
    </row>
    <row r="2435" spans="1:34">
      <c r="A2435" t="s">
        <v>5600</v>
      </c>
      <c r="B2435" t="s">
        <v>56</v>
      </c>
      <c r="C2435" s="10" t="s">
        <v>5381</v>
      </c>
      <c r="D2435" t="s">
        <v>61</v>
      </c>
      <c r="E2435" t="s">
        <v>2952</v>
      </c>
      <c r="F2435" t="s">
        <v>5569</v>
      </c>
      <c r="G2435">
        <v>20000</v>
      </c>
      <c r="H2435">
        <v>1974</v>
      </c>
      <c r="I2435" t="s">
        <v>58</v>
      </c>
      <c r="J2435" t="s">
        <v>58</v>
      </c>
      <c r="K2435" t="s">
        <v>58</v>
      </c>
      <c r="L2435" t="s">
        <v>58</v>
      </c>
      <c r="M2435" t="s">
        <v>58</v>
      </c>
      <c r="P2435" t="s">
        <v>61</v>
      </c>
      <c r="Q2435" t="s">
        <v>58</v>
      </c>
      <c r="R2435" s="11" t="str">
        <f>HYPERLINK("\\imagefiles.bcgov\imagery\scanned_maps\moe_terrain_maps\Scanned_T_maps_all\R03\R03-1444","\\imagefiles.bcgov\imagery\scanned_maps\moe_terrain_maps\Scanned_T_maps_all\R03\R03-1444")</f>
        <v>\\imagefiles.bcgov\imagery\scanned_maps\moe_terrain_maps\Scanned_T_maps_all\R03\R03-1444</v>
      </c>
      <c r="S2435" t="s">
        <v>62</v>
      </c>
      <c r="T2435" s="11" t="str">
        <f>HYPERLINK("http://www.env.gov.bc.ca/esd/distdata/ecosystems/TEI_Scanned_Maps/R03/R03-1444","http://www.env.gov.bc.ca/esd/distdata/ecosystems/TEI_Scanned_Maps/R03/R03-1444")</f>
        <v>http://www.env.gov.bc.ca/esd/distdata/ecosystems/TEI_Scanned_Maps/R03/R03-1444</v>
      </c>
      <c r="U2435" t="s">
        <v>58</v>
      </c>
      <c r="V2435" t="s">
        <v>58</v>
      </c>
      <c r="W2435" t="s">
        <v>58</v>
      </c>
      <c r="X2435" t="s">
        <v>58</v>
      </c>
      <c r="Y2435" t="s">
        <v>58</v>
      </c>
      <c r="Z2435" t="s">
        <v>58</v>
      </c>
      <c r="AA2435" t="s">
        <v>58</v>
      </c>
      <c r="AC2435" t="s">
        <v>58</v>
      </c>
      <c r="AE2435" t="s">
        <v>58</v>
      </c>
      <c r="AG2435" t="s">
        <v>63</v>
      </c>
      <c r="AH2435" s="11" t="str">
        <f t="shared" si="157"/>
        <v>mailto: soilterrain@victoria1.gov.bc.ca</v>
      </c>
    </row>
    <row r="2436" spans="1:34">
      <c r="A2436" t="s">
        <v>5601</v>
      </c>
      <c r="B2436" t="s">
        <v>56</v>
      </c>
      <c r="C2436" s="10" t="s">
        <v>5030</v>
      </c>
      <c r="D2436" t="s">
        <v>61</v>
      </c>
      <c r="E2436" t="s">
        <v>2952</v>
      </c>
      <c r="F2436" t="s">
        <v>5569</v>
      </c>
      <c r="G2436">
        <v>20000</v>
      </c>
      <c r="H2436">
        <v>1979</v>
      </c>
      <c r="I2436" t="s">
        <v>58</v>
      </c>
      <c r="J2436" t="s">
        <v>58</v>
      </c>
      <c r="K2436" t="s">
        <v>58</v>
      </c>
      <c r="L2436" t="s">
        <v>58</v>
      </c>
      <c r="M2436" t="s">
        <v>58</v>
      </c>
      <c r="P2436" t="s">
        <v>61</v>
      </c>
      <c r="Q2436" t="s">
        <v>58</v>
      </c>
      <c r="R2436" s="11" t="str">
        <f>HYPERLINK("\\imagefiles.bcgov\imagery\scanned_maps\moe_terrain_maps\Scanned_T_maps_all\R03\R03-1452","\\imagefiles.bcgov\imagery\scanned_maps\moe_terrain_maps\Scanned_T_maps_all\R03\R03-1452")</f>
        <v>\\imagefiles.bcgov\imagery\scanned_maps\moe_terrain_maps\Scanned_T_maps_all\R03\R03-1452</v>
      </c>
      <c r="S2436" t="s">
        <v>62</v>
      </c>
      <c r="T2436" s="11" t="str">
        <f>HYPERLINK("http://www.env.gov.bc.ca/esd/distdata/ecosystems/TEI_Scanned_Maps/R03/R03-1452","http://www.env.gov.bc.ca/esd/distdata/ecosystems/TEI_Scanned_Maps/R03/R03-1452")</f>
        <v>http://www.env.gov.bc.ca/esd/distdata/ecosystems/TEI_Scanned_Maps/R03/R03-1452</v>
      </c>
      <c r="U2436" t="s">
        <v>58</v>
      </c>
      <c r="V2436" t="s">
        <v>58</v>
      </c>
      <c r="W2436" t="s">
        <v>58</v>
      </c>
      <c r="X2436" t="s">
        <v>58</v>
      </c>
      <c r="Y2436" t="s">
        <v>58</v>
      </c>
      <c r="Z2436" t="s">
        <v>58</v>
      </c>
      <c r="AA2436" t="s">
        <v>58</v>
      </c>
      <c r="AC2436" t="s">
        <v>58</v>
      </c>
      <c r="AE2436" t="s">
        <v>58</v>
      </c>
      <c r="AG2436" t="s">
        <v>63</v>
      </c>
      <c r="AH2436" s="11" t="str">
        <f t="shared" si="157"/>
        <v>mailto: soilterrain@victoria1.gov.bc.ca</v>
      </c>
    </row>
    <row r="2437" spans="1:34">
      <c r="A2437" t="s">
        <v>5602</v>
      </c>
      <c r="B2437" t="s">
        <v>56</v>
      </c>
      <c r="C2437" s="10" t="s">
        <v>5022</v>
      </c>
      <c r="D2437" t="s">
        <v>61</v>
      </c>
      <c r="E2437" t="s">
        <v>2952</v>
      </c>
      <c r="F2437" t="s">
        <v>5569</v>
      </c>
      <c r="G2437">
        <v>20000</v>
      </c>
      <c r="H2437">
        <v>1974</v>
      </c>
      <c r="I2437" t="s">
        <v>58</v>
      </c>
      <c r="J2437" t="s">
        <v>58</v>
      </c>
      <c r="K2437" t="s">
        <v>58</v>
      </c>
      <c r="L2437" t="s">
        <v>58</v>
      </c>
      <c r="M2437" t="s">
        <v>58</v>
      </c>
      <c r="P2437" t="s">
        <v>61</v>
      </c>
      <c r="Q2437" t="s">
        <v>58</v>
      </c>
      <c r="R2437" s="11" t="str">
        <f>HYPERLINK("\\imagefiles.bcgov\imagery\scanned_maps\moe_terrain_maps\Scanned_T_maps_all\R03\R03-1460","\\imagefiles.bcgov\imagery\scanned_maps\moe_terrain_maps\Scanned_T_maps_all\R03\R03-1460")</f>
        <v>\\imagefiles.bcgov\imagery\scanned_maps\moe_terrain_maps\Scanned_T_maps_all\R03\R03-1460</v>
      </c>
      <c r="S2437" t="s">
        <v>62</v>
      </c>
      <c r="T2437" s="11" t="str">
        <f>HYPERLINK("http://www.env.gov.bc.ca/esd/distdata/ecosystems/TEI_Scanned_Maps/R03/R03-1460","http://www.env.gov.bc.ca/esd/distdata/ecosystems/TEI_Scanned_Maps/R03/R03-1460")</f>
        <v>http://www.env.gov.bc.ca/esd/distdata/ecosystems/TEI_Scanned_Maps/R03/R03-1460</v>
      </c>
      <c r="U2437" t="s">
        <v>58</v>
      </c>
      <c r="V2437" t="s">
        <v>58</v>
      </c>
      <c r="W2437" t="s">
        <v>58</v>
      </c>
      <c r="X2437" t="s">
        <v>58</v>
      </c>
      <c r="Y2437" t="s">
        <v>58</v>
      </c>
      <c r="Z2437" t="s">
        <v>58</v>
      </c>
      <c r="AA2437" t="s">
        <v>58</v>
      </c>
      <c r="AC2437" t="s">
        <v>58</v>
      </c>
      <c r="AE2437" t="s">
        <v>58</v>
      </c>
      <c r="AG2437" t="s">
        <v>63</v>
      </c>
      <c r="AH2437" s="11" t="str">
        <f t="shared" si="157"/>
        <v>mailto: soilterrain@victoria1.gov.bc.ca</v>
      </c>
    </row>
    <row r="2438" spans="1:34">
      <c r="A2438" t="s">
        <v>5603</v>
      </c>
      <c r="B2438" t="s">
        <v>56</v>
      </c>
      <c r="C2438" s="10" t="s">
        <v>5233</v>
      </c>
      <c r="D2438" t="s">
        <v>61</v>
      </c>
      <c r="E2438" t="s">
        <v>2952</v>
      </c>
      <c r="F2438" t="s">
        <v>5569</v>
      </c>
      <c r="G2438">
        <v>20000</v>
      </c>
      <c r="H2438">
        <v>1979</v>
      </c>
      <c r="I2438" t="s">
        <v>58</v>
      </c>
      <c r="J2438" t="s">
        <v>58</v>
      </c>
      <c r="K2438" t="s">
        <v>58</v>
      </c>
      <c r="L2438" t="s">
        <v>58</v>
      </c>
      <c r="M2438" t="s">
        <v>58</v>
      </c>
      <c r="P2438" t="s">
        <v>61</v>
      </c>
      <c r="Q2438" t="s">
        <v>58</v>
      </c>
      <c r="R2438" s="11" t="str">
        <f>HYPERLINK("\\imagefiles.bcgov\imagery\scanned_maps\moe_terrain_maps\Scanned_T_maps_all\R03\R03-1470","\\imagefiles.bcgov\imagery\scanned_maps\moe_terrain_maps\Scanned_T_maps_all\R03\R03-1470")</f>
        <v>\\imagefiles.bcgov\imagery\scanned_maps\moe_terrain_maps\Scanned_T_maps_all\R03\R03-1470</v>
      </c>
      <c r="S2438" t="s">
        <v>62</v>
      </c>
      <c r="T2438" s="11" t="str">
        <f>HYPERLINK("http://www.env.gov.bc.ca/esd/distdata/ecosystems/TEI_Scanned_Maps/R03/R03-1470","http://www.env.gov.bc.ca/esd/distdata/ecosystems/TEI_Scanned_Maps/R03/R03-1470")</f>
        <v>http://www.env.gov.bc.ca/esd/distdata/ecosystems/TEI_Scanned_Maps/R03/R03-1470</v>
      </c>
      <c r="U2438" t="s">
        <v>58</v>
      </c>
      <c r="V2438" t="s">
        <v>58</v>
      </c>
      <c r="W2438" t="s">
        <v>58</v>
      </c>
      <c r="X2438" t="s">
        <v>58</v>
      </c>
      <c r="Y2438" t="s">
        <v>58</v>
      </c>
      <c r="Z2438" t="s">
        <v>58</v>
      </c>
      <c r="AA2438" t="s">
        <v>58</v>
      </c>
      <c r="AC2438" t="s">
        <v>58</v>
      </c>
      <c r="AE2438" t="s">
        <v>58</v>
      </c>
      <c r="AG2438" t="s">
        <v>63</v>
      </c>
      <c r="AH2438" s="11" t="str">
        <f t="shared" si="157"/>
        <v>mailto: soilterrain@victoria1.gov.bc.ca</v>
      </c>
    </row>
    <row r="2439" spans="1:34">
      <c r="A2439" t="s">
        <v>5604</v>
      </c>
      <c r="B2439" t="s">
        <v>56</v>
      </c>
      <c r="C2439" s="10" t="s">
        <v>5460</v>
      </c>
      <c r="D2439" t="s">
        <v>61</v>
      </c>
      <c r="E2439" t="s">
        <v>2952</v>
      </c>
      <c r="F2439" t="s">
        <v>5569</v>
      </c>
      <c r="G2439">
        <v>20000</v>
      </c>
      <c r="H2439">
        <v>1974</v>
      </c>
      <c r="I2439" t="s">
        <v>58</v>
      </c>
      <c r="J2439" t="s">
        <v>58</v>
      </c>
      <c r="K2439" t="s">
        <v>58</v>
      </c>
      <c r="L2439" t="s">
        <v>58</v>
      </c>
      <c r="M2439" t="s">
        <v>58</v>
      </c>
      <c r="P2439" t="s">
        <v>61</v>
      </c>
      <c r="Q2439" t="s">
        <v>58</v>
      </c>
      <c r="R2439" s="11" t="str">
        <f>HYPERLINK("\\imagefiles.bcgov\imagery\scanned_maps\moe_terrain_maps\Scanned_T_maps_all\R03\R03-953","\\imagefiles.bcgov\imagery\scanned_maps\moe_terrain_maps\Scanned_T_maps_all\R03\R03-953")</f>
        <v>\\imagefiles.bcgov\imagery\scanned_maps\moe_terrain_maps\Scanned_T_maps_all\R03\R03-953</v>
      </c>
      <c r="S2439" t="s">
        <v>62</v>
      </c>
      <c r="T2439" s="11" t="str">
        <f>HYPERLINK("http://www.env.gov.bc.ca/esd/distdata/ecosystems/TEI_Scanned_Maps/R03/R03-953","http://www.env.gov.bc.ca/esd/distdata/ecosystems/TEI_Scanned_Maps/R03/R03-953")</f>
        <v>http://www.env.gov.bc.ca/esd/distdata/ecosystems/TEI_Scanned_Maps/R03/R03-953</v>
      </c>
      <c r="U2439" t="s">
        <v>58</v>
      </c>
      <c r="V2439" t="s">
        <v>58</v>
      </c>
      <c r="W2439" t="s">
        <v>58</v>
      </c>
      <c r="X2439" t="s">
        <v>58</v>
      </c>
      <c r="Y2439" t="s">
        <v>58</v>
      </c>
      <c r="Z2439" t="s">
        <v>58</v>
      </c>
      <c r="AA2439" t="s">
        <v>58</v>
      </c>
      <c r="AC2439" t="s">
        <v>58</v>
      </c>
      <c r="AE2439" t="s">
        <v>58</v>
      </c>
      <c r="AG2439" t="s">
        <v>63</v>
      </c>
      <c r="AH2439" s="11" t="str">
        <f t="shared" si="157"/>
        <v>mailto: soilterrain@victoria1.gov.bc.ca</v>
      </c>
    </row>
    <row r="2440" spans="1:34">
      <c r="A2440" t="s">
        <v>5605</v>
      </c>
      <c r="B2440" t="s">
        <v>56</v>
      </c>
      <c r="C2440" s="10" t="s">
        <v>5462</v>
      </c>
      <c r="D2440" t="s">
        <v>61</v>
      </c>
      <c r="E2440" t="s">
        <v>2952</v>
      </c>
      <c r="F2440" t="s">
        <v>5606</v>
      </c>
      <c r="G2440">
        <v>20000</v>
      </c>
      <c r="H2440">
        <v>1979</v>
      </c>
      <c r="I2440" t="s">
        <v>58</v>
      </c>
      <c r="J2440" t="s">
        <v>58</v>
      </c>
      <c r="K2440" t="s">
        <v>58</v>
      </c>
      <c r="L2440" t="s">
        <v>58</v>
      </c>
      <c r="M2440" t="s">
        <v>58</v>
      </c>
      <c r="P2440" t="s">
        <v>61</v>
      </c>
      <c r="Q2440" t="s">
        <v>58</v>
      </c>
      <c r="R2440" s="11" t="str">
        <f>HYPERLINK("\\imagefiles.bcgov\imagery\scanned_maps\moe_terrain_maps\Scanned_T_maps_all\R03\R03-961","\\imagefiles.bcgov\imagery\scanned_maps\moe_terrain_maps\Scanned_T_maps_all\R03\R03-961")</f>
        <v>\\imagefiles.bcgov\imagery\scanned_maps\moe_terrain_maps\Scanned_T_maps_all\R03\R03-961</v>
      </c>
      <c r="S2440" t="s">
        <v>62</v>
      </c>
      <c r="T2440" s="11" t="str">
        <f>HYPERLINK("http://www.env.gov.bc.ca/esd/distdata/ecosystems/TEI_Scanned_Maps/R03/R03-961","http://www.env.gov.bc.ca/esd/distdata/ecosystems/TEI_Scanned_Maps/R03/R03-961")</f>
        <v>http://www.env.gov.bc.ca/esd/distdata/ecosystems/TEI_Scanned_Maps/R03/R03-961</v>
      </c>
      <c r="U2440" t="s">
        <v>58</v>
      </c>
      <c r="V2440" t="s">
        <v>58</v>
      </c>
      <c r="W2440" t="s">
        <v>58</v>
      </c>
      <c r="X2440" t="s">
        <v>58</v>
      </c>
      <c r="Y2440" t="s">
        <v>58</v>
      </c>
      <c r="Z2440" t="s">
        <v>58</v>
      </c>
      <c r="AA2440" t="s">
        <v>58</v>
      </c>
      <c r="AC2440" t="s">
        <v>58</v>
      </c>
      <c r="AE2440" t="s">
        <v>58</v>
      </c>
      <c r="AG2440" t="s">
        <v>63</v>
      </c>
      <c r="AH2440" s="11" t="str">
        <f t="shared" si="157"/>
        <v>mailto: soilterrain@victoria1.gov.bc.ca</v>
      </c>
    </row>
    <row r="2441" spans="1:34">
      <c r="A2441" t="s">
        <v>5607</v>
      </c>
      <c r="B2441" t="s">
        <v>56</v>
      </c>
      <c r="C2441" s="10" t="s">
        <v>5464</v>
      </c>
      <c r="D2441" t="s">
        <v>61</v>
      </c>
      <c r="E2441" t="s">
        <v>2952</v>
      </c>
      <c r="F2441" t="s">
        <v>5569</v>
      </c>
      <c r="G2441">
        <v>20000</v>
      </c>
      <c r="H2441">
        <v>1974</v>
      </c>
      <c r="I2441" t="s">
        <v>58</v>
      </c>
      <c r="J2441" t="s">
        <v>58</v>
      </c>
      <c r="K2441" t="s">
        <v>58</v>
      </c>
      <c r="L2441" t="s">
        <v>58</v>
      </c>
      <c r="M2441" t="s">
        <v>58</v>
      </c>
      <c r="P2441" t="s">
        <v>61</v>
      </c>
      <c r="Q2441" t="s">
        <v>58</v>
      </c>
      <c r="R2441" s="11" t="str">
        <f>HYPERLINK("\\imagefiles.bcgov\imagery\scanned_maps\moe_terrain_maps\Scanned_T_maps_all\R03\R03-970","\\imagefiles.bcgov\imagery\scanned_maps\moe_terrain_maps\Scanned_T_maps_all\R03\R03-970")</f>
        <v>\\imagefiles.bcgov\imagery\scanned_maps\moe_terrain_maps\Scanned_T_maps_all\R03\R03-970</v>
      </c>
      <c r="S2441" t="s">
        <v>62</v>
      </c>
      <c r="T2441" s="11" t="str">
        <f>HYPERLINK("http://www.env.gov.bc.ca/esd/distdata/ecosystems/TEI_Scanned_Maps/R03/R03-970","http://www.env.gov.bc.ca/esd/distdata/ecosystems/TEI_Scanned_Maps/R03/R03-970")</f>
        <v>http://www.env.gov.bc.ca/esd/distdata/ecosystems/TEI_Scanned_Maps/R03/R03-970</v>
      </c>
      <c r="U2441" t="s">
        <v>58</v>
      </c>
      <c r="V2441" t="s">
        <v>58</v>
      </c>
      <c r="W2441" t="s">
        <v>58</v>
      </c>
      <c r="X2441" t="s">
        <v>58</v>
      </c>
      <c r="Y2441" t="s">
        <v>58</v>
      </c>
      <c r="Z2441" t="s">
        <v>58</v>
      </c>
      <c r="AA2441" t="s">
        <v>58</v>
      </c>
      <c r="AC2441" t="s">
        <v>58</v>
      </c>
      <c r="AE2441" t="s">
        <v>58</v>
      </c>
      <c r="AG2441" t="s">
        <v>63</v>
      </c>
      <c r="AH2441" s="11" t="str">
        <f t="shared" si="157"/>
        <v>mailto: soilterrain@victoria1.gov.bc.ca</v>
      </c>
    </row>
    <row r="2442" spans="1:34">
      <c r="A2442" t="s">
        <v>5608</v>
      </c>
      <c r="B2442" t="s">
        <v>56</v>
      </c>
      <c r="C2442" s="10" t="s">
        <v>5466</v>
      </c>
      <c r="D2442" t="s">
        <v>61</v>
      </c>
      <c r="E2442" t="s">
        <v>2952</v>
      </c>
      <c r="F2442" t="s">
        <v>5609</v>
      </c>
      <c r="G2442">
        <v>20000</v>
      </c>
      <c r="H2442">
        <v>1979</v>
      </c>
      <c r="I2442" t="s">
        <v>58</v>
      </c>
      <c r="J2442" t="s">
        <v>58</v>
      </c>
      <c r="K2442" t="s">
        <v>58</v>
      </c>
      <c r="L2442" t="s">
        <v>58</v>
      </c>
      <c r="M2442" t="s">
        <v>58</v>
      </c>
      <c r="P2442" t="s">
        <v>61</v>
      </c>
      <c r="Q2442" t="s">
        <v>58</v>
      </c>
      <c r="R2442" s="11" t="str">
        <f>HYPERLINK("\\imagefiles.bcgov\imagery\scanned_maps\moe_terrain_maps\Scanned_T_maps_all\R03\R03-979","\\imagefiles.bcgov\imagery\scanned_maps\moe_terrain_maps\Scanned_T_maps_all\R03\R03-979")</f>
        <v>\\imagefiles.bcgov\imagery\scanned_maps\moe_terrain_maps\Scanned_T_maps_all\R03\R03-979</v>
      </c>
      <c r="S2442" t="s">
        <v>62</v>
      </c>
      <c r="T2442" s="11" t="str">
        <f>HYPERLINK("http://www.env.gov.bc.ca/esd/distdata/ecosystems/TEI_Scanned_Maps/R03/R03-979","http://www.env.gov.bc.ca/esd/distdata/ecosystems/TEI_Scanned_Maps/R03/R03-979")</f>
        <v>http://www.env.gov.bc.ca/esd/distdata/ecosystems/TEI_Scanned_Maps/R03/R03-979</v>
      </c>
      <c r="U2442" t="s">
        <v>58</v>
      </c>
      <c r="V2442" t="s">
        <v>58</v>
      </c>
      <c r="W2442" t="s">
        <v>58</v>
      </c>
      <c r="X2442" t="s">
        <v>58</v>
      </c>
      <c r="Y2442" t="s">
        <v>58</v>
      </c>
      <c r="Z2442" t="s">
        <v>58</v>
      </c>
      <c r="AA2442" t="s">
        <v>58</v>
      </c>
      <c r="AC2442" t="s">
        <v>58</v>
      </c>
      <c r="AE2442" t="s">
        <v>58</v>
      </c>
      <c r="AG2442" t="s">
        <v>63</v>
      </c>
      <c r="AH2442" s="11" t="str">
        <f t="shared" si="157"/>
        <v>mailto: soilterrain@victoria1.gov.bc.ca</v>
      </c>
    </row>
    <row r="2443" spans="1:34">
      <c r="A2443" t="s">
        <v>5610</v>
      </c>
      <c r="B2443" t="s">
        <v>56</v>
      </c>
      <c r="C2443" s="10" t="s">
        <v>5469</v>
      </c>
      <c r="D2443" t="s">
        <v>61</v>
      </c>
      <c r="E2443" t="s">
        <v>2952</v>
      </c>
      <c r="F2443" t="s">
        <v>5569</v>
      </c>
      <c r="G2443">
        <v>20000</v>
      </c>
      <c r="H2443">
        <v>1974</v>
      </c>
      <c r="I2443" t="s">
        <v>58</v>
      </c>
      <c r="J2443" t="s">
        <v>58</v>
      </c>
      <c r="K2443" t="s">
        <v>58</v>
      </c>
      <c r="L2443" t="s">
        <v>58</v>
      </c>
      <c r="M2443" t="s">
        <v>58</v>
      </c>
      <c r="P2443" t="s">
        <v>61</v>
      </c>
      <c r="Q2443" t="s">
        <v>58</v>
      </c>
      <c r="R2443" s="11" t="str">
        <f>HYPERLINK("\\imagefiles.bcgov\imagery\scanned_maps\moe_terrain_maps\Scanned_T_maps_all\R03\R03-988","\\imagefiles.bcgov\imagery\scanned_maps\moe_terrain_maps\Scanned_T_maps_all\R03\R03-988")</f>
        <v>\\imagefiles.bcgov\imagery\scanned_maps\moe_terrain_maps\Scanned_T_maps_all\R03\R03-988</v>
      </c>
      <c r="S2443" t="s">
        <v>62</v>
      </c>
      <c r="T2443" s="11" t="str">
        <f>HYPERLINK("http://www.env.gov.bc.ca/esd/distdata/ecosystems/TEI_Scanned_Maps/R03/R03-988","http://www.env.gov.bc.ca/esd/distdata/ecosystems/TEI_Scanned_Maps/R03/R03-988")</f>
        <v>http://www.env.gov.bc.ca/esd/distdata/ecosystems/TEI_Scanned_Maps/R03/R03-988</v>
      </c>
      <c r="U2443" t="s">
        <v>58</v>
      </c>
      <c r="V2443" t="s">
        <v>58</v>
      </c>
      <c r="W2443" t="s">
        <v>58</v>
      </c>
      <c r="X2443" t="s">
        <v>58</v>
      </c>
      <c r="Y2443" t="s">
        <v>58</v>
      </c>
      <c r="Z2443" t="s">
        <v>58</v>
      </c>
      <c r="AA2443" t="s">
        <v>58</v>
      </c>
      <c r="AC2443" t="s">
        <v>58</v>
      </c>
      <c r="AE2443" t="s">
        <v>58</v>
      </c>
      <c r="AG2443" t="s">
        <v>63</v>
      </c>
      <c r="AH2443" s="11" t="str">
        <f t="shared" si="157"/>
        <v>mailto: soilterrain@victoria1.gov.bc.ca</v>
      </c>
    </row>
    <row r="2444" spans="1:34">
      <c r="A2444" t="s">
        <v>5611</v>
      </c>
      <c r="B2444" t="s">
        <v>56</v>
      </c>
      <c r="C2444" s="10" t="s">
        <v>5471</v>
      </c>
      <c r="D2444" t="s">
        <v>61</v>
      </c>
      <c r="E2444" t="s">
        <v>2952</v>
      </c>
      <c r="F2444" t="s">
        <v>5569</v>
      </c>
      <c r="G2444">
        <v>20000</v>
      </c>
      <c r="H2444">
        <v>1979</v>
      </c>
      <c r="I2444" t="s">
        <v>58</v>
      </c>
      <c r="J2444" t="s">
        <v>58</v>
      </c>
      <c r="K2444" t="s">
        <v>58</v>
      </c>
      <c r="L2444" t="s">
        <v>58</v>
      </c>
      <c r="M2444" t="s">
        <v>58</v>
      </c>
      <c r="P2444" t="s">
        <v>61</v>
      </c>
      <c r="Q2444" t="s">
        <v>58</v>
      </c>
      <c r="R2444" s="11" t="str">
        <f>HYPERLINK("\\imagefiles.bcgov\imagery\scanned_maps\moe_terrain_maps\Scanned_T_maps_all\R03\R03-997","\\imagefiles.bcgov\imagery\scanned_maps\moe_terrain_maps\Scanned_T_maps_all\R03\R03-997")</f>
        <v>\\imagefiles.bcgov\imagery\scanned_maps\moe_terrain_maps\Scanned_T_maps_all\R03\R03-997</v>
      </c>
      <c r="S2444" t="s">
        <v>62</v>
      </c>
      <c r="T2444" s="11" t="str">
        <f>HYPERLINK("http://www.env.gov.bc.ca/esd/distdata/ecosystems/TEI_Scanned_Maps/R03/R03-997","http://www.env.gov.bc.ca/esd/distdata/ecosystems/TEI_Scanned_Maps/R03/R03-997")</f>
        <v>http://www.env.gov.bc.ca/esd/distdata/ecosystems/TEI_Scanned_Maps/R03/R03-997</v>
      </c>
      <c r="U2444" t="s">
        <v>58</v>
      </c>
      <c r="V2444" t="s">
        <v>58</v>
      </c>
      <c r="W2444" t="s">
        <v>58</v>
      </c>
      <c r="X2444" t="s">
        <v>58</v>
      </c>
      <c r="Y2444" t="s">
        <v>58</v>
      </c>
      <c r="Z2444" t="s">
        <v>58</v>
      </c>
      <c r="AA2444" t="s">
        <v>58</v>
      </c>
      <c r="AC2444" t="s">
        <v>58</v>
      </c>
      <c r="AE2444" t="s">
        <v>58</v>
      </c>
      <c r="AG2444" t="s">
        <v>63</v>
      </c>
      <c r="AH2444" s="11" t="str">
        <f t="shared" si="157"/>
        <v>mailto: soilterrain@victoria1.gov.bc.ca</v>
      </c>
    </row>
    <row r="2445" spans="1:34">
      <c r="A2445" t="s">
        <v>5612</v>
      </c>
      <c r="B2445" t="s">
        <v>56</v>
      </c>
      <c r="C2445" s="10" t="s">
        <v>5471</v>
      </c>
      <c r="D2445" t="s">
        <v>58</v>
      </c>
      <c r="E2445" t="s">
        <v>2952</v>
      </c>
      <c r="F2445" t="s">
        <v>5613</v>
      </c>
      <c r="G2445">
        <v>20000</v>
      </c>
      <c r="H2445">
        <v>1984</v>
      </c>
      <c r="I2445" t="s">
        <v>58</v>
      </c>
      <c r="J2445" t="s">
        <v>58</v>
      </c>
      <c r="K2445" t="s">
        <v>58</v>
      </c>
      <c r="L2445" t="s">
        <v>58</v>
      </c>
      <c r="M2445" t="s">
        <v>58</v>
      </c>
      <c r="P2445" t="s">
        <v>61</v>
      </c>
      <c r="Q2445" t="s">
        <v>58</v>
      </c>
      <c r="R2445" s="11" t="str">
        <f>HYPERLINK("\\imagefiles.bcgov\imagery\scanned_maps\moe_terrain_maps\Scanned_T_maps_all\R04\R04-1004","\\imagefiles.bcgov\imagery\scanned_maps\moe_terrain_maps\Scanned_T_maps_all\R04\R04-1004")</f>
        <v>\\imagefiles.bcgov\imagery\scanned_maps\moe_terrain_maps\Scanned_T_maps_all\R04\R04-1004</v>
      </c>
      <c r="S2445" t="s">
        <v>62</v>
      </c>
      <c r="T2445" s="11" t="str">
        <f>HYPERLINK("http://www.env.gov.bc.ca/esd/distdata/ecosystems/TEI_Scanned_Maps/R04/R04-1004","http://www.env.gov.bc.ca/esd/distdata/ecosystems/TEI_Scanned_Maps/R04/R04-1004")</f>
        <v>http://www.env.gov.bc.ca/esd/distdata/ecosystems/TEI_Scanned_Maps/R04/R04-1004</v>
      </c>
      <c r="U2445" t="s">
        <v>58</v>
      </c>
      <c r="V2445" t="s">
        <v>58</v>
      </c>
      <c r="W2445" t="s">
        <v>58</v>
      </c>
      <c r="X2445" t="s">
        <v>58</v>
      </c>
      <c r="Y2445" t="s">
        <v>58</v>
      </c>
      <c r="Z2445" t="s">
        <v>58</v>
      </c>
      <c r="AA2445" t="s">
        <v>58</v>
      </c>
      <c r="AC2445" t="s">
        <v>58</v>
      </c>
      <c r="AE2445" t="s">
        <v>58</v>
      </c>
      <c r="AG2445" t="s">
        <v>63</v>
      </c>
      <c r="AH2445" s="11" t="str">
        <f t="shared" si="157"/>
        <v>mailto: soilterrain@victoria1.gov.bc.ca</v>
      </c>
    </row>
    <row r="2446" spans="1:34">
      <c r="A2446" t="s">
        <v>5614</v>
      </c>
      <c r="B2446" t="s">
        <v>56</v>
      </c>
      <c r="C2446" s="10" t="s">
        <v>2987</v>
      </c>
      <c r="D2446" t="s">
        <v>58</v>
      </c>
      <c r="E2446" t="s">
        <v>2952</v>
      </c>
      <c r="F2446" t="s">
        <v>5615</v>
      </c>
      <c r="G2446">
        <v>20000</v>
      </c>
      <c r="H2446">
        <v>1984</v>
      </c>
      <c r="I2446" t="s">
        <v>58</v>
      </c>
      <c r="J2446" t="s">
        <v>58</v>
      </c>
      <c r="K2446" t="s">
        <v>58</v>
      </c>
      <c r="L2446" t="s">
        <v>58</v>
      </c>
      <c r="M2446" t="s">
        <v>58</v>
      </c>
      <c r="P2446" t="s">
        <v>61</v>
      </c>
      <c r="Q2446" t="s">
        <v>58</v>
      </c>
      <c r="R2446" s="11" t="str">
        <f>HYPERLINK("\\imagefiles.bcgov\imagery\scanned_maps\moe_terrain_maps\Scanned_T_maps_all\R04\R04-1013","\\imagefiles.bcgov\imagery\scanned_maps\moe_terrain_maps\Scanned_T_maps_all\R04\R04-1013")</f>
        <v>\\imagefiles.bcgov\imagery\scanned_maps\moe_terrain_maps\Scanned_T_maps_all\R04\R04-1013</v>
      </c>
      <c r="S2446" t="s">
        <v>62</v>
      </c>
      <c r="T2446" s="11" t="str">
        <f>HYPERLINK("http://www.env.gov.bc.ca/esd/distdata/ecosystems/TEI_Scanned_Maps/R04/R04-1013","http://www.env.gov.bc.ca/esd/distdata/ecosystems/TEI_Scanned_Maps/R04/R04-1013")</f>
        <v>http://www.env.gov.bc.ca/esd/distdata/ecosystems/TEI_Scanned_Maps/R04/R04-1013</v>
      </c>
      <c r="U2446" t="s">
        <v>58</v>
      </c>
      <c r="V2446" t="s">
        <v>58</v>
      </c>
      <c r="W2446" t="s">
        <v>58</v>
      </c>
      <c r="X2446" t="s">
        <v>58</v>
      </c>
      <c r="Y2446" t="s">
        <v>58</v>
      </c>
      <c r="Z2446" t="s">
        <v>58</v>
      </c>
      <c r="AA2446" t="s">
        <v>58</v>
      </c>
      <c r="AC2446" t="s">
        <v>58</v>
      </c>
      <c r="AE2446" t="s">
        <v>58</v>
      </c>
      <c r="AG2446" t="s">
        <v>63</v>
      </c>
      <c r="AH2446" s="11" t="str">
        <f t="shared" si="157"/>
        <v>mailto: soilterrain@victoria1.gov.bc.ca</v>
      </c>
    </row>
    <row r="2447" spans="1:34">
      <c r="A2447" t="s">
        <v>5616</v>
      </c>
      <c r="B2447" t="s">
        <v>56</v>
      </c>
      <c r="C2447" s="10" t="s">
        <v>5330</v>
      </c>
      <c r="D2447" t="s">
        <v>58</v>
      </c>
      <c r="E2447" t="s">
        <v>2952</v>
      </c>
      <c r="F2447" t="s">
        <v>5613</v>
      </c>
      <c r="G2447">
        <v>20000</v>
      </c>
      <c r="H2447">
        <v>1984</v>
      </c>
      <c r="I2447" t="s">
        <v>58</v>
      </c>
      <c r="J2447" t="s">
        <v>58</v>
      </c>
      <c r="K2447" t="s">
        <v>58</v>
      </c>
      <c r="L2447" t="s">
        <v>58</v>
      </c>
      <c r="M2447" t="s">
        <v>58</v>
      </c>
      <c r="P2447" t="s">
        <v>61</v>
      </c>
      <c r="Q2447" t="s">
        <v>58</v>
      </c>
      <c r="R2447" s="11" t="str">
        <f>HYPERLINK("\\imagefiles.bcgov\imagery\scanned_maps\moe_terrain_maps\Scanned_T_maps_all\R04\R04-1022","\\imagefiles.bcgov\imagery\scanned_maps\moe_terrain_maps\Scanned_T_maps_all\R04\R04-1022")</f>
        <v>\\imagefiles.bcgov\imagery\scanned_maps\moe_terrain_maps\Scanned_T_maps_all\R04\R04-1022</v>
      </c>
      <c r="S2447" t="s">
        <v>62</v>
      </c>
      <c r="T2447" s="11" t="str">
        <f>HYPERLINK("http://www.env.gov.bc.ca/esd/distdata/ecosystems/TEI_Scanned_Maps/R04/R04-1022","http://www.env.gov.bc.ca/esd/distdata/ecosystems/TEI_Scanned_Maps/R04/R04-1022")</f>
        <v>http://www.env.gov.bc.ca/esd/distdata/ecosystems/TEI_Scanned_Maps/R04/R04-1022</v>
      </c>
      <c r="U2447" t="s">
        <v>58</v>
      </c>
      <c r="V2447" t="s">
        <v>58</v>
      </c>
      <c r="W2447" t="s">
        <v>58</v>
      </c>
      <c r="X2447" t="s">
        <v>58</v>
      </c>
      <c r="Y2447" t="s">
        <v>58</v>
      </c>
      <c r="Z2447" t="s">
        <v>58</v>
      </c>
      <c r="AA2447" t="s">
        <v>58</v>
      </c>
      <c r="AC2447" t="s">
        <v>58</v>
      </c>
      <c r="AE2447" t="s">
        <v>58</v>
      </c>
      <c r="AG2447" t="s">
        <v>63</v>
      </c>
      <c r="AH2447" s="11" t="str">
        <f t="shared" si="157"/>
        <v>mailto: soilterrain@victoria1.gov.bc.ca</v>
      </c>
    </row>
    <row r="2448" spans="1:34">
      <c r="A2448" t="s">
        <v>5617</v>
      </c>
      <c r="B2448" t="s">
        <v>56</v>
      </c>
      <c r="C2448" s="10" t="s">
        <v>5332</v>
      </c>
      <c r="D2448" t="s">
        <v>58</v>
      </c>
      <c r="E2448" t="s">
        <v>2952</v>
      </c>
      <c r="F2448" t="s">
        <v>5613</v>
      </c>
      <c r="G2448">
        <v>20000</v>
      </c>
      <c r="H2448">
        <v>1984</v>
      </c>
      <c r="I2448" t="s">
        <v>58</v>
      </c>
      <c r="J2448" t="s">
        <v>58</v>
      </c>
      <c r="K2448" t="s">
        <v>58</v>
      </c>
      <c r="L2448" t="s">
        <v>58</v>
      </c>
      <c r="M2448" t="s">
        <v>58</v>
      </c>
      <c r="P2448" t="s">
        <v>61</v>
      </c>
      <c r="Q2448" t="s">
        <v>58</v>
      </c>
      <c r="R2448" s="11" t="str">
        <f>HYPERLINK("\\imagefiles.bcgov\imagery\scanned_maps\moe_terrain_maps\Scanned_T_maps_all\R04\R04-1031","\\imagefiles.bcgov\imagery\scanned_maps\moe_terrain_maps\Scanned_T_maps_all\R04\R04-1031")</f>
        <v>\\imagefiles.bcgov\imagery\scanned_maps\moe_terrain_maps\Scanned_T_maps_all\R04\R04-1031</v>
      </c>
      <c r="S2448" t="s">
        <v>62</v>
      </c>
      <c r="T2448" s="11" t="str">
        <f>HYPERLINK("http://www.env.gov.bc.ca/esd/distdata/ecosystems/TEI_Scanned_Maps/R04/R04-1031","http://www.env.gov.bc.ca/esd/distdata/ecosystems/TEI_Scanned_Maps/R04/R04-1031")</f>
        <v>http://www.env.gov.bc.ca/esd/distdata/ecosystems/TEI_Scanned_Maps/R04/R04-1031</v>
      </c>
      <c r="U2448" t="s">
        <v>58</v>
      </c>
      <c r="V2448" t="s">
        <v>58</v>
      </c>
      <c r="W2448" t="s">
        <v>58</v>
      </c>
      <c r="X2448" t="s">
        <v>58</v>
      </c>
      <c r="Y2448" t="s">
        <v>58</v>
      </c>
      <c r="Z2448" t="s">
        <v>58</v>
      </c>
      <c r="AA2448" t="s">
        <v>58</v>
      </c>
      <c r="AC2448" t="s">
        <v>58</v>
      </c>
      <c r="AE2448" t="s">
        <v>58</v>
      </c>
      <c r="AG2448" t="s">
        <v>63</v>
      </c>
      <c r="AH2448" s="11" t="str">
        <f t="shared" si="157"/>
        <v>mailto: soilterrain@victoria1.gov.bc.ca</v>
      </c>
    </row>
    <row r="2449" spans="1:34">
      <c r="A2449" t="s">
        <v>5618</v>
      </c>
      <c r="B2449" t="s">
        <v>56</v>
      </c>
      <c r="C2449" s="10" t="s">
        <v>5258</v>
      </c>
      <c r="D2449" t="s">
        <v>58</v>
      </c>
      <c r="E2449" t="s">
        <v>2952</v>
      </c>
      <c r="F2449" t="s">
        <v>5615</v>
      </c>
      <c r="G2449">
        <v>20000</v>
      </c>
      <c r="H2449">
        <v>1984</v>
      </c>
      <c r="I2449" t="s">
        <v>58</v>
      </c>
      <c r="J2449" t="s">
        <v>58</v>
      </c>
      <c r="K2449" t="s">
        <v>58</v>
      </c>
      <c r="L2449" t="s">
        <v>58</v>
      </c>
      <c r="M2449" t="s">
        <v>58</v>
      </c>
      <c r="P2449" t="s">
        <v>61</v>
      </c>
      <c r="Q2449" t="s">
        <v>58</v>
      </c>
      <c r="R2449" s="11" t="str">
        <f>HYPERLINK("\\imagefiles.bcgov\imagery\scanned_maps\moe_terrain_maps\Scanned_T_maps_all\R04\R04-1039","\\imagefiles.bcgov\imagery\scanned_maps\moe_terrain_maps\Scanned_T_maps_all\R04\R04-1039")</f>
        <v>\\imagefiles.bcgov\imagery\scanned_maps\moe_terrain_maps\Scanned_T_maps_all\R04\R04-1039</v>
      </c>
      <c r="S2449" t="s">
        <v>62</v>
      </c>
      <c r="T2449" s="11" t="str">
        <f>HYPERLINK("http://www.env.gov.bc.ca/esd/distdata/ecosystems/TEI_Scanned_Maps/R04/R04-1039","http://www.env.gov.bc.ca/esd/distdata/ecosystems/TEI_Scanned_Maps/R04/R04-1039")</f>
        <v>http://www.env.gov.bc.ca/esd/distdata/ecosystems/TEI_Scanned_Maps/R04/R04-1039</v>
      </c>
      <c r="U2449" t="s">
        <v>58</v>
      </c>
      <c r="V2449" t="s">
        <v>58</v>
      </c>
      <c r="W2449" t="s">
        <v>58</v>
      </c>
      <c r="X2449" t="s">
        <v>58</v>
      </c>
      <c r="Y2449" t="s">
        <v>58</v>
      </c>
      <c r="Z2449" t="s">
        <v>58</v>
      </c>
      <c r="AA2449" t="s">
        <v>58</v>
      </c>
      <c r="AC2449" t="s">
        <v>58</v>
      </c>
      <c r="AE2449" t="s">
        <v>58</v>
      </c>
      <c r="AG2449" t="s">
        <v>63</v>
      </c>
      <c r="AH2449" s="11" t="str">
        <f t="shared" si="157"/>
        <v>mailto: soilterrain@victoria1.gov.bc.ca</v>
      </c>
    </row>
    <row r="2450" spans="1:34">
      <c r="A2450" t="s">
        <v>5619</v>
      </c>
      <c r="B2450" t="s">
        <v>56</v>
      </c>
      <c r="C2450" s="10" t="s">
        <v>5335</v>
      </c>
      <c r="D2450" t="s">
        <v>58</v>
      </c>
      <c r="E2450" t="s">
        <v>2952</v>
      </c>
      <c r="F2450" t="s">
        <v>5613</v>
      </c>
      <c r="G2450">
        <v>20000</v>
      </c>
      <c r="H2450">
        <v>1984</v>
      </c>
      <c r="I2450" t="s">
        <v>58</v>
      </c>
      <c r="J2450" t="s">
        <v>58</v>
      </c>
      <c r="K2450" t="s">
        <v>58</v>
      </c>
      <c r="L2450" t="s">
        <v>58</v>
      </c>
      <c r="M2450" t="s">
        <v>58</v>
      </c>
      <c r="P2450" t="s">
        <v>61</v>
      </c>
      <c r="Q2450" t="s">
        <v>58</v>
      </c>
      <c r="R2450" s="11" t="str">
        <f>HYPERLINK("\\imagefiles.bcgov\imagery\scanned_maps\moe_terrain_maps\Scanned_T_maps_all\R04\R04-1047","\\imagefiles.bcgov\imagery\scanned_maps\moe_terrain_maps\Scanned_T_maps_all\R04\R04-1047")</f>
        <v>\\imagefiles.bcgov\imagery\scanned_maps\moe_terrain_maps\Scanned_T_maps_all\R04\R04-1047</v>
      </c>
      <c r="S2450" t="s">
        <v>62</v>
      </c>
      <c r="T2450" s="11" t="str">
        <f>HYPERLINK("http://www.env.gov.bc.ca/esd/distdata/ecosystems/TEI_Scanned_Maps/R04/R04-1047","http://www.env.gov.bc.ca/esd/distdata/ecosystems/TEI_Scanned_Maps/R04/R04-1047")</f>
        <v>http://www.env.gov.bc.ca/esd/distdata/ecosystems/TEI_Scanned_Maps/R04/R04-1047</v>
      </c>
      <c r="U2450" t="s">
        <v>58</v>
      </c>
      <c r="V2450" t="s">
        <v>58</v>
      </c>
      <c r="W2450" t="s">
        <v>58</v>
      </c>
      <c r="X2450" t="s">
        <v>58</v>
      </c>
      <c r="Y2450" t="s">
        <v>58</v>
      </c>
      <c r="Z2450" t="s">
        <v>58</v>
      </c>
      <c r="AA2450" t="s">
        <v>58</v>
      </c>
      <c r="AC2450" t="s">
        <v>58</v>
      </c>
      <c r="AE2450" t="s">
        <v>58</v>
      </c>
      <c r="AG2450" t="s">
        <v>63</v>
      </c>
      <c r="AH2450" s="11" t="str">
        <f t="shared" si="157"/>
        <v>mailto: soilterrain@victoria1.gov.bc.ca</v>
      </c>
    </row>
    <row r="2451" spans="1:34">
      <c r="A2451" t="s">
        <v>5620</v>
      </c>
      <c r="B2451" t="s">
        <v>56</v>
      </c>
      <c r="C2451" s="10" t="s">
        <v>5027</v>
      </c>
      <c r="D2451" t="s">
        <v>58</v>
      </c>
      <c r="E2451" t="s">
        <v>2952</v>
      </c>
      <c r="F2451" t="s">
        <v>5615</v>
      </c>
      <c r="G2451">
        <v>20000</v>
      </c>
      <c r="H2451">
        <v>1984</v>
      </c>
      <c r="I2451" t="s">
        <v>58</v>
      </c>
      <c r="J2451" t="s">
        <v>58</v>
      </c>
      <c r="K2451" t="s">
        <v>58</v>
      </c>
      <c r="L2451" t="s">
        <v>58</v>
      </c>
      <c r="M2451" t="s">
        <v>58</v>
      </c>
      <c r="P2451" t="s">
        <v>61</v>
      </c>
      <c r="Q2451" t="s">
        <v>58</v>
      </c>
      <c r="R2451" s="11" t="str">
        <f>HYPERLINK("\\imagefiles.bcgov\imagery\scanned_maps\moe_terrain_maps\Scanned_T_maps_all\R04\R04-1055","\\imagefiles.bcgov\imagery\scanned_maps\moe_terrain_maps\Scanned_T_maps_all\R04\R04-1055")</f>
        <v>\\imagefiles.bcgov\imagery\scanned_maps\moe_terrain_maps\Scanned_T_maps_all\R04\R04-1055</v>
      </c>
      <c r="S2451" t="s">
        <v>62</v>
      </c>
      <c r="T2451" s="11" t="str">
        <f>HYPERLINK("http://www.env.gov.bc.ca/esd/distdata/ecosystems/TEI_Scanned_Maps/R04/R04-1055","http://www.env.gov.bc.ca/esd/distdata/ecosystems/TEI_Scanned_Maps/R04/R04-1055")</f>
        <v>http://www.env.gov.bc.ca/esd/distdata/ecosystems/TEI_Scanned_Maps/R04/R04-1055</v>
      </c>
      <c r="U2451" t="s">
        <v>58</v>
      </c>
      <c r="V2451" t="s">
        <v>58</v>
      </c>
      <c r="W2451" t="s">
        <v>58</v>
      </c>
      <c r="X2451" t="s">
        <v>58</v>
      </c>
      <c r="Y2451" t="s">
        <v>58</v>
      </c>
      <c r="Z2451" t="s">
        <v>58</v>
      </c>
      <c r="AA2451" t="s">
        <v>58</v>
      </c>
      <c r="AC2451" t="s">
        <v>58</v>
      </c>
      <c r="AE2451" t="s">
        <v>58</v>
      </c>
      <c r="AG2451" t="s">
        <v>63</v>
      </c>
      <c r="AH2451" s="11" t="str">
        <f t="shared" si="157"/>
        <v>mailto: soilterrain@victoria1.gov.bc.ca</v>
      </c>
    </row>
    <row r="2452" spans="1:34">
      <c r="A2452" t="s">
        <v>5621</v>
      </c>
      <c r="B2452" t="s">
        <v>56</v>
      </c>
      <c r="C2452" s="10" t="s">
        <v>5338</v>
      </c>
      <c r="D2452" t="s">
        <v>58</v>
      </c>
      <c r="E2452" t="s">
        <v>2952</v>
      </c>
      <c r="F2452" t="s">
        <v>5613</v>
      </c>
      <c r="G2452">
        <v>20000</v>
      </c>
      <c r="H2452">
        <v>1984</v>
      </c>
      <c r="I2452" t="s">
        <v>58</v>
      </c>
      <c r="J2452" t="s">
        <v>58</v>
      </c>
      <c r="K2452" t="s">
        <v>58</v>
      </c>
      <c r="L2452" t="s">
        <v>58</v>
      </c>
      <c r="M2452" t="s">
        <v>58</v>
      </c>
      <c r="P2452" t="s">
        <v>61</v>
      </c>
      <c r="Q2452" t="s">
        <v>58</v>
      </c>
      <c r="R2452" s="11" t="str">
        <f>HYPERLINK("\\imagefiles.bcgov\imagery\scanned_maps\moe_terrain_maps\Scanned_T_maps_all\R04\R04-1123","\\imagefiles.bcgov\imagery\scanned_maps\moe_terrain_maps\Scanned_T_maps_all\R04\R04-1123")</f>
        <v>\\imagefiles.bcgov\imagery\scanned_maps\moe_terrain_maps\Scanned_T_maps_all\R04\R04-1123</v>
      </c>
      <c r="S2452" t="s">
        <v>62</v>
      </c>
      <c r="T2452" s="11" t="str">
        <f>HYPERLINK("http://www.env.gov.bc.ca/esd/distdata/ecosystems/TEI_Scanned_Maps/R04/R04-1123","http://www.env.gov.bc.ca/esd/distdata/ecosystems/TEI_Scanned_Maps/R04/R04-1123")</f>
        <v>http://www.env.gov.bc.ca/esd/distdata/ecosystems/TEI_Scanned_Maps/R04/R04-1123</v>
      </c>
      <c r="U2452" t="s">
        <v>58</v>
      </c>
      <c r="V2452" t="s">
        <v>58</v>
      </c>
      <c r="W2452" t="s">
        <v>58</v>
      </c>
      <c r="X2452" t="s">
        <v>58</v>
      </c>
      <c r="Y2452" t="s">
        <v>58</v>
      </c>
      <c r="Z2452" t="s">
        <v>58</v>
      </c>
      <c r="AA2452" t="s">
        <v>58</v>
      </c>
      <c r="AC2452" t="s">
        <v>58</v>
      </c>
      <c r="AE2452" t="s">
        <v>58</v>
      </c>
      <c r="AG2452" t="s">
        <v>63</v>
      </c>
      <c r="AH2452" s="11" t="str">
        <f t="shared" si="157"/>
        <v>mailto: soilterrain@victoria1.gov.bc.ca</v>
      </c>
    </row>
    <row r="2453" spans="1:34">
      <c r="A2453" t="s">
        <v>5622</v>
      </c>
      <c r="B2453" t="s">
        <v>56</v>
      </c>
      <c r="C2453" s="10" t="s">
        <v>5340</v>
      </c>
      <c r="D2453" t="s">
        <v>58</v>
      </c>
      <c r="E2453" t="s">
        <v>2952</v>
      </c>
      <c r="F2453" t="s">
        <v>5613</v>
      </c>
      <c r="G2453">
        <v>20000</v>
      </c>
      <c r="H2453">
        <v>1988</v>
      </c>
      <c r="I2453" t="s">
        <v>58</v>
      </c>
      <c r="J2453" t="s">
        <v>58</v>
      </c>
      <c r="K2453" t="s">
        <v>58</v>
      </c>
      <c r="L2453" t="s">
        <v>58</v>
      </c>
      <c r="M2453" t="s">
        <v>58</v>
      </c>
      <c r="P2453" t="s">
        <v>61</v>
      </c>
      <c r="Q2453" t="s">
        <v>58</v>
      </c>
      <c r="R2453" s="11" t="str">
        <f>HYPERLINK("\\imagefiles.bcgov\imagery\scanned_maps\moe_terrain_maps\Scanned_T_maps_all\R04\R04-1131","\\imagefiles.bcgov\imagery\scanned_maps\moe_terrain_maps\Scanned_T_maps_all\R04\R04-1131")</f>
        <v>\\imagefiles.bcgov\imagery\scanned_maps\moe_terrain_maps\Scanned_T_maps_all\R04\R04-1131</v>
      </c>
      <c r="S2453" t="s">
        <v>62</v>
      </c>
      <c r="T2453" s="11" t="str">
        <f>HYPERLINK("http://www.env.gov.bc.ca/esd/distdata/ecosystems/TEI_Scanned_Maps/R04/R04-1131","http://www.env.gov.bc.ca/esd/distdata/ecosystems/TEI_Scanned_Maps/R04/R04-1131")</f>
        <v>http://www.env.gov.bc.ca/esd/distdata/ecosystems/TEI_Scanned_Maps/R04/R04-1131</v>
      </c>
      <c r="U2453" t="s">
        <v>58</v>
      </c>
      <c r="V2453" t="s">
        <v>58</v>
      </c>
      <c r="W2453" t="s">
        <v>58</v>
      </c>
      <c r="X2453" t="s">
        <v>58</v>
      </c>
      <c r="Y2453" t="s">
        <v>58</v>
      </c>
      <c r="Z2453" t="s">
        <v>58</v>
      </c>
      <c r="AA2453" t="s">
        <v>58</v>
      </c>
      <c r="AC2453" t="s">
        <v>58</v>
      </c>
      <c r="AE2453" t="s">
        <v>58</v>
      </c>
      <c r="AG2453" t="s">
        <v>63</v>
      </c>
      <c r="AH2453" s="11" t="str">
        <f t="shared" si="157"/>
        <v>mailto: soilterrain@victoria1.gov.bc.ca</v>
      </c>
    </row>
    <row r="2454" spans="1:34">
      <c r="A2454" t="s">
        <v>5623</v>
      </c>
      <c r="B2454" t="s">
        <v>56</v>
      </c>
      <c r="C2454" s="10" t="s">
        <v>5342</v>
      </c>
      <c r="D2454" t="s">
        <v>58</v>
      </c>
      <c r="E2454" t="s">
        <v>2952</v>
      </c>
      <c r="F2454" t="s">
        <v>5613</v>
      </c>
      <c r="G2454">
        <v>20000</v>
      </c>
      <c r="H2454">
        <v>1984</v>
      </c>
      <c r="I2454" t="s">
        <v>58</v>
      </c>
      <c r="J2454" t="s">
        <v>58</v>
      </c>
      <c r="K2454" t="s">
        <v>58</v>
      </c>
      <c r="L2454" t="s">
        <v>58</v>
      </c>
      <c r="M2454" t="s">
        <v>58</v>
      </c>
      <c r="P2454" t="s">
        <v>61</v>
      </c>
      <c r="Q2454" t="s">
        <v>58</v>
      </c>
      <c r="R2454" s="11" t="str">
        <f>HYPERLINK("\\imagefiles.bcgov\imagery\scanned_maps\moe_terrain_maps\Scanned_T_maps_all\R04\R04-1141","\\imagefiles.bcgov\imagery\scanned_maps\moe_terrain_maps\Scanned_T_maps_all\R04\R04-1141")</f>
        <v>\\imagefiles.bcgov\imagery\scanned_maps\moe_terrain_maps\Scanned_T_maps_all\R04\R04-1141</v>
      </c>
      <c r="S2454" t="s">
        <v>62</v>
      </c>
      <c r="T2454" s="11" t="str">
        <f>HYPERLINK("http://www.env.gov.bc.ca/esd/distdata/ecosystems/TEI_Scanned_Maps/R04/R04-1141","http://www.env.gov.bc.ca/esd/distdata/ecosystems/TEI_Scanned_Maps/R04/R04-1141")</f>
        <v>http://www.env.gov.bc.ca/esd/distdata/ecosystems/TEI_Scanned_Maps/R04/R04-1141</v>
      </c>
      <c r="U2454" t="s">
        <v>58</v>
      </c>
      <c r="V2454" t="s">
        <v>58</v>
      </c>
      <c r="W2454" t="s">
        <v>58</v>
      </c>
      <c r="X2454" t="s">
        <v>58</v>
      </c>
      <c r="Y2454" t="s">
        <v>58</v>
      </c>
      <c r="Z2454" t="s">
        <v>58</v>
      </c>
      <c r="AA2454" t="s">
        <v>58</v>
      </c>
      <c r="AC2454" t="s">
        <v>58</v>
      </c>
      <c r="AE2454" t="s">
        <v>58</v>
      </c>
      <c r="AG2454" t="s">
        <v>63</v>
      </c>
      <c r="AH2454" s="11" t="str">
        <f t="shared" si="157"/>
        <v>mailto: soilterrain@victoria1.gov.bc.ca</v>
      </c>
    </row>
    <row r="2455" spans="1:34">
      <c r="A2455" t="s">
        <v>5624</v>
      </c>
      <c r="B2455" t="s">
        <v>56</v>
      </c>
      <c r="C2455" s="10" t="s">
        <v>5344</v>
      </c>
      <c r="D2455" t="s">
        <v>58</v>
      </c>
      <c r="E2455" t="s">
        <v>2952</v>
      </c>
      <c r="F2455" t="s">
        <v>5613</v>
      </c>
      <c r="G2455">
        <v>20000</v>
      </c>
      <c r="H2455">
        <v>1988</v>
      </c>
      <c r="I2455" t="s">
        <v>58</v>
      </c>
      <c r="J2455" t="s">
        <v>58</v>
      </c>
      <c r="K2455" t="s">
        <v>58</v>
      </c>
      <c r="L2455" t="s">
        <v>58</v>
      </c>
      <c r="M2455" t="s">
        <v>58</v>
      </c>
      <c r="P2455" t="s">
        <v>61</v>
      </c>
      <c r="Q2455" t="s">
        <v>58</v>
      </c>
      <c r="R2455" s="11" t="str">
        <f>HYPERLINK("\\imagefiles.bcgov\imagery\scanned_maps\moe_terrain_maps\Scanned_T_maps_all\R04\R04-1150","\\imagefiles.bcgov\imagery\scanned_maps\moe_terrain_maps\Scanned_T_maps_all\R04\R04-1150")</f>
        <v>\\imagefiles.bcgov\imagery\scanned_maps\moe_terrain_maps\Scanned_T_maps_all\R04\R04-1150</v>
      </c>
      <c r="S2455" t="s">
        <v>62</v>
      </c>
      <c r="T2455" s="11" t="str">
        <f>HYPERLINK("http://www.env.gov.bc.ca/esd/distdata/ecosystems/TEI_Scanned_Maps/R04/R04-1150","http://www.env.gov.bc.ca/esd/distdata/ecosystems/TEI_Scanned_Maps/R04/R04-1150")</f>
        <v>http://www.env.gov.bc.ca/esd/distdata/ecosystems/TEI_Scanned_Maps/R04/R04-1150</v>
      </c>
      <c r="U2455" t="s">
        <v>58</v>
      </c>
      <c r="V2455" t="s">
        <v>58</v>
      </c>
      <c r="W2455" t="s">
        <v>58</v>
      </c>
      <c r="X2455" t="s">
        <v>58</v>
      </c>
      <c r="Y2455" t="s">
        <v>58</v>
      </c>
      <c r="Z2455" t="s">
        <v>58</v>
      </c>
      <c r="AA2455" t="s">
        <v>58</v>
      </c>
      <c r="AC2455" t="s">
        <v>58</v>
      </c>
      <c r="AE2455" t="s">
        <v>58</v>
      </c>
      <c r="AG2455" t="s">
        <v>63</v>
      </c>
      <c r="AH2455" s="11" t="str">
        <f t="shared" si="157"/>
        <v>mailto: soilterrain@victoria1.gov.bc.ca</v>
      </c>
    </row>
    <row r="2456" spans="1:34">
      <c r="A2456" t="s">
        <v>5625</v>
      </c>
      <c r="B2456" t="s">
        <v>56</v>
      </c>
      <c r="C2456" s="10" t="s">
        <v>5346</v>
      </c>
      <c r="D2456" t="s">
        <v>58</v>
      </c>
      <c r="E2456" t="s">
        <v>2952</v>
      </c>
      <c r="F2456" t="s">
        <v>5613</v>
      </c>
      <c r="G2456">
        <v>20000</v>
      </c>
      <c r="H2456">
        <v>1988</v>
      </c>
      <c r="I2456" t="s">
        <v>58</v>
      </c>
      <c r="J2456" t="s">
        <v>58</v>
      </c>
      <c r="K2456" t="s">
        <v>58</v>
      </c>
      <c r="L2456" t="s">
        <v>58</v>
      </c>
      <c r="M2456" t="s">
        <v>58</v>
      </c>
      <c r="P2456" t="s">
        <v>61</v>
      </c>
      <c r="Q2456" t="s">
        <v>58</v>
      </c>
      <c r="R2456" s="11" t="str">
        <f>HYPERLINK("\\imagefiles.bcgov\imagery\scanned_maps\moe_terrain_maps\Scanned_T_maps_all\R04\R04-1159","\\imagefiles.bcgov\imagery\scanned_maps\moe_terrain_maps\Scanned_T_maps_all\R04\R04-1159")</f>
        <v>\\imagefiles.bcgov\imagery\scanned_maps\moe_terrain_maps\Scanned_T_maps_all\R04\R04-1159</v>
      </c>
      <c r="S2456" t="s">
        <v>62</v>
      </c>
      <c r="T2456" s="11" t="str">
        <f>HYPERLINK("http://www.env.gov.bc.ca/esd/distdata/ecosystems/TEI_Scanned_Maps/R04/R04-1159","http://www.env.gov.bc.ca/esd/distdata/ecosystems/TEI_Scanned_Maps/R04/R04-1159")</f>
        <v>http://www.env.gov.bc.ca/esd/distdata/ecosystems/TEI_Scanned_Maps/R04/R04-1159</v>
      </c>
      <c r="U2456" t="s">
        <v>58</v>
      </c>
      <c r="V2456" t="s">
        <v>58</v>
      </c>
      <c r="W2456" t="s">
        <v>58</v>
      </c>
      <c r="X2456" t="s">
        <v>58</v>
      </c>
      <c r="Y2456" t="s">
        <v>58</v>
      </c>
      <c r="Z2456" t="s">
        <v>58</v>
      </c>
      <c r="AA2456" t="s">
        <v>58</v>
      </c>
      <c r="AC2456" t="s">
        <v>58</v>
      </c>
      <c r="AE2456" t="s">
        <v>58</v>
      </c>
      <c r="AG2456" t="s">
        <v>63</v>
      </c>
      <c r="AH2456" s="11" t="str">
        <f t="shared" si="157"/>
        <v>mailto: soilterrain@victoria1.gov.bc.ca</v>
      </c>
    </row>
    <row r="2457" spans="1:34">
      <c r="A2457" t="s">
        <v>5626</v>
      </c>
      <c r="B2457" t="s">
        <v>56</v>
      </c>
      <c r="C2457" s="10" t="s">
        <v>5348</v>
      </c>
      <c r="D2457" t="s">
        <v>58</v>
      </c>
      <c r="E2457" t="s">
        <v>2952</v>
      </c>
      <c r="F2457" t="s">
        <v>5613</v>
      </c>
      <c r="G2457">
        <v>20000</v>
      </c>
      <c r="H2457">
        <v>1986</v>
      </c>
      <c r="I2457" t="s">
        <v>58</v>
      </c>
      <c r="J2457" t="s">
        <v>58</v>
      </c>
      <c r="K2457" t="s">
        <v>58</v>
      </c>
      <c r="L2457" t="s">
        <v>58</v>
      </c>
      <c r="M2457" t="s">
        <v>58</v>
      </c>
      <c r="P2457" t="s">
        <v>61</v>
      </c>
      <c r="Q2457" t="s">
        <v>58</v>
      </c>
      <c r="R2457" s="11" t="str">
        <f>HYPERLINK("\\imagefiles.bcgov\imagery\scanned_maps\moe_terrain_maps\Scanned_T_maps_all\R04\R04-1167","\\imagefiles.bcgov\imagery\scanned_maps\moe_terrain_maps\Scanned_T_maps_all\R04\R04-1167")</f>
        <v>\\imagefiles.bcgov\imagery\scanned_maps\moe_terrain_maps\Scanned_T_maps_all\R04\R04-1167</v>
      </c>
      <c r="S2457" t="s">
        <v>62</v>
      </c>
      <c r="T2457" s="11" t="str">
        <f>HYPERLINK("http://www.env.gov.bc.ca/esd/distdata/ecosystems/TEI_Scanned_Maps/R04/R04-1167","http://www.env.gov.bc.ca/esd/distdata/ecosystems/TEI_Scanned_Maps/R04/R04-1167")</f>
        <v>http://www.env.gov.bc.ca/esd/distdata/ecosystems/TEI_Scanned_Maps/R04/R04-1167</v>
      </c>
      <c r="U2457" t="s">
        <v>58</v>
      </c>
      <c r="V2457" t="s">
        <v>58</v>
      </c>
      <c r="W2457" t="s">
        <v>58</v>
      </c>
      <c r="X2457" t="s">
        <v>58</v>
      </c>
      <c r="Y2457" t="s">
        <v>58</v>
      </c>
      <c r="Z2457" t="s">
        <v>58</v>
      </c>
      <c r="AA2457" t="s">
        <v>58</v>
      </c>
      <c r="AC2457" t="s">
        <v>58</v>
      </c>
      <c r="AE2457" t="s">
        <v>58</v>
      </c>
      <c r="AG2457" t="s">
        <v>63</v>
      </c>
      <c r="AH2457" s="11" t="str">
        <f t="shared" si="157"/>
        <v>mailto: soilterrain@victoria1.gov.bc.ca</v>
      </c>
    </row>
    <row r="2458" spans="1:34">
      <c r="A2458" t="s">
        <v>5627</v>
      </c>
      <c r="B2458" t="s">
        <v>56</v>
      </c>
      <c r="C2458" s="10" t="s">
        <v>5350</v>
      </c>
      <c r="D2458" t="s">
        <v>58</v>
      </c>
      <c r="E2458" t="s">
        <v>2952</v>
      </c>
      <c r="F2458" t="s">
        <v>5613</v>
      </c>
      <c r="G2458">
        <v>20000</v>
      </c>
      <c r="H2458">
        <v>1986</v>
      </c>
      <c r="I2458" t="s">
        <v>58</v>
      </c>
      <c r="J2458" t="s">
        <v>58</v>
      </c>
      <c r="K2458" t="s">
        <v>58</v>
      </c>
      <c r="L2458" t="s">
        <v>58</v>
      </c>
      <c r="M2458" t="s">
        <v>58</v>
      </c>
      <c r="P2458" t="s">
        <v>61</v>
      </c>
      <c r="Q2458" t="s">
        <v>58</v>
      </c>
      <c r="R2458" s="11" t="str">
        <f>HYPERLINK("\\imagefiles.bcgov\imagery\scanned_maps\moe_terrain_maps\Scanned_T_maps_all\R04\R04-1175","\\imagefiles.bcgov\imagery\scanned_maps\moe_terrain_maps\Scanned_T_maps_all\R04\R04-1175")</f>
        <v>\\imagefiles.bcgov\imagery\scanned_maps\moe_terrain_maps\Scanned_T_maps_all\R04\R04-1175</v>
      </c>
      <c r="S2458" t="s">
        <v>62</v>
      </c>
      <c r="T2458" s="11" t="str">
        <f>HYPERLINK("http://www.env.gov.bc.ca/esd/distdata/ecosystems/TEI_Scanned_Maps/R04/R04-1175","http://www.env.gov.bc.ca/esd/distdata/ecosystems/TEI_Scanned_Maps/R04/R04-1175")</f>
        <v>http://www.env.gov.bc.ca/esd/distdata/ecosystems/TEI_Scanned_Maps/R04/R04-1175</v>
      </c>
      <c r="U2458" t="s">
        <v>58</v>
      </c>
      <c r="V2458" t="s">
        <v>58</v>
      </c>
      <c r="W2458" t="s">
        <v>58</v>
      </c>
      <c r="X2458" t="s">
        <v>58</v>
      </c>
      <c r="Y2458" t="s">
        <v>58</v>
      </c>
      <c r="Z2458" t="s">
        <v>58</v>
      </c>
      <c r="AA2458" t="s">
        <v>58</v>
      </c>
      <c r="AC2458" t="s">
        <v>58</v>
      </c>
      <c r="AE2458" t="s">
        <v>58</v>
      </c>
      <c r="AG2458" t="s">
        <v>63</v>
      </c>
      <c r="AH2458" s="11" t="str">
        <f t="shared" si="157"/>
        <v>mailto: soilterrain@victoria1.gov.bc.ca</v>
      </c>
    </row>
    <row r="2459" spans="1:34">
      <c r="A2459" t="s">
        <v>5628</v>
      </c>
      <c r="B2459" t="s">
        <v>56</v>
      </c>
      <c r="C2459" s="10" t="s">
        <v>5401</v>
      </c>
      <c r="D2459" t="s">
        <v>58</v>
      </c>
      <c r="E2459" t="s">
        <v>2952</v>
      </c>
      <c r="F2459" t="s">
        <v>5613</v>
      </c>
      <c r="G2459">
        <v>20000</v>
      </c>
      <c r="H2459">
        <v>1986</v>
      </c>
      <c r="I2459" t="s">
        <v>58</v>
      </c>
      <c r="J2459" t="s">
        <v>58</v>
      </c>
      <c r="K2459" t="s">
        <v>58</v>
      </c>
      <c r="L2459" t="s">
        <v>58</v>
      </c>
      <c r="M2459" t="s">
        <v>58</v>
      </c>
      <c r="P2459" t="s">
        <v>61</v>
      </c>
      <c r="Q2459" t="s">
        <v>58</v>
      </c>
      <c r="R2459" s="11" t="str">
        <f>HYPERLINK("\\imagefiles.bcgov\imagery\scanned_maps\moe_terrain_maps\Scanned_T_maps_all\R04\R04-207","\\imagefiles.bcgov\imagery\scanned_maps\moe_terrain_maps\Scanned_T_maps_all\R04\R04-207")</f>
        <v>\\imagefiles.bcgov\imagery\scanned_maps\moe_terrain_maps\Scanned_T_maps_all\R04\R04-207</v>
      </c>
      <c r="S2459" t="s">
        <v>62</v>
      </c>
      <c r="T2459" s="11" t="str">
        <f>HYPERLINK("http://www.env.gov.bc.ca/esd/distdata/ecosystems/TEI_Scanned_Maps/R04/R04-207","http://www.env.gov.bc.ca/esd/distdata/ecosystems/TEI_Scanned_Maps/R04/R04-207")</f>
        <v>http://www.env.gov.bc.ca/esd/distdata/ecosystems/TEI_Scanned_Maps/R04/R04-207</v>
      </c>
      <c r="U2459" t="s">
        <v>58</v>
      </c>
      <c r="V2459" t="s">
        <v>58</v>
      </c>
      <c r="W2459" t="s">
        <v>58</v>
      </c>
      <c r="X2459" t="s">
        <v>58</v>
      </c>
      <c r="Y2459" t="s">
        <v>58</v>
      </c>
      <c r="Z2459" t="s">
        <v>58</v>
      </c>
      <c r="AA2459" t="s">
        <v>58</v>
      </c>
      <c r="AC2459" t="s">
        <v>58</v>
      </c>
      <c r="AE2459" t="s">
        <v>58</v>
      </c>
      <c r="AG2459" t="s">
        <v>63</v>
      </c>
      <c r="AH2459" s="11" t="str">
        <f t="shared" si="157"/>
        <v>mailto: soilterrain@victoria1.gov.bc.ca</v>
      </c>
    </row>
    <row r="2460" spans="1:34">
      <c r="A2460" t="s">
        <v>5629</v>
      </c>
      <c r="B2460" t="s">
        <v>56</v>
      </c>
      <c r="C2460" s="10" t="s">
        <v>5403</v>
      </c>
      <c r="D2460" t="s">
        <v>58</v>
      </c>
      <c r="E2460" t="s">
        <v>2952</v>
      </c>
      <c r="F2460" t="s">
        <v>5613</v>
      </c>
      <c r="G2460">
        <v>20000</v>
      </c>
      <c r="H2460">
        <v>1979</v>
      </c>
      <c r="I2460" t="s">
        <v>58</v>
      </c>
      <c r="J2460" t="s">
        <v>58</v>
      </c>
      <c r="K2460" t="s">
        <v>58</v>
      </c>
      <c r="L2460" t="s">
        <v>58</v>
      </c>
      <c r="M2460" t="s">
        <v>58</v>
      </c>
      <c r="P2460" t="s">
        <v>61</v>
      </c>
      <c r="Q2460" t="s">
        <v>58</v>
      </c>
      <c r="R2460" s="11" t="str">
        <f>HYPERLINK("\\imagefiles.bcgov\imagery\scanned_maps\moe_terrain_maps\Scanned_T_maps_all\R04\R04-214","\\imagefiles.bcgov\imagery\scanned_maps\moe_terrain_maps\Scanned_T_maps_all\R04\R04-214")</f>
        <v>\\imagefiles.bcgov\imagery\scanned_maps\moe_terrain_maps\Scanned_T_maps_all\R04\R04-214</v>
      </c>
      <c r="S2460" t="s">
        <v>62</v>
      </c>
      <c r="T2460" s="11" t="str">
        <f>HYPERLINK("http://www.env.gov.bc.ca/esd/distdata/ecosystems/TEI_Scanned_Maps/R04/R04-214","http://www.env.gov.bc.ca/esd/distdata/ecosystems/TEI_Scanned_Maps/R04/R04-214")</f>
        <v>http://www.env.gov.bc.ca/esd/distdata/ecosystems/TEI_Scanned_Maps/R04/R04-214</v>
      </c>
      <c r="U2460" t="s">
        <v>58</v>
      </c>
      <c r="V2460" t="s">
        <v>58</v>
      </c>
      <c r="W2460" t="s">
        <v>58</v>
      </c>
      <c r="X2460" t="s">
        <v>58</v>
      </c>
      <c r="Y2460" t="s">
        <v>58</v>
      </c>
      <c r="Z2460" t="s">
        <v>58</v>
      </c>
      <c r="AA2460" t="s">
        <v>58</v>
      </c>
      <c r="AC2460" t="s">
        <v>58</v>
      </c>
      <c r="AE2460" t="s">
        <v>58</v>
      </c>
      <c r="AG2460" t="s">
        <v>63</v>
      </c>
      <c r="AH2460" s="11" t="str">
        <f t="shared" si="157"/>
        <v>mailto: soilterrain@victoria1.gov.bc.ca</v>
      </c>
    </row>
    <row r="2461" spans="1:34">
      <c r="A2461" t="s">
        <v>5630</v>
      </c>
      <c r="B2461" t="s">
        <v>56</v>
      </c>
      <c r="C2461" s="10" t="s">
        <v>5405</v>
      </c>
      <c r="D2461" t="s">
        <v>58</v>
      </c>
      <c r="E2461" t="s">
        <v>2952</v>
      </c>
      <c r="F2461" t="s">
        <v>5613</v>
      </c>
      <c r="G2461">
        <v>20000</v>
      </c>
      <c r="H2461">
        <v>1979</v>
      </c>
      <c r="I2461" t="s">
        <v>58</v>
      </c>
      <c r="J2461" t="s">
        <v>58</v>
      </c>
      <c r="K2461" t="s">
        <v>58</v>
      </c>
      <c r="L2461" t="s">
        <v>58</v>
      </c>
      <c r="M2461" t="s">
        <v>58</v>
      </c>
      <c r="P2461" t="s">
        <v>61</v>
      </c>
      <c r="Q2461" t="s">
        <v>58</v>
      </c>
      <c r="R2461" s="11" t="str">
        <f>HYPERLINK("\\imagefiles.bcgov\imagery\scanned_maps\moe_terrain_maps\Scanned_T_maps_all\R04\R04-221","\\imagefiles.bcgov\imagery\scanned_maps\moe_terrain_maps\Scanned_T_maps_all\R04\R04-221")</f>
        <v>\\imagefiles.bcgov\imagery\scanned_maps\moe_terrain_maps\Scanned_T_maps_all\R04\R04-221</v>
      </c>
      <c r="S2461" t="s">
        <v>62</v>
      </c>
      <c r="T2461" s="11" t="str">
        <f>HYPERLINK("http://www.env.gov.bc.ca/esd/distdata/ecosystems/TEI_Scanned_Maps/R04/R04-221","http://www.env.gov.bc.ca/esd/distdata/ecosystems/TEI_Scanned_Maps/R04/R04-221")</f>
        <v>http://www.env.gov.bc.ca/esd/distdata/ecosystems/TEI_Scanned_Maps/R04/R04-221</v>
      </c>
      <c r="U2461" t="s">
        <v>58</v>
      </c>
      <c r="V2461" t="s">
        <v>58</v>
      </c>
      <c r="W2461" t="s">
        <v>58</v>
      </c>
      <c r="X2461" t="s">
        <v>58</v>
      </c>
      <c r="Y2461" t="s">
        <v>58</v>
      </c>
      <c r="Z2461" t="s">
        <v>58</v>
      </c>
      <c r="AA2461" t="s">
        <v>58</v>
      </c>
      <c r="AC2461" t="s">
        <v>58</v>
      </c>
      <c r="AE2461" t="s">
        <v>58</v>
      </c>
      <c r="AG2461" t="s">
        <v>63</v>
      </c>
      <c r="AH2461" s="11" t="str">
        <f t="shared" si="157"/>
        <v>mailto: soilterrain@victoria1.gov.bc.ca</v>
      </c>
    </row>
    <row r="2462" spans="1:34">
      <c r="A2462" t="s">
        <v>5631</v>
      </c>
      <c r="B2462" t="s">
        <v>56</v>
      </c>
      <c r="C2462" s="10" t="s">
        <v>5407</v>
      </c>
      <c r="D2462" t="s">
        <v>58</v>
      </c>
      <c r="E2462" t="s">
        <v>2952</v>
      </c>
      <c r="F2462" t="s">
        <v>5613</v>
      </c>
      <c r="G2462">
        <v>20000</v>
      </c>
      <c r="H2462">
        <v>1979</v>
      </c>
      <c r="I2462" t="s">
        <v>58</v>
      </c>
      <c r="J2462" t="s">
        <v>58</v>
      </c>
      <c r="K2462" t="s">
        <v>58</v>
      </c>
      <c r="L2462" t="s">
        <v>58</v>
      </c>
      <c r="M2462" t="s">
        <v>58</v>
      </c>
      <c r="P2462" t="s">
        <v>61</v>
      </c>
      <c r="Q2462" t="s">
        <v>58</v>
      </c>
      <c r="R2462" s="11" t="str">
        <f>HYPERLINK("\\imagefiles.bcgov\imagery\scanned_maps\moe_terrain_maps\Scanned_T_maps_all\R04\R04-228","\\imagefiles.bcgov\imagery\scanned_maps\moe_terrain_maps\Scanned_T_maps_all\R04\R04-228")</f>
        <v>\\imagefiles.bcgov\imagery\scanned_maps\moe_terrain_maps\Scanned_T_maps_all\R04\R04-228</v>
      </c>
      <c r="S2462" t="s">
        <v>62</v>
      </c>
      <c r="T2462" s="11" t="str">
        <f>HYPERLINK("http://www.env.gov.bc.ca/esd/distdata/ecosystems/TEI_Scanned_Maps/R04/R04-228","http://www.env.gov.bc.ca/esd/distdata/ecosystems/TEI_Scanned_Maps/R04/R04-228")</f>
        <v>http://www.env.gov.bc.ca/esd/distdata/ecosystems/TEI_Scanned_Maps/R04/R04-228</v>
      </c>
      <c r="U2462" t="s">
        <v>58</v>
      </c>
      <c r="V2462" t="s">
        <v>58</v>
      </c>
      <c r="W2462" t="s">
        <v>58</v>
      </c>
      <c r="X2462" t="s">
        <v>58</v>
      </c>
      <c r="Y2462" t="s">
        <v>58</v>
      </c>
      <c r="Z2462" t="s">
        <v>58</v>
      </c>
      <c r="AA2462" t="s">
        <v>58</v>
      </c>
      <c r="AC2462" t="s">
        <v>58</v>
      </c>
      <c r="AE2462" t="s">
        <v>58</v>
      </c>
      <c r="AG2462" t="s">
        <v>63</v>
      </c>
      <c r="AH2462" s="11" t="str">
        <f t="shared" si="157"/>
        <v>mailto: soilterrain@victoria1.gov.bc.ca</v>
      </c>
    </row>
    <row r="2463" spans="1:34">
      <c r="A2463" t="s">
        <v>5632</v>
      </c>
      <c r="B2463" t="s">
        <v>56</v>
      </c>
      <c r="C2463" s="10" t="s">
        <v>5497</v>
      </c>
      <c r="D2463" t="s">
        <v>58</v>
      </c>
      <c r="E2463" t="s">
        <v>2952</v>
      </c>
      <c r="F2463" t="s">
        <v>5633</v>
      </c>
      <c r="G2463">
        <v>25000</v>
      </c>
      <c r="H2463">
        <v>1976</v>
      </c>
      <c r="I2463" t="s">
        <v>5634</v>
      </c>
      <c r="J2463" t="s">
        <v>58</v>
      </c>
      <c r="K2463" t="s">
        <v>58</v>
      </c>
      <c r="L2463" t="s">
        <v>58</v>
      </c>
      <c r="M2463" t="s">
        <v>58</v>
      </c>
      <c r="P2463" t="s">
        <v>61</v>
      </c>
      <c r="Q2463" t="s">
        <v>58</v>
      </c>
      <c r="R2463" s="11" t="str">
        <f>HYPERLINK("\\imagefiles.bcgov\imagery\scanned_maps\moe_terrain_maps\Scanned_T_maps_all\R07\R07-1542","\\imagefiles.bcgov\imagery\scanned_maps\moe_terrain_maps\Scanned_T_maps_all\R07\R07-1542")</f>
        <v>\\imagefiles.bcgov\imagery\scanned_maps\moe_terrain_maps\Scanned_T_maps_all\R07\R07-1542</v>
      </c>
      <c r="S2463" t="s">
        <v>62</v>
      </c>
      <c r="T2463" s="11" t="str">
        <f>HYPERLINK("http://www.env.gov.bc.ca/esd/distdata/ecosystems/TEI_Scanned_Maps/R07/R07-1542","http://www.env.gov.bc.ca/esd/distdata/ecosystems/TEI_Scanned_Maps/R07/R07-1542")</f>
        <v>http://www.env.gov.bc.ca/esd/distdata/ecosystems/TEI_Scanned_Maps/R07/R07-1542</v>
      </c>
      <c r="U2463" t="s">
        <v>269</v>
      </c>
      <c r="V2463" s="11" t="str">
        <f t="shared" ref="V2463:V2468" si="158">HYPERLINK("http://www.library.for.gov.bc.ca/#focus","http://www.library.for.gov.bc.ca/#focus")</f>
        <v>http://www.library.for.gov.bc.ca/#focus</v>
      </c>
      <c r="W2463" t="s">
        <v>3053</v>
      </c>
      <c r="X2463" s="11" t="str">
        <f t="shared" ref="X2463:X2468" si="159">HYPERLINK("http://www.prsss.ca/","http://www.prsss.ca/")</f>
        <v>http://www.prsss.ca/</v>
      </c>
      <c r="Y2463" t="s">
        <v>58</v>
      </c>
      <c r="Z2463" t="s">
        <v>58</v>
      </c>
      <c r="AA2463" t="s">
        <v>58</v>
      </c>
      <c r="AC2463" t="s">
        <v>58</v>
      </c>
      <c r="AE2463" t="s">
        <v>58</v>
      </c>
      <c r="AG2463" t="s">
        <v>63</v>
      </c>
      <c r="AH2463" s="11" t="str">
        <f t="shared" si="157"/>
        <v>mailto: soilterrain@victoria1.gov.bc.ca</v>
      </c>
    </row>
    <row r="2464" spans="1:34">
      <c r="A2464" t="s">
        <v>5635</v>
      </c>
      <c r="B2464" t="s">
        <v>56</v>
      </c>
      <c r="C2464" s="10" t="s">
        <v>5500</v>
      </c>
      <c r="D2464" t="s">
        <v>58</v>
      </c>
      <c r="E2464" t="s">
        <v>2952</v>
      </c>
      <c r="F2464" t="s">
        <v>5636</v>
      </c>
      <c r="G2464">
        <v>25000</v>
      </c>
      <c r="H2464">
        <v>1976</v>
      </c>
      <c r="I2464" t="s">
        <v>5634</v>
      </c>
      <c r="J2464" t="s">
        <v>58</v>
      </c>
      <c r="K2464" t="s">
        <v>58</v>
      </c>
      <c r="L2464" t="s">
        <v>58</v>
      </c>
      <c r="M2464" t="s">
        <v>58</v>
      </c>
      <c r="P2464" t="s">
        <v>61</v>
      </c>
      <c r="Q2464" t="s">
        <v>58</v>
      </c>
      <c r="R2464" s="11" t="str">
        <f>HYPERLINK("\\imagefiles.bcgov\imagery\scanned_maps\moe_terrain_maps\Scanned_T_maps_all\R07\R07-1547","\\imagefiles.bcgov\imagery\scanned_maps\moe_terrain_maps\Scanned_T_maps_all\R07\R07-1547")</f>
        <v>\\imagefiles.bcgov\imagery\scanned_maps\moe_terrain_maps\Scanned_T_maps_all\R07\R07-1547</v>
      </c>
      <c r="S2464" t="s">
        <v>62</v>
      </c>
      <c r="T2464" s="11" t="str">
        <f>HYPERLINK("http://www.env.gov.bc.ca/esd/distdata/ecosystems/TEI_Scanned_Maps/R07/R07-1547","http://www.env.gov.bc.ca/esd/distdata/ecosystems/TEI_Scanned_Maps/R07/R07-1547")</f>
        <v>http://www.env.gov.bc.ca/esd/distdata/ecosystems/TEI_Scanned_Maps/R07/R07-1547</v>
      </c>
      <c r="U2464" t="s">
        <v>269</v>
      </c>
      <c r="V2464" s="11" t="str">
        <f t="shared" si="158"/>
        <v>http://www.library.for.gov.bc.ca/#focus</v>
      </c>
      <c r="W2464" t="s">
        <v>3053</v>
      </c>
      <c r="X2464" s="11" t="str">
        <f t="shared" si="159"/>
        <v>http://www.prsss.ca/</v>
      </c>
      <c r="Y2464" t="s">
        <v>58</v>
      </c>
      <c r="Z2464" t="s">
        <v>58</v>
      </c>
      <c r="AA2464" t="s">
        <v>58</v>
      </c>
      <c r="AC2464" t="s">
        <v>58</v>
      </c>
      <c r="AE2464" t="s">
        <v>58</v>
      </c>
      <c r="AG2464" t="s">
        <v>63</v>
      </c>
      <c r="AH2464" s="11" t="str">
        <f t="shared" si="157"/>
        <v>mailto: soilterrain@victoria1.gov.bc.ca</v>
      </c>
    </row>
    <row r="2465" spans="1:34">
      <c r="A2465" t="s">
        <v>5637</v>
      </c>
      <c r="B2465" t="s">
        <v>56</v>
      </c>
      <c r="C2465" s="10" t="s">
        <v>5503</v>
      </c>
      <c r="D2465" t="s">
        <v>58</v>
      </c>
      <c r="E2465" t="s">
        <v>2952</v>
      </c>
      <c r="F2465" t="s">
        <v>5638</v>
      </c>
      <c r="G2465">
        <v>25000</v>
      </c>
      <c r="H2465">
        <v>1976</v>
      </c>
      <c r="I2465" t="s">
        <v>5634</v>
      </c>
      <c r="J2465" t="s">
        <v>58</v>
      </c>
      <c r="K2465" t="s">
        <v>58</v>
      </c>
      <c r="L2465" t="s">
        <v>58</v>
      </c>
      <c r="M2465" t="s">
        <v>58</v>
      </c>
      <c r="P2465" t="s">
        <v>61</v>
      </c>
      <c r="Q2465" t="s">
        <v>58</v>
      </c>
      <c r="R2465" s="11" t="str">
        <f>HYPERLINK("\\imagefiles.bcgov\imagery\scanned_maps\moe_terrain_maps\Scanned_T_maps_all\R07\R07-1552","\\imagefiles.bcgov\imagery\scanned_maps\moe_terrain_maps\Scanned_T_maps_all\R07\R07-1552")</f>
        <v>\\imagefiles.bcgov\imagery\scanned_maps\moe_terrain_maps\Scanned_T_maps_all\R07\R07-1552</v>
      </c>
      <c r="S2465" t="s">
        <v>62</v>
      </c>
      <c r="T2465" s="11" t="str">
        <f>HYPERLINK("http://www.env.gov.bc.ca/esd/distdata/ecosystems/TEI_Scanned_Maps/R07/R07-1552","http://www.env.gov.bc.ca/esd/distdata/ecosystems/TEI_Scanned_Maps/R07/R07-1552")</f>
        <v>http://www.env.gov.bc.ca/esd/distdata/ecosystems/TEI_Scanned_Maps/R07/R07-1552</v>
      </c>
      <c r="U2465" t="s">
        <v>269</v>
      </c>
      <c r="V2465" s="11" t="str">
        <f t="shared" si="158"/>
        <v>http://www.library.for.gov.bc.ca/#focus</v>
      </c>
      <c r="W2465" t="s">
        <v>3053</v>
      </c>
      <c r="X2465" s="11" t="str">
        <f t="shared" si="159"/>
        <v>http://www.prsss.ca/</v>
      </c>
      <c r="Y2465" t="s">
        <v>58</v>
      </c>
      <c r="Z2465" t="s">
        <v>58</v>
      </c>
      <c r="AA2465" t="s">
        <v>58</v>
      </c>
      <c r="AC2465" t="s">
        <v>58</v>
      </c>
      <c r="AE2465" t="s">
        <v>58</v>
      </c>
      <c r="AG2465" t="s">
        <v>63</v>
      </c>
      <c r="AH2465" s="11" t="str">
        <f t="shared" si="157"/>
        <v>mailto: soilterrain@victoria1.gov.bc.ca</v>
      </c>
    </row>
    <row r="2466" spans="1:34">
      <c r="A2466" t="s">
        <v>5639</v>
      </c>
      <c r="B2466" t="s">
        <v>56</v>
      </c>
      <c r="C2466" s="10" t="s">
        <v>5506</v>
      </c>
      <c r="D2466" t="s">
        <v>58</v>
      </c>
      <c r="E2466" t="s">
        <v>2952</v>
      </c>
      <c r="F2466" t="s">
        <v>5640</v>
      </c>
      <c r="G2466">
        <v>25000</v>
      </c>
      <c r="H2466">
        <v>1976</v>
      </c>
      <c r="I2466" t="s">
        <v>5634</v>
      </c>
      <c r="J2466" t="s">
        <v>58</v>
      </c>
      <c r="K2466" t="s">
        <v>58</v>
      </c>
      <c r="L2466" t="s">
        <v>58</v>
      </c>
      <c r="M2466" t="s">
        <v>58</v>
      </c>
      <c r="P2466" t="s">
        <v>61</v>
      </c>
      <c r="Q2466" t="s">
        <v>58</v>
      </c>
      <c r="R2466" s="11" t="str">
        <f>HYPERLINK("\\imagefiles.bcgov\imagery\scanned_maps\moe_terrain_maps\Scanned_T_maps_all\R07\R07-1557","\\imagefiles.bcgov\imagery\scanned_maps\moe_terrain_maps\Scanned_T_maps_all\R07\R07-1557")</f>
        <v>\\imagefiles.bcgov\imagery\scanned_maps\moe_terrain_maps\Scanned_T_maps_all\R07\R07-1557</v>
      </c>
      <c r="S2466" t="s">
        <v>62</v>
      </c>
      <c r="T2466" s="11" t="str">
        <f>HYPERLINK("http://www.env.gov.bc.ca/esd/distdata/ecosystems/TEI_Scanned_Maps/R07/R07-1557","http://www.env.gov.bc.ca/esd/distdata/ecosystems/TEI_Scanned_Maps/R07/R07-1557")</f>
        <v>http://www.env.gov.bc.ca/esd/distdata/ecosystems/TEI_Scanned_Maps/R07/R07-1557</v>
      </c>
      <c r="U2466" t="s">
        <v>269</v>
      </c>
      <c r="V2466" s="11" t="str">
        <f t="shared" si="158"/>
        <v>http://www.library.for.gov.bc.ca/#focus</v>
      </c>
      <c r="W2466" t="s">
        <v>3053</v>
      </c>
      <c r="X2466" s="11" t="str">
        <f t="shared" si="159"/>
        <v>http://www.prsss.ca/</v>
      </c>
      <c r="Y2466" t="s">
        <v>58</v>
      </c>
      <c r="Z2466" t="s">
        <v>58</v>
      </c>
      <c r="AA2466" t="s">
        <v>58</v>
      </c>
      <c r="AC2466" t="s">
        <v>58</v>
      </c>
      <c r="AE2466" t="s">
        <v>58</v>
      </c>
      <c r="AG2466" t="s">
        <v>63</v>
      </c>
      <c r="AH2466" s="11" t="str">
        <f t="shared" si="157"/>
        <v>mailto: soilterrain@victoria1.gov.bc.ca</v>
      </c>
    </row>
    <row r="2467" spans="1:34">
      <c r="A2467" t="s">
        <v>5641</v>
      </c>
      <c r="B2467" t="s">
        <v>56</v>
      </c>
      <c r="C2467" s="10" t="s">
        <v>5509</v>
      </c>
      <c r="D2467" t="s">
        <v>58</v>
      </c>
      <c r="E2467" t="s">
        <v>2952</v>
      </c>
      <c r="F2467" t="s">
        <v>5642</v>
      </c>
      <c r="G2467">
        <v>25000</v>
      </c>
      <c r="H2467">
        <v>1976</v>
      </c>
      <c r="I2467" t="s">
        <v>5634</v>
      </c>
      <c r="J2467" t="s">
        <v>58</v>
      </c>
      <c r="K2467" t="s">
        <v>58</v>
      </c>
      <c r="L2467" t="s">
        <v>58</v>
      </c>
      <c r="M2467" t="s">
        <v>58</v>
      </c>
      <c r="P2467" t="s">
        <v>61</v>
      </c>
      <c r="Q2467" t="s">
        <v>58</v>
      </c>
      <c r="R2467" s="11" t="str">
        <f>HYPERLINK("\\imagefiles.bcgov\imagery\scanned_maps\moe_terrain_maps\Scanned_T_maps_all\R07\R07-1562","\\imagefiles.bcgov\imagery\scanned_maps\moe_terrain_maps\Scanned_T_maps_all\R07\R07-1562")</f>
        <v>\\imagefiles.bcgov\imagery\scanned_maps\moe_terrain_maps\Scanned_T_maps_all\R07\R07-1562</v>
      </c>
      <c r="S2467" t="s">
        <v>62</v>
      </c>
      <c r="T2467" s="11" t="str">
        <f>HYPERLINK("http://www.env.gov.bc.ca/esd/distdata/ecosystems/TEI_Scanned_Maps/R07/R07-1562","http://www.env.gov.bc.ca/esd/distdata/ecosystems/TEI_Scanned_Maps/R07/R07-1562")</f>
        <v>http://www.env.gov.bc.ca/esd/distdata/ecosystems/TEI_Scanned_Maps/R07/R07-1562</v>
      </c>
      <c r="U2467" t="s">
        <v>269</v>
      </c>
      <c r="V2467" s="11" t="str">
        <f t="shared" si="158"/>
        <v>http://www.library.for.gov.bc.ca/#focus</v>
      </c>
      <c r="W2467" t="s">
        <v>3053</v>
      </c>
      <c r="X2467" s="11" t="str">
        <f t="shared" si="159"/>
        <v>http://www.prsss.ca/</v>
      </c>
      <c r="Y2467" t="s">
        <v>58</v>
      </c>
      <c r="Z2467" t="s">
        <v>58</v>
      </c>
      <c r="AA2467" t="s">
        <v>58</v>
      </c>
      <c r="AC2467" t="s">
        <v>58</v>
      </c>
      <c r="AE2467" t="s">
        <v>58</v>
      </c>
      <c r="AG2467" t="s">
        <v>63</v>
      </c>
      <c r="AH2467" s="11" t="str">
        <f t="shared" si="157"/>
        <v>mailto: soilterrain@victoria1.gov.bc.ca</v>
      </c>
    </row>
    <row r="2468" spans="1:34">
      <c r="A2468" t="s">
        <v>5643</v>
      </c>
      <c r="B2468" t="s">
        <v>56</v>
      </c>
      <c r="C2468" s="10" t="s">
        <v>5512</v>
      </c>
      <c r="D2468" t="s">
        <v>58</v>
      </c>
      <c r="E2468" t="s">
        <v>2952</v>
      </c>
      <c r="F2468" t="s">
        <v>5644</v>
      </c>
      <c r="G2468">
        <v>25000</v>
      </c>
      <c r="H2468">
        <v>1971</v>
      </c>
      <c r="I2468" t="s">
        <v>5634</v>
      </c>
      <c r="J2468" t="s">
        <v>58</v>
      </c>
      <c r="K2468" t="s">
        <v>58</v>
      </c>
      <c r="L2468" t="s">
        <v>58</v>
      </c>
      <c r="M2468" t="s">
        <v>58</v>
      </c>
      <c r="P2468" t="s">
        <v>61</v>
      </c>
      <c r="Q2468" t="s">
        <v>58</v>
      </c>
      <c r="R2468" s="11" t="str">
        <f>HYPERLINK("\\imagefiles.bcgov\imagery\scanned_maps\moe_terrain_maps\Scanned_T_maps_all\R07\R07-1567","\\imagefiles.bcgov\imagery\scanned_maps\moe_terrain_maps\Scanned_T_maps_all\R07\R07-1567")</f>
        <v>\\imagefiles.bcgov\imagery\scanned_maps\moe_terrain_maps\Scanned_T_maps_all\R07\R07-1567</v>
      </c>
      <c r="S2468" t="s">
        <v>62</v>
      </c>
      <c r="T2468" s="11" t="str">
        <f>HYPERLINK("http://www.env.gov.bc.ca/esd/distdata/ecosystems/TEI_Scanned_Maps/R07/R07-1567","http://www.env.gov.bc.ca/esd/distdata/ecosystems/TEI_Scanned_Maps/R07/R07-1567")</f>
        <v>http://www.env.gov.bc.ca/esd/distdata/ecosystems/TEI_Scanned_Maps/R07/R07-1567</v>
      </c>
      <c r="U2468" t="s">
        <v>269</v>
      </c>
      <c r="V2468" s="11" t="str">
        <f t="shared" si="158"/>
        <v>http://www.library.for.gov.bc.ca/#focus</v>
      </c>
      <c r="W2468" t="s">
        <v>3053</v>
      </c>
      <c r="X2468" s="11" t="str">
        <f t="shared" si="159"/>
        <v>http://www.prsss.ca/</v>
      </c>
      <c r="Y2468" t="s">
        <v>58</v>
      </c>
      <c r="Z2468" t="s">
        <v>58</v>
      </c>
      <c r="AA2468" t="s">
        <v>58</v>
      </c>
      <c r="AC2468" t="s">
        <v>58</v>
      </c>
      <c r="AE2468" t="s">
        <v>58</v>
      </c>
      <c r="AG2468" t="s">
        <v>63</v>
      </c>
      <c r="AH2468" s="11" t="str">
        <f t="shared" si="157"/>
        <v>mailto: soilterrain@victoria1.gov.bc.ca</v>
      </c>
    </row>
    <row r="2469" spans="1:34">
      <c r="A2469" t="s">
        <v>5645</v>
      </c>
      <c r="B2469" t="s">
        <v>56</v>
      </c>
      <c r="C2469" s="10" t="s">
        <v>5434</v>
      </c>
      <c r="D2469" t="s">
        <v>61</v>
      </c>
      <c r="E2469" t="s">
        <v>2952</v>
      </c>
      <c r="F2469" t="s">
        <v>5646</v>
      </c>
      <c r="G2469">
        <v>20000</v>
      </c>
      <c r="H2469">
        <v>1987</v>
      </c>
      <c r="I2469" t="s">
        <v>58</v>
      </c>
      <c r="J2469" t="s">
        <v>58</v>
      </c>
      <c r="K2469" t="s">
        <v>58</v>
      </c>
      <c r="L2469" t="s">
        <v>58</v>
      </c>
      <c r="M2469" t="s">
        <v>58</v>
      </c>
      <c r="P2469" t="s">
        <v>61</v>
      </c>
      <c r="Q2469" t="s">
        <v>58</v>
      </c>
      <c r="R2469" s="11" t="str">
        <f>HYPERLINK("\\imagefiles.bcgov\imagery\scanned_maps\moe_terrain_maps\Scanned_T_maps_all\R08\R08-659","\\imagefiles.bcgov\imagery\scanned_maps\moe_terrain_maps\Scanned_T_maps_all\R08\R08-659")</f>
        <v>\\imagefiles.bcgov\imagery\scanned_maps\moe_terrain_maps\Scanned_T_maps_all\R08\R08-659</v>
      </c>
      <c r="S2469" t="s">
        <v>62</v>
      </c>
      <c r="T2469" s="11" t="str">
        <f>HYPERLINK("http://www.env.gov.bc.ca/esd/distdata/ecosystems/TEI_Scanned_Maps/R08/R08-659","http://www.env.gov.bc.ca/esd/distdata/ecosystems/TEI_Scanned_Maps/R08/R08-659")</f>
        <v>http://www.env.gov.bc.ca/esd/distdata/ecosystems/TEI_Scanned_Maps/R08/R08-659</v>
      </c>
      <c r="U2469" t="s">
        <v>58</v>
      </c>
      <c r="V2469" t="s">
        <v>58</v>
      </c>
      <c r="W2469" t="s">
        <v>58</v>
      </c>
      <c r="X2469" t="s">
        <v>58</v>
      </c>
      <c r="Y2469" t="s">
        <v>58</v>
      </c>
      <c r="Z2469" t="s">
        <v>58</v>
      </c>
      <c r="AA2469" t="s">
        <v>58</v>
      </c>
      <c r="AC2469" t="s">
        <v>58</v>
      </c>
      <c r="AE2469" t="s">
        <v>58</v>
      </c>
      <c r="AG2469" t="s">
        <v>63</v>
      </c>
      <c r="AH2469" s="11" t="str">
        <f t="shared" si="157"/>
        <v>mailto: soilterrain@victoria1.gov.bc.ca</v>
      </c>
    </row>
    <row r="2470" spans="1:34">
      <c r="A2470" t="s">
        <v>5647</v>
      </c>
      <c r="B2470" t="s">
        <v>56</v>
      </c>
      <c r="C2470" s="10" t="s">
        <v>5436</v>
      </c>
      <c r="D2470" t="s">
        <v>61</v>
      </c>
      <c r="E2470" t="s">
        <v>2952</v>
      </c>
      <c r="F2470" t="s">
        <v>5646</v>
      </c>
      <c r="G2470">
        <v>20000</v>
      </c>
      <c r="H2470">
        <v>1987</v>
      </c>
      <c r="I2470" t="s">
        <v>58</v>
      </c>
      <c r="J2470" t="s">
        <v>58</v>
      </c>
      <c r="K2470" t="s">
        <v>58</v>
      </c>
      <c r="L2470" t="s">
        <v>58</v>
      </c>
      <c r="M2470" t="s">
        <v>58</v>
      </c>
      <c r="P2470" t="s">
        <v>61</v>
      </c>
      <c r="Q2470" t="s">
        <v>58</v>
      </c>
      <c r="R2470" s="11" t="str">
        <f>HYPERLINK("\\imagefiles.bcgov\imagery\scanned_maps\moe_terrain_maps\Scanned_T_maps_all\R08\R08-666","\\imagefiles.bcgov\imagery\scanned_maps\moe_terrain_maps\Scanned_T_maps_all\R08\R08-666")</f>
        <v>\\imagefiles.bcgov\imagery\scanned_maps\moe_terrain_maps\Scanned_T_maps_all\R08\R08-666</v>
      </c>
      <c r="S2470" t="s">
        <v>62</v>
      </c>
      <c r="T2470" s="11" t="str">
        <f>HYPERLINK("http://www.env.gov.bc.ca/esd/distdata/ecosystems/TEI_Scanned_Maps/R08/R08-666","http://www.env.gov.bc.ca/esd/distdata/ecosystems/TEI_Scanned_Maps/R08/R08-666")</f>
        <v>http://www.env.gov.bc.ca/esd/distdata/ecosystems/TEI_Scanned_Maps/R08/R08-666</v>
      </c>
      <c r="U2470" t="s">
        <v>58</v>
      </c>
      <c r="V2470" t="s">
        <v>58</v>
      </c>
      <c r="W2470" t="s">
        <v>58</v>
      </c>
      <c r="X2470" t="s">
        <v>58</v>
      </c>
      <c r="Y2470" t="s">
        <v>58</v>
      </c>
      <c r="Z2470" t="s">
        <v>58</v>
      </c>
      <c r="AA2470" t="s">
        <v>58</v>
      </c>
      <c r="AC2470" t="s">
        <v>58</v>
      </c>
      <c r="AE2470" t="s">
        <v>58</v>
      </c>
      <c r="AG2470" t="s">
        <v>63</v>
      </c>
      <c r="AH2470" s="11" t="str">
        <f t="shared" si="157"/>
        <v>mailto: soilterrain@victoria1.gov.bc.ca</v>
      </c>
    </row>
    <row r="2471" spans="1:34">
      <c r="A2471" t="s">
        <v>5648</v>
      </c>
      <c r="B2471" t="s">
        <v>56</v>
      </c>
      <c r="C2471" s="10" t="s">
        <v>5438</v>
      </c>
      <c r="D2471" t="s">
        <v>61</v>
      </c>
      <c r="E2471" t="s">
        <v>2952</v>
      </c>
      <c r="F2471" t="s">
        <v>5646</v>
      </c>
      <c r="G2471">
        <v>20000</v>
      </c>
      <c r="H2471">
        <v>1987</v>
      </c>
      <c r="I2471" t="s">
        <v>58</v>
      </c>
      <c r="J2471" t="s">
        <v>58</v>
      </c>
      <c r="K2471" t="s">
        <v>58</v>
      </c>
      <c r="L2471" t="s">
        <v>58</v>
      </c>
      <c r="M2471" t="s">
        <v>58</v>
      </c>
      <c r="P2471" t="s">
        <v>61</v>
      </c>
      <c r="Q2471" t="s">
        <v>58</v>
      </c>
      <c r="R2471" s="11" t="str">
        <f>HYPERLINK("\\imagefiles.bcgov\imagery\scanned_maps\moe_terrain_maps\Scanned_T_maps_all\R08\R08-673","\\imagefiles.bcgov\imagery\scanned_maps\moe_terrain_maps\Scanned_T_maps_all\R08\R08-673")</f>
        <v>\\imagefiles.bcgov\imagery\scanned_maps\moe_terrain_maps\Scanned_T_maps_all\R08\R08-673</v>
      </c>
      <c r="S2471" t="s">
        <v>62</v>
      </c>
      <c r="T2471" s="11" t="str">
        <f>HYPERLINK("http://www.env.gov.bc.ca/esd/distdata/ecosystems/TEI_Scanned_Maps/R08/R08-673","http://www.env.gov.bc.ca/esd/distdata/ecosystems/TEI_Scanned_Maps/R08/R08-673")</f>
        <v>http://www.env.gov.bc.ca/esd/distdata/ecosystems/TEI_Scanned_Maps/R08/R08-673</v>
      </c>
      <c r="U2471" t="s">
        <v>58</v>
      </c>
      <c r="V2471" t="s">
        <v>58</v>
      </c>
      <c r="W2471" t="s">
        <v>58</v>
      </c>
      <c r="X2471" t="s">
        <v>58</v>
      </c>
      <c r="Y2471" t="s">
        <v>58</v>
      </c>
      <c r="Z2471" t="s">
        <v>58</v>
      </c>
      <c r="AA2471" t="s">
        <v>58</v>
      </c>
      <c r="AC2471" t="s">
        <v>58</v>
      </c>
      <c r="AE2471" t="s">
        <v>58</v>
      </c>
      <c r="AG2471" t="s">
        <v>63</v>
      </c>
      <c r="AH2471" s="11" t="str">
        <f t="shared" si="157"/>
        <v>mailto: soilterrain@victoria1.gov.bc.ca</v>
      </c>
    </row>
    <row r="2472" spans="1:34">
      <c r="A2472" t="s">
        <v>5649</v>
      </c>
      <c r="B2472" t="s">
        <v>56</v>
      </c>
      <c r="C2472" s="10" t="s">
        <v>5350</v>
      </c>
      <c r="D2472" t="s">
        <v>58</v>
      </c>
      <c r="E2472" t="s">
        <v>3063</v>
      </c>
      <c r="F2472" t="s">
        <v>5650</v>
      </c>
      <c r="G2472">
        <v>20000</v>
      </c>
      <c r="H2472">
        <v>1969</v>
      </c>
      <c r="I2472" t="s">
        <v>5651</v>
      </c>
      <c r="J2472" t="s">
        <v>58</v>
      </c>
      <c r="K2472" t="s">
        <v>58</v>
      </c>
      <c r="L2472" t="s">
        <v>61</v>
      </c>
      <c r="M2472" t="s">
        <v>58</v>
      </c>
      <c r="Q2472" t="s">
        <v>58</v>
      </c>
      <c r="R2472" s="11" t="str">
        <f>HYPERLINK("\\imagefiles.bcgov\imagery\scanned_maps\moe_terrain_maps\Scanned_T_maps_all\R11\R11-1174","\\imagefiles.bcgov\imagery\scanned_maps\moe_terrain_maps\Scanned_T_maps_all\R11\R11-1174")</f>
        <v>\\imagefiles.bcgov\imagery\scanned_maps\moe_terrain_maps\Scanned_T_maps_all\R11\R11-1174</v>
      </c>
      <c r="S2472" t="s">
        <v>62</v>
      </c>
      <c r="T2472" s="11" t="str">
        <f>HYPERLINK("http://www.env.gov.bc.ca/esd/distdata/ecosystems/TEI_Scanned_Maps/R11/R11-1174","http://www.env.gov.bc.ca/esd/distdata/ecosystems/TEI_Scanned_Maps/R11/R11-1174")</f>
        <v>http://www.env.gov.bc.ca/esd/distdata/ecosystems/TEI_Scanned_Maps/R11/R11-1174</v>
      </c>
      <c r="U2472" t="s">
        <v>3353</v>
      </c>
      <c r="V2472" s="11" t="str">
        <f>HYPERLINK("http://www.env.gov.bc.ca/esd/distdata/ecosystems/Soil_Data/CAPAMP/","http://www.env.gov.bc.ca/esd/distdata/ecosystems/Soil_Data/CAPAMP/")</f>
        <v>http://www.env.gov.bc.ca/esd/distdata/ecosystems/Soil_Data/CAPAMP/</v>
      </c>
      <c r="W2472" t="s">
        <v>269</v>
      </c>
      <c r="X2472" s="11" t="str">
        <f>HYPERLINK("http://www.library.for.gov.bc.ca/#focus","http://www.library.for.gov.bc.ca/#focus")</f>
        <v>http://www.library.for.gov.bc.ca/#focus</v>
      </c>
      <c r="Y2472" t="s">
        <v>58</v>
      </c>
      <c r="Z2472" t="s">
        <v>58</v>
      </c>
      <c r="AA2472" t="s">
        <v>58</v>
      </c>
      <c r="AC2472" t="s">
        <v>58</v>
      </c>
      <c r="AE2472" t="s">
        <v>58</v>
      </c>
      <c r="AG2472" t="s">
        <v>63</v>
      </c>
      <c r="AH2472" s="11" t="str">
        <f t="shared" si="157"/>
        <v>mailto: soilterrain@victoria1.gov.bc.ca</v>
      </c>
    </row>
    <row r="2473" spans="1:34">
      <c r="A2473" t="s">
        <v>5652</v>
      </c>
      <c r="B2473" t="s">
        <v>56</v>
      </c>
      <c r="C2473" s="10" t="s">
        <v>5352</v>
      </c>
      <c r="D2473" t="s">
        <v>58</v>
      </c>
      <c r="E2473" t="s">
        <v>3063</v>
      </c>
      <c r="F2473" t="s">
        <v>5653</v>
      </c>
      <c r="G2473">
        <v>20000</v>
      </c>
      <c r="H2473">
        <v>1972</v>
      </c>
      <c r="I2473" t="s">
        <v>5654</v>
      </c>
      <c r="J2473" t="s">
        <v>58</v>
      </c>
      <c r="K2473" t="s">
        <v>58</v>
      </c>
      <c r="L2473" t="s">
        <v>61</v>
      </c>
      <c r="M2473" t="s">
        <v>58</v>
      </c>
      <c r="Q2473" t="s">
        <v>58</v>
      </c>
      <c r="R2473" s="11" t="str">
        <f>HYPERLINK("\\imagefiles.bcgov\imagery\scanned_maps\moe_terrain_maps\Scanned_T_maps_all\R11\R11-1182","\\imagefiles.bcgov\imagery\scanned_maps\moe_terrain_maps\Scanned_T_maps_all\R11\R11-1182")</f>
        <v>\\imagefiles.bcgov\imagery\scanned_maps\moe_terrain_maps\Scanned_T_maps_all\R11\R11-1182</v>
      </c>
      <c r="S2473" t="s">
        <v>62</v>
      </c>
      <c r="T2473" s="11" t="str">
        <f>HYPERLINK("http://www.env.gov.bc.ca/esd/distdata/ecosystems/TEI_Scanned_Maps/R11/R11-1182","http://www.env.gov.bc.ca/esd/distdata/ecosystems/TEI_Scanned_Maps/R11/R11-1182")</f>
        <v>http://www.env.gov.bc.ca/esd/distdata/ecosystems/TEI_Scanned_Maps/R11/R11-1182</v>
      </c>
      <c r="U2473" t="s">
        <v>3353</v>
      </c>
      <c r="V2473" s="11" t="str">
        <f>HYPERLINK("http://www.env.gov.bc.ca/esd/distdata/ecosystems/Soil_Data/CAPAMP/","http://www.env.gov.bc.ca/esd/distdata/ecosystems/Soil_Data/CAPAMP/")</f>
        <v>http://www.env.gov.bc.ca/esd/distdata/ecosystems/Soil_Data/CAPAMP/</v>
      </c>
      <c r="W2473" t="s">
        <v>269</v>
      </c>
      <c r="X2473" s="11" t="str">
        <f>HYPERLINK("http://www.library.for.gov.bc.ca/#focus","http://www.library.for.gov.bc.ca/#focus")</f>
        <v>http://www.library.for.gov.bc.ca/#focus</v>
      </c>
      <c r="Y2473" t="s">
        <v>58</v>
      </c>
      <c r="Z2473" t="s">
        <v>58</v>
      </c>
      <c r="AA2473" t="s">
        <v>58</v>
      </c>
      <c r="AC2473" t="s">
        <v>58</v>
      </c>
      <c r="AE2473" t="s">
        <v>58</v>
      </c>
      <c r="AG2473" t="s">
        <v>63</v>
      </c>
      <c r="AH2473" s="11" t="str">
        <f t="shared" si="157"/>
        <v>mailto: soilterrain@victoria1.gov.bc.ca</v>
      </c>
    </row>
    <row r="2474" spans="1:34">
      <c r="A2474" t="s">
        <v>5655</v>
      </c>
      <c r="B2474" t="s">
        <v>56</v>
      </c>
      <c r="C2474" s="10" t="s">
        <v>1878</v>
      </c>
      <c r="D2474" t="s">
        <v>58</v>
      </c>
      <c r="E2474" t="s">
        <v>4176</v>
      </c>
      <c r="F2474" t="s">
        <v>5656</v>
      </c>
      <c r="G2474">
        <v>100000</v>
      </c>
      <c r="H2474">
        <v>1975</v>
      </c>
      <c r="I2474" t="s">
        <v>58</v>
      </c>
      <c r="J2474" t="s">
        <v>58</v>
      </c>
      <c r="K2474" t="s">
        <v>58</v>
      </c>
      <c r="L2474" t="s">
        <v>58</v>
      </c>
      <c r="M2474" t="s">
        <v>58</v>
      </c>
      <c r="O2474" t="s">
        <v>61</v>
      </c>
      <c r="Q2474" t="s">
        <v>58</v>
      </c>
      <c r="R2474" s="11" t="str">
        <f>HYPERLINK("\\imagefiles.bcgov\imagery\scanned_maps\moe_terrain_maps\Scanned_T_maps_all\R12\R12-1338","\\imagefiles.bcgov\imagery\scanned_maps\moe_terrain_maps\Scanned_T_maps_all\R12\R12-1338")</f>
        <v>\\imagefiles.bcgov\imagery\scanned_maps\moe_terrain_maps\Scanned_T_maps_all\R12\R12-1338</v>
      </c>
      <c r="S2474" t="s">
        <v>62</v>
      </c>
      <c r="T2474" s="11" t="str">
        <f>HYPERLINK("http://www.env.gov.bc.ca/esd/distdata/ecosystems/TEI_Scanned_Maps/R12/R12-1338","http://www.env.gov.bc.ca/esd/distdata/ecosystems/TEI_Scanned_Maps/R12/R12-1338")</f>
        <v>http://www.env.gov.bc.ca/esd/distdata/ecosystems/TEI_Scanned_Maps/R12/R12-1338</v>
      </c>
      <c r="U2474" t="s">
        <v>58</v>
      </c>
      <c r="V2474" t="s">
        <v>58</v>
      </c>
      <c r="W2474" t="s">
        <v>58</v>
      </c>
      <c r="X2474" t="s">
        <v>58</v>
      </c>
      <c r="Y2474" t="s">
        <v>58</v>
      </c>
      <c r="Z2474" t="s">
        <v>58</v>
      </c>
      <c r="AA2474" t="s">
        <v>58</v>
      </c>
      <c r="AC2474" t="s">
        <v>58</v>
      </c>
      <c r="AE2474" t="s">
        <v>58</v>
      </c>
      <c r="AG2474" t="s">
        <v>63</v>
      </c>
      <c r="AH2474" s="11" t="str">
        <f t="shared" si="157"/>
        <v>mailto: soilterrain@victoria1.gov.bc.ca</v>
      </c>
    </row>
    <row r="2475" spans="1:34">
      <c r="A2475" t="s">
        <v>5657</v>
      </c>
      <c r="B2475" t="s">
        <v>56</v>
      </c>
      <c r="C2475" s="10" t="s">
        <v>1881</v>
      </c>
      <c r="D2475" t="s">
        <v>58</v>
      </c>
      <c r="E2475" t="s">
        <v>4176</v>
      </c>
      <c r="F2475" t="s">
        <v>5658</v>
      </c>
      <c r="G2475">
        <v>100000</v>
      </c>
      <c r="H2475">
        <v>1975</v>
      </c>
      <c r="I2475" t="s">
        <v>58</v>
      </c>
      <c r="J2475" t="s">
        <v>58</v>
      </c>
      <c r="K2475" t="s">
        <v>58</v>
      </c>
      <c r="L2475" t="s">
        <v>58</v>
      </c>
      <c r="M2475" t="s">
        <v>58</v>
      </c>
      <c r="O2475" t="s">
        <v>61</v>
      </c>
      <c r="Q2475" t="s">
        <v>58</v>
      </c>
      <c r="R2475" s="11" t="str">
        <f>HYPERLINK("\\imagefiles.bcgov\imagery\scanned_maps\moe_terrain_maps\Scanned_T_maps_all\R12\R12-1345","\\imagefiles.bcgov\imagery\scanned_maps\moe_terrain_maps\Scanned_T_maps_all\R12\R12-1345")</f>
        <v>\\imagefiles.bcgov\imagery\scanned_maps\moe_terrain_maps\Scanned_T_maps_all\R12\R12-1345</v>
      </c>
      <c r="S2475" t="s">
        <v>62</v>
      </c>
      <c r="T2475" s="11" t="str">
        <f>HYPERLINK("http://www.env.gov.bc.ca/esd/distdata/ecosystems/TEI_Scanned_Maps/R12/R12-1345","http://www.env.gov.bc.ca/esd/distdata/ecosystems/TEI_Scanned_Maps/R12/R12-1345")</f>
        <v>http://www.env.gov.bc.ca/esd/distdata/ecosystems/TEI_Scanned_Maps/R12/R12-1345</v>
      </c>
      <c r="U2475" t="s">
        <v>58</v>
      </c>
      <c r="V2475" t="s">
        <v>58</v>
      </c>
      <c r="W2475" t="s">
        <v>58</v>
      </c>
      <c r="X2475" t="s">
        <v>58</v>
      </c>
      <c r="Y2475" t="s">
        <v>58</v>
      </c>
      <c r="Z2475" t="s">
        <v>58</v>
      </c>
      <c r="AA2475" t="s">
        <v>58</v>
      </c>
      <c r="AC2475" t="s">
        <v>58</v>
      </c>
      <c r="AE2475" t="s">
        <v>58</v>
      </c>
      <c r="AG2475" t="s">
        <v>63</v>
      </c>
      <c r="AH2475" s="11" t="str">
        <f t="shared" si="157"/>
        <v>mailto: soilterrain@victoria1.gov.bc.ca</v>
      </c>
    </row>
    <row r="2476" spans="1:34">
      <c r="A2476" t="s">
        <v>5659</v>
      </c>
      <c r="B2476" t="s">
        <v>56</v>
      </c>
      <c r="C2476" s="10" t="s">
        <v>1884</v>
      </c>
      <c r="D2476" t="s">
        <v>58</v>
      </c>
      <c r="E2476" t="s">
        <v>4176</v>
      </c>
      <c r="F2476" t="s">
        <v>5660</v>
      </c>
      <c r="G2476">
        <v>100000</v>
      </c>
      <c r="H2476">
        <v>1975</v>
      </c>
      <c r="I2476" t="s">
        <v>58</v>
      </c>
      <c r="J2476" t="s">
        <v>58</v>
      </c>
      <c r="K2476" t="s">
        <v>58</v>
      </c>
      <c r="L2476" t="s">
        <v>58</v>
      </c>
      <c r="M2476" t="s">
        <v>58</v>
      </c>
      <c r="O2476" t="s">
        <v>61</v>
      </c>
      <c r="Q2476" t="s">
        <v>58</v>
      </c>
      <c r="R2476" s="11" t="str">
        <f>HYPERLINK("\\imagefiles.bcgov\imagery\scanned_maps\moe_terrain_maps\Scanned_T_maps_all\R12\R12-1353","\\imagefiles.bcgov\imagery\scanned_maps\moe_terrain_maps\Scanned_T_maps_all\R12\R12-1353")</f>
        <v>\\imagefiles.bcgov\imagery\scanned_maps\moe_terrain_maps\Scanned_T_maps_all\R12\R12-1353</v>
      </c>
      <c r="S2476" t="s">
        <v>62</v>
      </c>
      <c r="T2476" s="11" t="str">
        <f>HYPERLINK("http://www.env.gov.bc.ca/esd/distdata/ecosystems/TEI_Scanned_Maps/R12/R12-1353","http://www.env.gov.bc.ca/esd/distdata/ecosystems/TEI_Scanned_Maps/R12/R12-1353")</f>
        <v>http://www.env.gov.bc.ca/esd/distdata/ecosystems/TEI_Scanned_Maps/R12/R12-1353</v>
      </c>
      <c r="U2476" t="s">
        <v>58</v>
      </c>
      <c r="V2476" t="s">
        <v>58</v>
      </c>
      <c r="W2476" t="s">
        <v>58</v>
      </c>
      <c r="X2476" t="s">
        <v>58</v>
      </c>
      <c r="Y2476" t="s">
        <v>58</v>
      </c>
      <c r="Z2476" t="s">
        <v>58</v>
      </c>
      <c r="AA2476" t="s">
        <v>58</v>
      </c>
      <c r="AC2476" t="s">
        <v>58</v>
      </c>
      <c r="AE2476" t="s">
        <v>58</v>
      </c>
      <c r="AG2476" t="s">
        <v>63</v>
      </c>
      <c r="AH2476" s="11" t="str">
        <f t="shared" si="157"/>
        <v>mailto: soilterrain@victoria1.gov.bc.ca</v>
      </c>
    </row>
    <row r="2477" spans="1:34">
      <c r="A2477" t="s">
        <v>5661</v>
      </c>
      <c r="B2477" t="s">
        <v>56</v>
      </c>
      <c r="C2477" s="10" t="s">
        <v>3077</v>
      </c>
      <c r="D2477" t="s">
        <v>58</v>
      </c>
      <c r="E2477" t="s">
        <v>4176</v>
      </c>
      <c r="F2477" t="s">
        <v>5662</v>
      </c>
      <c r="G2477">
        <v>100000</v>
      </c>
      <c r="H2477">
        <v>1971</v>
      </c>
      <c r="I2477" t="s">
        <v>58</v>
      </c>
      <c r="J2477" t="s">
        <v>58</v>
      </c>
      <c r="K2477" t="s">
        <v>58</v>
      </c>
      <c r="L2477" t="s">
        <v>58</v>
      </c>
      <c r="M2477" t="s">
        <v>58</v>
      </c>
      <c r="O2477" t="s">
        <v>61</v>
      </c>
      <c r="Q2477" t="s">
        <v>58</v>
      </c>
      <c r="R2477" s="11" t="str">
        <f>HYPERLINK("\\imagefiles.bcgov\imagery\scanned_maps\moe_terrain_maps\Scanned_T_maps_all\R12\R12-1359","\\imagefiles.bcgov\imagery\scanned_maps\moe_terrain_maps\Scanned_T_maps_all\R12\R12-1359")</f>
        <v>\\imagefiles.bcgov\imagery\scanned_maps\moe_terrain_maps\Scanned_T_maps_all\R12\R12-1359</v>
      </c>
      <c r="S2477" t="s">
        <v>62</v>
      </c>
      <c r="T2477" s="11" t="str">
        <f>HYPERLINK("http://www.env.gov.bc.ca/esd/distdata/ecosystems/TEI_Scanned_Maps/R12/R12-1359","http://www.env.gov.bc.ca/esd/distdata/ecosystems/TEI_Scanned_Maps/R12/R12-1359")</f>
        <v>http://www.env.gov.bc.ca/esd/distdata/ecosystems/TEI_Scanned_Maps/R12/R12-1359</v>
      </c>
      <c r="U2477" t="s">
        <v>58</v>
      </c>
      <c r="V2477" t="s">
        <v>58</v>
      </c>
      <c r="W2477" t="s">
        <v>58</v>
      </c>
      <c r="X2477" t="s">
        <v>58</v>
      </c>
      <c r="Y2477" t="s">
        <v>58</v>
      </c>
      <c r="Z2477" t="s">
        <v>58</v>
      </c>
      <c r="AA2477" t="s">
        <v>58</v>
      </c>
      <c r="AC2477" t="s">
        <v>58</v>
      </c>
      <c r="AE2477" t="s">
        <v>58</v>
      </c>
      <c r="AG2477" t="s">
        <v>63</v>
      </c>
      <c r="AH2477" s="11" t="str">
        <f t="shared" si="157"/>
        <v>mailto: soilterrain@victoria1.gov.bc.ca</v>
      </c>
    </row>
    <row r="2478" spans="1:34">
      <c r="A2478" t="s">
        <v>5663</v>
      </c>
      <c r="B2478" t="s">
        <v>56</v>
      </c>
      <c r="C2478" s="10" t="s">
        <v>5352</v>
      </c>
      <c r="D2478" t="s">
        <v>58</v>
      </c>
      <c r="E2478" t="s">
        <v>2952</v>
      </c>
      <c r="F2478" t="s">
        <v>5613</v>
      </c>
      <c r="G2478">
        <v>20000</v>
      </c>
      <c r="H2478">
        <v>1984</v>
      </c>
      <c r="I2478" t="s">
        <v>58</v>
      </c>
      <c r="J2478" t="s">
        <v>58</v>
      </c>
      <c r="K2478" t="s">
        <v>58</v>
      </c>
      <c r="L2478" t="s">
        <v>58</v>
      </c>
      <c r="M2478" t="s">
        <v>58</v>
      </c>
      <c r="P2478" t="s">
        <v>61</v>
      </c>
      <c r="Q2478" t="s">
        <v>58</v>
      </c>
      <c r="R2478" s="11" t="str">
        <f>HYPERLINK("\\imagefiles.bcgov\imagery\scanned_maps\moe_terrain_maps\Scanned_T_maps_all\R04\R04-1183","\\imagefiles.bcgov\imagery\scanned_maps\moe_terrain_maps\Scanned_T_maps_all\R04\R04-1183")</f>
        <v>\\imagefiles.bcgov\imagery\scanned_maps\moe_terrain_maps\Scanned_T_maps_all\R04\R04-1183</v>
      </c>
      <c r="S2478" t="s">
        <v>62</v>
      </c>
      <c r="T2478" s="11" t="str">
        <f>HYPERLINK("http://www.env.gov.bc.ca/esd/distdata/ecosystems/TEI_Scanned_Maps/R04/R04-1183","http://www.env.gov.bc.ca/esd/distdata/ecosystems/TEI_Scanned_Maps/R04/R04-1183")</f>
        <v>http://www.env.gov.bc.ca/esd/distdata/ecosystems/TEI_Scanned_Maps/R04/R04-1183</v>
      </c>
      <c r="U2478" t="s">
        <v>58</v>
      </c>
      <c r="V2478" t="s">
        <v>58</v>
      </c>
      <c r="W2478" t="s">
        <v>58</v>
      </c>
      <c r="X2478" t="s">
        <v>58</v>
      </c>
      <c r="Y2478" t="s">
        <v>58</v>
      </c>
      <c r="Z2478" t="s">
        <v>58</v>
      </c>
      <c r="AA2478" t="s">
        <v>58</v>
      </c>
      <c r="AC2478" t="s">
        <v>58</v>
      </c>
      <c r="AE2478" t="s">
        <v>58</v>
      </c>
      <c r="AG2478" t="s">
        <v>63</v>
      </c>
      <c r="AH2478" s="11" t="str">
        <f t="shared" si="157"/>
        <v>mailto: soilterrain@victoria1.gov.bc.ca</v>
      </c>
    </row>
    <row r="2479" spans="1:34">
      <c r="A2479" t="s">
        <v>5664</v>
      </c>
      <c r="B2479" t="s">
        <v>56</v>
      </c>
      <c r="C2479" s="10" t="s">
        <v>5354</v>
      </c>
      <c r="D2479" t="s">
        <v>58</v>
      </c>
      <c r="E2479" t="s">
        <v>2952</v>
      </c>
      <c r="F2479" t="s">
        <v>5613</v>
      </c>
      <c r="G2479">
        <v>20000</v>
      </c>
      <c r="H2479">
        <v>1988</v>
      </c>
      <c r="I2479" t="s">
        <v>58</v>
      </c>
      <c r="J2479" t="s">
        <v>58</v>
      </c>
      <c r="K2479" t="s">
        <v>58</v>
      </c>
      <c r="L2479" t="s">
        <v>58</v>
      </c>
      <c r="M2479" t="s">
        <v>58</v>
      </c>
      <c r="P2479" t="s">
        <v>61</v>
      </c>
      <c r="Q2479" t="s">
        <v>58</v>
      </c>
      <c r="R2479" s="11" t="str">
        <f>HYPERLINK("\\imagefiles.bcgov\imagery\scanned_maps\moe_terrain_maps\Scanned_T_maps_all\R04\R04-1191","\\imagefiles.bcgov\imagery\scanned_maps\moe_terrain_maps\Scanned_T_maps_all\R04\R04-1191")</f>
        <v>\\imagefiles.bcgov\imagery\scanned_maps\moe_terrain_maps\Scanned_T_maps_all\R04\R04-1191</v>
      </c>
      <c r="S2479" t="s">
        <v>62</v>
      </c>
      <c r="T2479" s="11" t="str">
        <f>HYPERLINK("http://www.env.gov.bc.ca/esd/distdata/ecosystems/TEI_Scanned_Maps/R04/R04-1191","http://www.env.gov.bc.ca/esd/distdata/ecosystems/TEI_Scanned_Maps/R04/R04-1191")</f>
        <v>http://www.env.gov.bc.ca/esd/distdata/ecosystems/TEI_Scanned_Maps/R04/R04-1191</v>
      </c>
      <c r="U2479" t="s">
        <v>58</v>
      </c>
      <c r="V2479" t="s">
        <v>58</v>
      </c>
      <c r="W2479" t="s">
        <v>58</v>
      </c>
      <c r="X2479" t="s">
        <v>58</v>
      </c>
      <c r="Y2479" t="s">
        <v>58</v>
      </c>
      <c r="Z2479" t="s">
        <v>58</v>
      </c>
      <c r="AA2479" t="s">
        <v>58</v>
      </c>
      <c r="AC2479" t="s">
        <v>58</v>
      </c>
      <c r="AE2479" t="s">
        <v>58</v>
      </c>
      <c r="AG2479" t="s">
        <v>63</v>
      </c>
      <c r="AH2479" s="11" t="str">
        <f t="shared" si="157"/>
        <v>mailto: soilterrain@victoria1.gov.bc.ca</v>
      </c>
    </row>
    <row r="2480" spans="1:34">
      <c r="A2480" t="s">
        <v>5665</v>
      </c>
      <c r="B2480" t="s">
        <v>56</v>
      </c>
      <c r="C2480" s="10" t="s">
        <v>5356</v>
      </c>
      <c r="D2480" t="s">
        <v>58</v>
      </c>
      <c r="E2480" t="s">
        <v>2952</v>
      </c>
      <c r="F2480" t="s">
        <v>5613</v>
      </c>
      <c r="G2480">
        <v>20000</v>
      </c>
      <c r="H2480">
        <v>1988</v>
      </c>
      <c r="I2480" t="s">
        <v>58</v>
      </c>
      <c r="J2480" t="s">
        <v>58</v>
      </c>
      <c r="K2480" t="s">
        <v>58</v>
      </c>
      <c r="L2480" t="s">
        <v>58</v>
      </c>
      <c r="M2480" t="s">
        <v>58</v>
      </c>
      <c r="P2480" t="s">
        <v>61</v>
      </c>
      <c r="Q2480" t="s">
        <v>58</v>
      </c>
      <c r="R2480" s="11" t="str">
        <f>HYPERLINK("\\imagefiles.bcgov\imagery\scanned_maps\moe_terrain_maps\Scanned_T_maps_all\R04\R04-1199","\\imagefiles.bcgov\imagery\scanned_maps\moe_terrain_maps\Scanned_T_maps_all\R04\R04-1199")</f>
        <v>\\imagefiles.bcgov\imagery\scanned_maps\moe_terrain_maps\Scanned_T_maps_all\R04\R04-1199</v>
      </c>
      <c r="S2480" t="s">
        <v>62</v>
      </c>
      <c r="T2480" s="11" t="str">
        <f>HYPERLINK("http://www.env.gov.bc.ca/esd/distdata/ecosystems/TEI_Scanned_Maps/R04/R04-1199","http://www.env.gov.bc.ca/esd/distdata/ecosystems/TEI_Scanned_Maps/R04/R04-1199")</f>
        <v>http://www.env.gov.bc.ca/esd/distdata/ecosystems/TEI_Scanned_Maps/R04/R04-1199</v>
      </c>
      <c r="U2480" t="s">
        <v>58</v>
      </c>
      <c r="V2480" t="s">
        <v>58</v>
      </c>
      <c r="W2480" t="s">
        <v>58</v>
      </c>
      <c r="X2480" t="s">
        <v>58</v>
      </c>
      <c r="Y2480" t="s">
        <v>58</v>
      </c>
      <c r="Z2480" t="s">
        <v>58</v>
      </c>
      <c r="AA2480" t="s">
        <v>58</v>
      </c>
      <c r="AC2480" t="s">
        <v>58</v>
      </c>
      <c r="AE2480" t="s">
        <v>58</v>
      </c>
      <c r="AG2480" t="s">
        <v>63</v>
      </c>
      <c r="AH2480" s="11" t="str">
        <f t="shared" si="157"/>
        <v>mailto: soilterrain@victoria1.gov.bc.ca</v>
      </c>
    </row>
    <row r="2481" spans="1:34">
      <c r="A2481" t="s">
        <v>5666</v>
      </c>
      <c r="B2481" t="s">
        <v>56</v>
      </c>
      <c r="C2481" s="10" t="s">
        <v>5358</v>
      </c>
      <c r="D2481" t="s">
        <v>58</v>
      </c>
      <c r="E2481" t="s">
        <v>2952</v>
      </c>
      <c r="F2481" t="s">
        <v>5613</v>
      </c>
      <c r="G2481">
        <v>20000</v>
      </c>
      <c r="H2481">
        <v>1986</v>
      </c>
      <c r="I2481" t="s">
        <v>58</v>
      </c>
      <c r="J2481" t="s">
        <v>58</v>
      </c>
      <c r="K2481" t="s">
        <v>58</v>
      </c>
      <c r="L2481" t="s">
        <v>58</v>
      </c>
      <c r="M2481" t="s">
        <v>58</v>
      </c>
      <c r="P2481" t="s">
        <v>61</v>
      </c>
      <c r="Q2481" t="s">
        <v>58</v>
      </c>
      <c r="R2481" s="11" t="str">
        <f>HYPERLINK("\\imagefiles.bcgov\imagery\scanned_maps\moe_terrain_maps\Scanned_T_maps_all\R04\R04-1207","\\imagefiles.bcgov\imagery\scanned_maps\moe_terrain_maps\Scanned_T_maps_all\R04\R04-1207")</f>
        <v>\\imagefiles.bcgov\imagery\scanned_maps\moe_terrain_maps\Scanned_T_maps_all\R04\R04-1207</v>
      </c>
      <c r="S2481" t="s">
        <v>62</v>
      </c>
      <c r="T2481" s="11" t="str">
        <f>HYPERLINK("http://www.env.gov.bc.ca/esd/distdata/ecosystems/TEI_Scanned_Maps/R04/R04-1207","http://www.env.gov.bc.ca/esd/distdata/ecosystems/TEI_Scanned_Maps/R04/R04-1207")</f>
        <v>http://www.env.gov.bc.ca/esd/distdata/ecosystems/TEI_Scanned_Maps/R04/R04-1207</v>
      </c>
      <c r="U2481" t="s">
        <v>58</v>
      </c>
      <c r="V2481" t="s">
        <v>58</v>
      </c>
      <c r="W2481" t="s">
        <v>58</v>
      </c>
      <c r="X2481" t="s">
        <v>58</v>
      </c>
      <c r="Y2481" t="s">
        <v>58</v>
      </c>
      <c r="Z2481" t="s">
        <v>58</v>
      </c>
      <c r="AA2481" t="s">
        <v>58</v>
      </c>
      <c r="AC2481" t="s">
        <v>58</v>
      </c>
      <c r="AE2481" t="s">
        <v>58</v>
      </c>
      <c r="AG2481" t="s">
        <v>63</v>
      </c>
      <c r="AH2481" s="11" t="str">
        <f t="shared" si="157"/>
        <v>mailto: soilterrain@victoria1.gov.bc.ca</v>
      </c>
    </row>
    <row r="2482" spans="1:34">
      <c r="A2482" t="s">
        <v>5667</v>
      </c>
      <c r="B2482" t="s">
        <v>56</v>
      </c>
      <c r="C2482" s="10" t="s">
        <v>5360</v>
      </c>
      <c r="D2482" t="s">
        <v>58</v>
      </c>
      <c r="E2482" t="s">
        <v>2952</v>
      </c>
      <c r="F2482" t="s">
        <v>5613</v>
      </c>
      <c r="G2482">
        <v>20000</v>
      </c>
      <c r="H2482">
        <v>1986</v>
      </c>
      <c r="I2482" t="s">
        <v>58</v>
      </c>
      <c r="J2482" t="s">
        <v>58</v>
      </c>
      <c r="K2482" t="s">
        <v>58</v>
      </c>
      <c r="L2482" t="s">
        <v>58</v>
      </c>
      <c r="M2482" t="s">
        <v>58</v>
      </c>
      <c r="P2482" t="s">
        <v>61</v>
      </c>
      <c r="Q2482" t="s">
        <v>58</v>
      </c>
      <c r="R2482" s="11" t="str">
        <f>HYPERLINK("\\imagefiles.bcgov\imagery\scanned_maps\moe_terrain_maps\Scanned_T_maps_all\R04\R04-1215","\\imagefiles.bcgov\imagery\scanned_maps\moe_terrain_maps\Scanned_T_maps_all\R04\R04-1215")</f>
        <v>\\imagefiles.bcgov\imagery\scanned_maps\moe_terrain_maps\Scanned_T_maps_all\R04\R04-1215</v>
      </c>
      <c r="S2482" t="s">
        <v>62</v>
      </c>
      <c r="T2482" s="11" t="str">
        <f>HYPERLINK("http://www.env.gov.bc.ca/esd/distdata/ecosystems/TEI_Scanned_Maps/R04/R04-1215","http://www.env.gov.bc.ca/esd/distdata/ecosystems/TEI_Scanned_Maps/R04/R04-1215")</f>
        <v>http://www.env.gov.bc.ca/esd/distdata/ecosystems/TEI_Scanned_Maps/R04/R04-1215</v>
      </c>
      <c r="U2482" t="s">
        <v>58</v>
      </c>
      <c r="V2482" t="s">
        <v>58</v>
      </c>
      <c r="W2482" t="s">
        <v>58</v>
      </c>
      <c r="X2482" t="s">
        <v>58</v>
      </c>
      <c r="Y2482" t="s">
        <v>58</v>
      </c>
      <c r="Z2482" t="s">
        <v>58</v>
      </c>
      <c r="AA2482" t="s">
        <v>58</v>
      </c>
      <c r="AC2482" t="s">
        <v>58</v>
      </c>
      <c r="AE2482" t="s">
        <v>58</v>
      </c>
      <c r="AG2482" t="s">
        <v>63</v>
      </c>
      <c r="AH2482" s="11" t="str">
        <f t="shared" si="157"/>
        <v>mailto: soilterrain@victoria1.gov.bc.ca</v>
      </c>
    </row>
    <row r="2483" spans="1:34">
      <c r="A2483" t="s">
        <v>5668</v>
      </c>
      <c r="B2483" t="s">
        <v>56</v>
      </c>
      <c r="C2483" s="10" t="s">
        <v>5362</v>
      </c>
      <c r="D2483" t="s">
        <v>58</v>
      </c>
      <c r="E2483" t="s">
        <v>2952</v>
      </c>
      <c r="F2483" t="s">
        <v>5669</v>
      </c>
      <c r="G2483">
        <v>20000</v>
      </c>
      <c r="H2483">
        <v>1986</v>
      </c>
      <c r="I2483" t="s">
        <v>58</v>
      </c>
      <c r="J2483" t="s">
        <v>58</v>
      </c>
      <c r="K2483" t="s">
        <v>58</v>
      </c>
      <c r="L2483" t="s">
        <v>58</v>
      </c>
      <c r="M2483" t="s">
        <v>58</v>
      </c>
      <c r="P2483" t="s">
        <v>61</v>
      </c>
      <c r="Q2483" t="s">
        <v>58</v>
      </c>
      <c r="R2483" s="11" t="str">
        <f>HYPERLINK("\\imagefiles.bcgov\imagery\scanned_maps\moe_terrain_maps\Scanned_T_maps_all\R04\R04-1223","\\imagefiles.bcgov\imagery\scanned_maps\moe_terrain_maps\Scanned_T_maps_all\R04\R04-1223")</f>
        <v>\\imagefiles.bcgov\imagery\scanned_maps\moe_terrain_maps\Scanned_T_maps_all\R04\R04-1223</v>
      </c>
      <c r="S2483" t="s">
        <v>62</v>
      </c>
      <c r="T2483" s="11" t="str">
        <f>HYPERLINK("http://www.env.gov.bc.ca/esd/distdata/ecosystems/TEI_Scanned_Maps/R04/R04-1223","http://www.env.gov.bc.ca/esd/distdata/ecosystems/TEI_Scanned_Maps/R04/R04-1223")</f>
        <v>http://www.env.gov.bc.ca/esd/distdata/ecosystems/TEI_Scanned_Maps/R04/R04-1223</v>
      </c>
      <c r="U2483" t="s">
        <v>58</v>
      </c>
      <c r="V2483" t="s">
        <v>58</v>
      </c>
      <c r="W2483" t="s">
        <v>58</v>
      </c>
      <c r="X2483" t="s">
        <v>58</v>
      </c>
      <c r="Y2483" t="s">
        <v>58</v>
      </c>
      <c r="Z2483" t="s">
        <v>58</v>
      </c>
      <c r="AA2483" t="s">
        <v>58</v>
      </c>
      <c r="AC2483" t="s">
        <v>58</v>
      </c>
      <c r="AE2483" t="s">
        <v>58</v>
      </c>
      <c r="AG2483" t="s">
        <v>63</v>
      </c>
      <c r="AH2483" s="11" t="str">
        <f t="shared" si="157"/>
        <v>mailto: soilterrain@victoria1.gov.bc.ca</v>
      </c>
    </row>
    <row r="2484" spans="1:34">
      <c r="A2484" t="s">
        <v>5670</v>
      </c>
      <c r="B2484" t="s">
        <v>56</v>
      </c>
      <c r="C2484" s="10" t="s">
        <v>5589</v>
      </c>
      <c r="D2484" t="s">
        <v>58</v>
      </c>
      <c r="E2484" t="s">
        <v>2952</v>
      </c>
      <c r="F2484" t="s">
        <v>5669</v>
      </c>
      <c r="G2484">
        <v>20000</v>
      </c>
      <c r="H2484">
        <v>1986</v>
      </c>
      <c r="I2484" t="s">
        <v>58</v>
      </c>
      <c r="J2484" t="s">
        <v>58</v>
      </c>
      <c r="K2484" t="s">
        <v>58</v>
      </c>
      <c r="L2484" t="s">
        <v>58</v>
      </c>
      <c r="M2484" t="s">
        <v>58</v>
      </c>
      <c r="P2484" t="s">
        <v>61</v>
      </c>
      <c r="Q2484" t="s">
        <v>58</v>
      </c>
      <c r="R2484" s="11" t="str">
        <f>HYPERLINK("\\imagefiles.bcgov\imagery\scanned_maps\moe_terrain_maps\Scanned_T_maps_all\R04\R04-1229","\\imagefiles.bcgov\imagery\scanned_maps\moe_terrain_maps\Scanned_T_maps_all\R04\R04-1229")</f>
        <v>\\imagefiles.bcgov\imagery\scanned_maps\moe_terrain_maps\Scanned_T_maps_all\R04\R04-1229</v>
      </c>
      <c r="S2484" t="s">
        <v>62</v>
      </c>
      <c r="T2484" s="11" t="str">
        <f>HYPERLINK("http://www.env.gov.bc.ca/esd/distdata/ecosystems/TEI_Scanned_Maps/R04/R04-1229","http://www.env.gov.bc.ca/esd/distdata/ecosystems/TEI_Scanned_Maps/R04/R04-1229")</f>
        <v>http://www.env.gov.bc.ca/esd/distdata/ecosystems/TEI_Scanned_Maps/R04/R04-1229</v>
      </c>
      <c r="U2484" t="s">
        <v>58</v>
      </c>
      <c r="V2484" t="s">
        <v>58</v>
      </c>
      <c r="W2484" t="s">
        <v>58</v>
      </c>
      <c r="X2484" t="s">
        <v>58</v>
      </c>
      <c r="Y2484" t="s">
        <v>58</v>
      </c>
      <c r="Z2484" t="s">
        <v>58</v>
      </c>
      <c r="AA2484" t="s">
        <v>58</v>
      </c>
      <c r="AC2484" t="s">
        <v>58</v>
      </c>
      <c r="AE2484" t="s">
        <v>58</v>
      </c>
      <c r="AG2484" t="s">
        <v>63</v>
      </c>
      <c r="AH2484" s="11" t="str">
        <f t="shared" si="157"/>
        <v>mailto: soilterrain@victoria1.gov.bc.ca</v>
      </c>
    </row>
    <row r="2485" spans="1:34">
      <c r="A2485" t="s">
        <v>5671</v>
      </c>
      <c r="B2485" t="s">
        <v>56</v>
      </c>
      <c r="C2485" s="10" t="s">
        <v>5365</v>
      </c>
      <c r="D2485" t="s">
        <v>58</v>
      </c>
      <c r="E2485" t="s">
        <v>2952</v>
      </c>
      <c r="F2485" t="s">
        <v>5613</v>
      </c>
      <c r="G2485">
        <v>20000</v>
      </c>
      <c r="H2485">
        <v>1986</v>
      </c>
      <c r="I2485" t="s">
        <v>58</v>
      </c>
      <c r="J2485" t="s">
        <v>58</v>
      </c>
      <c r="K2485" t="s">
        <v>58</v>
      </c>
      <c r="L2485" t="s">
        <v>58</v>
      </c>
      <c r="M2485" t="s">
        <v>58</v>
      </c>
      <c r="P2485" t="s">
        <v>61</v>
      </c>
      <c r="Q2485" t="s">
        <v>58</v>
      </c>
      <c r="R2485" s="11" t="str">
        <f>HYPERLINK("\\imagefiles.bcgov\imagery\scanned_maps\moe_terrain_maps\Scanned_T_maps_all\R04\R04-1237","\\imagefiles.bcgov\imagery\scanned_maps\moe_terrain_maps\Scanned_T_maps_all\R04\R04-1237")</f>
        <v>\\imagefiles.bcgov\imagery\scanned_maps\moe_terrain_maps\Scanned_T_maps_all\R04\R04-1237</v>
      </c>
      <c r="S2485" t="s">
        <v>62</v>
      </c>
      <c r="T2485" s="11" t="str">
        <f>HYPERLINK("http://www.env.gov.bc.ca/esd/distdata/ecosystems/TEI_Scanned_Maps/R04/R04-1237","http://www.env.gov.bc.ca/esd/distdata/ecosystems/TEI_Scanned_Maps/R04/R04-1237")</f>
        <v>http://www.env.gov.bc.ca/esd/distdata/ecosystems/TEI_Scanned_Maps/R04/R04-1237</v>
      </c>
      <c r="U2485" t="s">
        <v>58</v>
      </c>
      <c r="V2485" t="s">
        <v>58</v>
      </c>
      <c r="W2485" t="s">
        <v>58</v>
      </c>
      <c r="X2485" t="s">
        <v>58</v>
      </c>
      <c r="Y2485" t="s">
        <v>58</v>
      </c>
      <c r="Z2485" t="s">
        <v>58</v>
      </c>
      <c r="AA2485" t="s">
        <v>58</v>
      </c>
      <c r="AC2485" t="s">
        <v>58</v>
      </c>
      <c r="AE2485" t="s">
        <v>58</v>
      </c>
      <c r="AG2485" t="s">
        <v>63</v>
      </c>
      <c r="AH2485" s="11" t="str">
        <f t="shared" si="157"/>
        <v>mailto: soilterrain@victoria1.gov.bc.ca</v>
      </c>
    </row>
    <row r="2486" spans="1:34">
      <c r="A2486" t="s">
        <v>5672</v>
      </c>
      <c r="B2486" t="s">
        <v>56</v>
      </c>
      <c r="C2486" s="10" t="s">
        <v>5367</v>
      </c>
      <c r="D2486" t="s">
        <v>58</v>
      </c>
      <c r="E2486" t="s">
        <v>2952</v>
      </c>
      <c r="F2486" t="s">
        <v>5613</v>
      </c>
      <c r="G2486">
        <v>20000</v>
      </c>
      <c r="H2486">
        <v>1986</v>
      </c>
      <c r="I2486" t="s">
        <v>58</v>
      </c>
      <c r="J2486" t="s">
        <v>58</v>
      </c>
      <c r="K2486" t="s">
        <v>58</v>
      </c>
      <c r="L2486" t="s">
        <v>58</v>
      </c>
      <c r="M2486" t="s">
        <v>58</v>
      </c>
      <c r="P2486" t="s">
        <v>61</v>
      </c>
      <c r="Q2486" t="s">
        <v>58</v>
      </c>
      <c r="R2486" s="11" t="str">
        <f>HYPERLINK("\\imagefiles.bcgov\imagery\scanned_maps\moe_terrain_maps\Scanned_T_maps_all\R04\R04-1245","\\imagefiles.bcgov\imagery\scanned_maps\moe_terrain_maps\Scanned_T_maps_all\R04\R04-1245")</f>
        <v>\\imagefiles.bcgov\imagery\scanned_maps\moe_terrain_maps\Scanned_T_maps_all\R04\R04-1245</v>
      </c>
      <c r="S2486" t="s">
        <v>62</v>
      </c>
      <c r="T2486" s="11" t="str">
        <f>HYPERLINK("http://www.env.gov.bc.ca/esd/distdata/ecosystems/TEI_Scanned_Maps/R04/R04-1245","http://www.env.gov.bc.ca/esd/distdata/ecosystems/TEI_Scanned_Maps/R04/R04-1245")</f>
        <v>http://www.env.gov.bc.ca/esd/distdata/ecosystems/TEI_Scanned_Maps/R04/R04-1245</v>
      </c>
      <c r="U2486" t="s">
        <v>58</v>
      </c>
      <c r="V2486" t="s">
        <v>58</v>
      </c>
      <c r="W2486" t="s">
        <v>58</v>
      </c>
      <c r="X2486" t="s">
        <v>58</v>
      </c>
      <c r="Y2486" t="s">
        <v>58</v>
      </c>
      <c r="Z2486" t="s">
        <v>58</v>
      </c>
      <c r="AA2486" t="s">
        <v>58</v>
      </c>
      <c r="AC2486" t="s">
        <v>58</v>
      </c>
      <c r="AE2486" t="s">
        <v>58</v>
      </c>
      <c r="AG2486" t="s">
        <v>63</v>
      </c>
      <c r="AH2486" s="11" t="str">
        <f t="shared" si="157"/>
        <v>mailto: soilterrain@victoria1.gov.bc.ca</v>
      </c>
    </row>
    <row r="2487" spans="1:34">
      <c r="A2487" t="s">
        <v>5673</v>
      </c>
      <c r="B2487" t="s">
        <v>56</v>
      </c>
      <c r="C2487" s="10" t="s">
        <v>5369</v>
      </c>
      <c r="D2487" t="s">
        <v>58</v>
      </c>
      <c r="E2487" t="s">
        <v>2952</v>
      </c>
      <c r="F2487" t="s">
        <v>5674</v>
      </c>
      <c r="G2487">
        <v>20000</v>
      </c>
      <c r="H2487">
        <v>1986</v>
      </c>
      <c r="I2487" t="s">
        <v>58</v>
      </c>
      <c r="J2487" t="s">
        <v>58</v>
      </c>
      <c r="K2487" t="s">
        <v>58</v>
      </c>
      <c r="L2487" t="s">
        <v>58</v>
      </c>
      <c r="M2487" t="s">
        <v>58</v>
      </c>
      <c r="P2487" t="s">
        <v>61</v>
      </c>
      <c r="Q2487" t="s">
        <v>58</v>
      </c>
      <c r="R2487" s="11" t="str">
        <f>HYPERLINK("\\imagefiles.bcgov\imagery\scanned_maps\moe_terrain_maps\Scanned_T_maps_all\R04\R04-1253","\\imagefiles.bcgov\imagery\scanned_maps\moe_terrain_maps\Scanned_T_maps_all\R04\R04-1253")</f>
        <v>\\imagefiles.bcgov\imagery\scanned_maps\moe_terrain_maps\Scanned_T_maps_all\R04\R04-1253</v>
      </c>
      <c r="S2487" t="s">
        <v>62</v>
      </c>
      <c r="T2487" s="11" t="str">
        <f>HYPERLINK("http://www.env.gov.bc.ca/esd/distdata/ecosystems/TEI_Scanned_Maps/R04/R04-1253","http://www.env.gov.bc.ca/esd/distdata/ecosystems/TEI_Scanned_Maps/R04/R04-1253")</f>
        <v>http://www.env.gov.bc.ca/esd/distdata/ecosystems/TEI_Scanned_Maps/R04/R04-1253</v>
      </c>
      <c r="U2487" t="s">
        <v>58</v>
      </c>
      <c r="V2487" t="s">
        <v>58</v>
      </c>
      <c r="W2487" t="s">
        <v>58</v>
      </c>
      <c r="X2487" t="s">
        <v>58</v>
      </c>
      <c r="Y2487" t="s">
        <v>58</v>
      </c>
      <c r="Z2487" t="s">
        <v>58</v>
      </c>
      <c r="AA2487" t="s">
        <v>58</v>
      </c>
      <c r="AC2487" t="s">
        <v>58</v>
      </c>
      <c r="AE2487" t="s">
        <v>58</v>
      </c>
      <c r="AG2487" t="s">
        <v>63</v>
      </c>
      <c r="AH2487" s="11" t="str">
        <f t="shared" si="157"/>
        <v>mailto: soilterrain@victoria1.gov.bc.ca</v>
      </c>
    </row>
    <row r="2488" spans="1:34">
      <c r="A2488" t="s">
        <v>5675</v>
      </c>
      <c r="B2488" t="s">
        <v>56</v>
      </c>
      <c r="C2488" s="10" t="s">
        <v>5372</v>
      </c>
      <c r="D2488" t="s">
        <v>58</v>
      </c>
      <c r="E2488" t="s">
        <v>2952</v>
      </c>
      <c r="F2488" t="s">
        <v>5613</v>
      </c>
      <c r="G2488">
        <v>20000</v>
      </c>
      <c r="H2488">
        <v>1988</v>
      </c>
      <c r="I2488" t="s">
        <v>58</v>
      </c>
      <c r="J2488" t="s">
        <v>58</v>
      </c>
      <c r="K2488" t="s">
        <v>58</v>
      </c>
      <c r="L2488" t="s">
        <v>58</v>
      </c>
      <c r="M2488" t="s">
        <v>58</v>
      </c>
      <c r="P2488" t="s">
        <v>61</v>
      </c>
      <c r="Q2488" t="s">
        <v>58</v>
      </c>
      <c r="R2488" s="11" t="str">
        <f>HYPERLINK("\\imagefiles.bcgov\imagery\scanned_maps\moe_terrain_maps\Scanned_T_maps_all\R04\R04-1261","\\imagefiles.bcgov\imagery\scanned_maps\moe_terrain_maps\Scanned_T_maps_all\R04\R04-1261")</f>
        <v>\\imagefiles.bcgov\imagery\scanned_maps\moe_terrain_maps\Scanned_T_maps_all\R04\R04-1261</v>
      </c>
      <c r="S2488" t="s">
        <v>62</v>
      </c>
      <c r="T2488" s="11" t="str">
        <f>HYPERLINK("http://www.env.gov.bc.ca/esd/distdata/ecosystems/TEI_Scanned_Maps/R04/R04-1261","http://www.env.gov.bc.ca/esd/distdata/ecosystems/TEI_Scanned_Maps/R04/R04-1261")</f>
        <v>http://www.env.gov.bc.ca/esd/distdata/ecosystems/TEI_Scanned_Maps/R04/R04-1261</v>
      </c>
      <c r="U2488" t="s">
        <v>58</v>
      </c>
      <c r="V2488" t="s">
        <v>58</v>
      </c>
      <c r="W2488" t="s">
        <v>58</v>
      </c>
      <c r="X2488" t="s">
        <v>58</v>
      </c>
      <c r="Y2488" t="s">
        <v>58</v>
      </c>
      <c r="Z2488" t="s">
        <v>58</v>
      </c>
      <c r="AA2488" t="s">
        <v>58</v>
      </c>
      <c r="AC2488" t="s">
        <v>58</v>
      </c>
      <c r="AE2488" t="s">
        <v>58</v>
      </c>
      <c r="AG2488" t="s">
        <v>63</v>
      </c>
      <c r="AH2488" s="11" t="str">
        <f t="shared" si="157"/>
        <v>mailto: soilterrain@victoria1.gov.bc.ca</v>
      </c>
    </row>
    <row r="2489" spans="1:34">
      <c r="A2489" t="s">
        <v>5676</v>
      </c>
      <c r="B2489" t="s">
        <v>56</v>
      </c>
      <c r="C2489" s="10" t="s">
        <v>5033</v>
      </c>
      <c r="D2489" t="s">
        <v>58</v>
      </c>
      <c r="E2489" t="s">
        <v>2952</v>
      </c>
      <c r="F2489" t="s">
        <v>5669</v>
      </c>
      <c r="G2489">
        <v>20000</v>
      </c>
      <c r="H2489">
        <v>1988</v>
      </c>
      <c r="I2489" t="s">
        <v>58</v>
      </c>
      <c r="J2489" t="s">
        <v>58</v>
      </c>
      <c r="K2489" t="s">
        <v>58</v>
      </c>
      <c r="L2489" t="s">
        <v>58</v>
      </c>
      <c r="M2489" t="s">
        <v>58</v>
      </c>
      <c r="P2489" t="s">
        <v>61</v>
      </c>
      <c r="Q2489" t="s">
        <v>58</v>
      </c>
      <c r="R2489" s="11" t="str">
        <f>HYPERLINK("\\imagefiles.bcgov\imagery\scanned_maps\moe_terrain_maps\Scanned_T_maps_all\R04\R04-1269","\\imagefiles.bcgov\imagery\scanned_maps\moe_terrain_maps\Scanned_T_maps_all\R04\R04-1269")</f>
        <v>\\imagefiles.bcgov\imagery\scanned_maps\moe_terrain_maps\Scanned_T_maps_all\R04\R04-1269</v>
      </c>
      <c r="S2489" t="s">
        <v>62</v>
      </c>
      <c r="T2489" s="11" t="str">
        <f>HYPERLINK("http://www.env.gov.bc.ca/esd/distdata/ecosystems/TEI_Scanned_Maps/R04/R04-1269","http://www.env.gov.bc.ca/esd/distdata/ecosystems/TEI_Scanned_Maps/R04/R04-1269")</f>
        <v>http://www.env.gov.bc.ca/esd/distdata/ecosystems/TEI_Scanned_Maps/R04/R04-1269</v>
      </c>
      <c r="U2489" t="s">
        <v>58</v>
      </c>
      <c r="V2489" t="s">
        <v>58</v>
      </c>
      <c r="W2489" t="s">
        <v>58</v>
      </c>
      <c r="X2489" t="s">
        <v>58</v>
      </c>
      <c r="Y2489" t="s">
        <v>58</v>
      </c>
      <c r="Z2489" t="s">
        <v>58</v>
      </c>
      <c r="AA2489" t="s">
        <v>58</v>
      </c>
      <c r="AC2489" t="s">
        <v>58</v>
      </c>
      <c r="AE2489" t="s">
        <v>58</v>
      </c>
      <c r="AG2489" t="s">
        <v>63</v>
      </c>
      <c r="AH2489" s="11" t="str">
        <f t="shared" si="157"/>
        <v>mailto: soilterrain@victoria1.gov.bc.ca</v>
      </c>
    </row>
    <row r="2490" spans="1:34">
      <c r="A2490" t="s">
        <v>5677</v>
      </c>
      <c r="B2490" t="s">
        <v>56</v>
      </c>
      <c r="C2490" s="10" t="s">
        <v>5375</v>
      </c>
      <c r="D2490" t="s">
        <v>58</v>
      </c>
      <c r="E2490" t="s">
        <v>2952</v>
      </c>
      <c r="F2490" t="s">
        <v>5613</v>
      </c>
      <c r="G2490">
        <v>20000</v>
      </c>
      <c r="H2490">
        <v>1988</v>
      </c>
      <c r="I2490" t="s">
        <v>58</v>
      </c>
      <c r="J2490" t="s">
        <v>58</v>
      </c>
      <c r="K2490" t="s">
        <v>58</v>
      </c>
      <c r="L2490" t="s">
        <v>58</v>
      </c>
      <c r="M2490" t="s">
        <v>58</v>
      </c>
      <c r="P2490" t="s">
        <v>61</v>
      </c>
      <c r="Q2490" t="s">
        <v>58</v>
      </c>
      <c r="R2490" s="11" t="str">
        <f>HYPERLINK("\\imagefiles.bcgov\imagery\scanned_maps\moe_terrain_maps\Scanned_T_maps_all\R04\R04-1277","\\imagefiles.bcgov\imagery\scanned_maps\moe_terrain_maps\Scanned_T_maps_all\R04\R04-1277")</f>
        <v>\\imagefiles.bcgov\imagery\scanned_maps\moe_terrain_maps\Scanned_T_maps_all\R04\R04-1277</v>
      </c>
      <c r="S2490" t="s">
        <v>62</v>
      </c>
      <c r="T2490" s="11" t="str">
        <f>HYPERLINK("http://www.env.gov.bc.ca/esd/distdata/ecosystems/TEI_Scanned_Maps/R04/R04-1277","http://www.env.gov.bc.ca/esd/distdata/ecosystems/TEI_Scanned_Maps/R04/R04-1277")</f>
        <v>http://www.env.gov.bc.ca/esd/distdata/ecosystems/TEI_Scanned_Maps/R04/R04-1277</v>
      </c>
      <c r="U2490" t="s">
        <v>58</v>
      </c>
      <c r="V2490" t="s">
        <v>58</v>
      </c>
      <c r="W2490" t="s">
        <v>58</v>
      </c>
      <c r="X2490" t="s">
        <v>58</v>
      </c>
      <c r="Y2490" t="s">
        <v>58</v>
      </c>
      <c r="Z2490" t="s">
        <v>58</v>
      </c>
      <c r="AA2490" t="s">
        <v>58</v>
      </c>
      <c r="AC2490" t="s">
        <v>58</v>
      </c>
      <c r="AE2490" t="s">
        <v>58</v>
      </c>
      <c r="AG2490" t="s">
        <v>63</v>
      </c>
      <c r="AH2490" s="11" t="str">
        <f t="shared" si="157"/>
        <v>mailto: soilterrain@victoria1.gov.bc.ca</v>
      </c>
    </row>
    <row r="2491" spans="1:34">
      <c r="A2491" t="s">
        <v>5678</v>
      </c>
      <c r="B2491" t="s">
        <v>56</v>
      </c>
      <c r="C2491" s="10" t="s">
        <v>5096</v>
      </c>
      <c r="D2491" t="s">
        <v>58</v>
      </c>
      <c r="E2491" t="s">
        <v>2952</v>
      </c>
      <c r="F2491" t="s">
        <v>5669</v>
      </c>
      <c r="G2491">
        <v>20000</v>
      </c>
      <c r="H2491">
        <v>1988</v>
      </c>
      <c r="I2491" t="s">
        <v>58</v>
      </c>
      <c r="J2491" t="s">
        <v>58</v>
      </c>
      <c r="K2491" t="s">
        <v>58</v>
      </c>
      <c r="L2491" t="s">
        <v>58</v>
      </c>
      <c r="M2491" t="s">
        <v>58</v>
      </c>
      <c r="P2491" t="s">
        <v>61</v>
      </c>
      <c r="Q2491" t="s">
        <v>58</v>
      </c>
      <c r="R2491" s="11" t="str">
        <f>HYPERLINK("\\imagefiles.bcgov\imagery\scanned_maps\moe_terrain_maps\Scanned_T_maps_all\R04\R04-1285","\\imagefiles.bcgov\imagery\scanned_maps\moe_terrain_maps\Scanned_T_maps_all\R04\R04-1285")</f>
        <v>\\imagefiles.bcgov\imagery\scanned_maps\moe_terrain_maps\Scanned_T_maps_all\R04\R04-1285</v>
      </c>
      <c r="S2491" t="s">
        <v>62</v>
      </c>
      <c r="T2491" s="11" t="str">
        <f>HYPERLINK("http://www.env.gov.bc.ca/esd/distdata/ecosystems/TEI_Scanned_Maps/R04/R04-1285","http://www.env.gov.bc.ca/esd/distdata/ecosystems/TEI_Scanned_Maps/R04/R04-1285")</f>
        <v>http://www.env.gov.bc.ca/esd/distdata/ecosystems/TEI_Scanned_Maps/R04/R04-1285</v>
      </c>
      <c r="U2491" t="s">
        <v>58</v>
      </c>
      <c r="V2491" t="s">
        <v>58</v>
      </c>
      <c r="W2491" t="s">
        <v>58</v>
      </c>
      <c r="X2491" t="s">
        <v>58</v>
      </c>
      <c r="Y2491" t="s">
        <v>58</v>
      </c>
      <c r="Z2491" t="s">
        <v>58</v>
      </c>
      <c r="AA2491" t="s">
        <v>58</v>
      </c>
      <c r="AC2491" t="s">
        <v>58</v>
      </c>
      <c r="AE2491" t="s">
        <v>58</v>
      </c>
      <c r="AG2491" t="s">
        <v>63</v>
      </c>
      <c r="AH2491" s="11" t="str">
        <f t="shared" si="157"/>
        <v>mailto: soilterrain@victoria1.gov.bc.ca</v>
      </c>
    </row>
    <row r="2492" spans="1:34">
      <c r="A2492" t="s">
        <v>5679</v>
      </c>
      <c r="B2492" t="s">
        <v>56</v>
      </c>
      <c r="C2492" s="10" t="s">
        <v>5378</v>
      </c>
      <c r="D2492" t="s">
        <v>58</v>
      </c>
      <c r="E2492" t="s">
        <v>2952</v>
      </c>
      <c r="F2492" t="s">
        <v>5613</v>
      </c>
      <c r="G2492">
        <v>20000</v>
      </c>
      <c r="H2492">
        <v>1988</v>
      </c>
      <c r="I2492" t="s">
        <v>58</v>
      </c>
      <c r="J2492" t="s">
        <v>58</v>
      </c>
      <c r="K2492" t="s">
        <v>58</v>
      </c>
      <c r="L2492" t="s">
        <v>58</v>
      </c>
      <c r="M2492" t="s">
        <v>58</v>
      </c>
      <c r="P2492" t="s">
        <v>61</v>
      </c>
      <c r="Q2492" t="s">
        <v>58</v>
      </c>
      <c r="R2492" s="11" t="str">
        <f>HYPERLINK("\\imagefiles.bcgov\imagery\scanned_maps\moe_terrain_maps\Scanned_T_maps_all\R04\R04-1293","\\imagefiles.bcgov\imagery\scanned_maps\moe_terrain_maps\Scanned_T_maps_all\R04\R04-1293")</f>
        <v>\\imagefiles.bcgov\imagery\scanned_maps\moe_terrain_maps\Scanned_T_maps_all\R04\R04-1293</v>
      </c>
      <c r="S2492" t="s">
        <v>62</v>
      </c>
      <c r="T2492" s="11" t="str">
        <f>HYPERLINK("http://www.env.gov.bc.ca/esd/distdata/ecosystems/TEI_Scanned_Maps/R04/R04-1293","http://www.env.gov.bc.ca/esd/distdata/ecosystems/TEI_Scanned_Maps/R04/R04-1293")</f>
        <v>http://www.env.gov.bc.ca/esd/distdata/ecosystems/TEI_Scanned_Maps/R04/R04-1293</v>
      </c>
      <c r="U2492" t="s">
        <v>58</v>
      </c>
      <c r="V2492" t="s">
        <v>58</v>
      </c>
      <c r="W2492" t="s">
        <v>58</v>
      </c>
      <c r="X2492" t="s">
        <v>58</v>
      </c>
      <c r="Y2492" t="s">
        <v>58</v>
      </c>
      <c r="Z2492" t="s">
        <v>58</v>
      </c>
      <c r="AA2492" t="s">
        <v>58</v>
      </c>
      <c r="AC2492" t="s">
        <v>58</v>
      </c>
      <c r="AE2492" t="s">
        <v>58</v>
      </c>
      <c r="AG2492" t="s">
        <v>63</v>
      </c>
      <c r="AH2492" s="11" t="str">
        <f t="shared" si="157"/>
        <v>mailto: soilterrain@victoria1.gov.bc.ca</v>
      </c>
    </row>
    <row r="2493" spans="1:34">
      <c r="A2493" t="s">
        <v>5680</v>
      </c>
      <c r="B2493" t="s">
        <v>56</v>
      </c>
      <c r="C2493" s="10" t="s">
        <v>5143</v>
      </c>
      <c r="D2493" t="s">
        <v>58</v>
      </c>
      <c r="E2493" t="s">
        <v>2952</v>
      </c>
      <c r="F2493" t="s">
        <v>5613</v>
      </c>
      <c r="G2493">
        <v>20000</v>
      </c>
      <c r="H2493">
        <v>1988</v>
      </c>
      <c r="I2493" t="s">
        <v>58</v>
      </c>
      <c r="J2493" t="s">
        <v>58</v>
      </c>
      <c r="K2493" t="s">
        <v>58</v>
      </c>
      <c r="L2493" t="s">
        <v>58</v>
      </c>
      <c r="M2493" t="s">
        <v>58</v>
      </c>
      <c r="P2493" t="s">
        <v>61</v>
      </c>
      <c r="Q2493" t="s">
        <v>58</v>
      </c>
      <c r="R2493" s="11" t="str">
        <f>HYPERLINK("\\imagefiles.bcgov\imagery\scanned_maps\moe_terrain_maps\Scanned_T_maps_all\R04\R04-1301","\\imagefiles.bcgov\imagery\scanned_maps\moe_terrain_maps\Scanned_T_maps_all\R04\R04-1301")</f>
        <v>\\imagefiles.bcgov\imagery\scanned_maps\moe_terrain_maps\Scanned_T_maps_all\R04\R04-1301</v>
      </c>
      <c r="S2493" t="s">
        <v>62</v>
      </c>
      <c r="T2493" s="11" t="str">
        <f>HYPERLINK("http://www.env.gov.bc.ca/esd/distdata/ecosystems/TEI_Scanned_Maps/R04/R04-1301","http://www.env.gov.bc.ca/esd/distdata/ecosystems/TEI_Scanned_Maps/R04/R04-1301")</f>
        <v>http://www.env.gov.bc.ca/esd/distdata/ecosystems/TEI_Scanned_Maps/R04/R04-1301</v>
      </c>
      <c r="U2493" t="s">
        <v>58</v>
      </c>
      <c r="V2493" t="s">
        <v>58</v>
      </c>
      <c r="W2493" t="s">
        <v>58</v>
      </c>
      <c r="X2493" t="s">
        <v>58</v>
      </c>
      <c r="Y2493" t="s">
        <v>58</v>
      </c>
      <c r="Z2493" t="s">
        <v>58</v>
      </c>
      <c r="AA2493" t="s">
        <v>58</v>
      </c>
      <c r="AC2493" t="s">
        <v>58</v>
      </c>
      <c r="AE2493" t="s">
        <v>58</v>
      </c>
      <c r="AG2493" t="s">
        <v>63</v>
      </c>
      <c r="AH2493" s="11" t="str">
        <f t="shared" si="157"/>
        <v>mailto: soilterrain@victoria1.gov.bc.ca</v>
      </c>
    </row>
    <row r="2494" spans="1:34">
      <c r="A2494" t="s">
        <v>5681</v>
      </c>
      <c r="B2494" t="s">
        <v>56</v>
      </c>
      <c r="C2494" s="10" t="s">
        <v>5381</v>
      </c>
      <c r="D2494" t="s">
        <v>58</v>
      </c>
      <c r="E2494" t="s">
        <v>2952</v>
      </c>
      <c r="F2494" t="s">
        <v>5613</v>
      </c>
      <c r="G2494">
        <v>20000</v>
      </c>
      <c r="H2494">
        <v>1984</v>
      </c>
      <c r="I2494" t="s">
        <v>58</v>
      </c>
      <c r="J2494" t="s">
        <v>58</v>
      </c>
      <c r="K2494" t="s">
        <v>58</v>
      </c>
      <c r="L2494" t="s">
        <v>58</v>
      </c>
      <c r="M2494" t="s">
        <v>58</v>
      </c>
      <c r="P2494" t="s">
        <v>61</v>
      </c>
      <c r="Q2494" t="s">
        <v>58</v>
      </c>
      <c r="R2494" s="11" t="str">
        <f>HYPERLINK("\\imagefiles.bcgov\imagery\scanned_maps\moe_terrain_maps\Scanned_T_maps_all\R04\R04-1450","\\imagefiles.bcgov\imagery\scanned_maps\moe_terrain_maps\Scanned_T_maps_all\R04\R04-1450")</f>
        <v>\\imagefiles.bcgov\imagery\scanned_maps\moe_terrain_maps\Scanned_T_maps_all\R04\R04-1450</v>
      </c>
      <c r="S2494" t="s">
        <v>62</v>
      </c>
      <c r="T2494" s="11" t="str">
        <f>HYPERLINK("http://www.env.gov.bc.ca/esd/distdata/ecosystems/TEI_Scanned_Maps/R04/R04-1450","http://www.env.gov.bc.ca/esd/distdata/ecosystems/TEI_Scanned_Maps/R04/R04-1450")</f>
        <v>http://www.env.gov.bc.ca/esd/distdata/ecosystems/TEI_Scanned_Maps/R04/R04-1450</v>
      </c>
      <c r="U2494" t="s">
        <v>58</v>
      </c>
      <c r="V2494" t="s">
        <v>58</v>
      </c>
      <c r="W2494" t="s">
        <v>58</v>
      </c>
      <c r="X2494" t="s">
        <v>58</v>
      </c>
      <c r="Y2494" t="s">
        <v>58</v>
      </c>
      <c r="Z2494" t="s">
        <v>58</v>
      </c>
      <c r="AA2494" t="s">
        <v>58</v>
      </c>
      <c r="AC2494" t="s">
        <v>58</v>
      </c>
      <c r="AE2494" t="s">
        <v>58</v>
      </c>
      <c r="AG2494" t="s">
        <v>63</v>
      </c>
      <c r="AH2494" s="11" t="str">
        <f t="shared" si="157"/>
        <v>mailto: soilterrain@victoria1.gov.bc.ca</v>
      </c>
    </row>
    <row r="2495" spans="1:34">
      <c r="A2495" t="s">
        <v>5682</v>
      </c>
      <c r="B2495" t="s">
        <v>56</v>
      </c>
      <c r="C2495" s="10" t="s">
        <v>5030</v>
      </c>
      <c r="D2495" t="s">
        <v>58</v>
      </c>
      <c r="E2495" t="s">
        <v>2952</v>
      </c>
      <c r="F2495" t="s">
        <v>5669</v>
      </c>
      <c r="G2495">
        <v>20000</v>
      </c>
      <c r="H2495">
        <v>1984</v>
      </c>
      <c r="I2495" t="s">
        <v>58</v>
      </c>
      <c r="J2495" t="s">
        <v>58</v>
      </c>
      <c r="K2495" t="s">
        <v>58</v>
      </c>
      <c r="L2495" t="s">
        <v>58</v>
      </c>
      <c r="M2495" t="s">
        <v>58</v>
      </c>
      <c r="P2495" t="s">
        <v>61</v>
      </c>
      <c r="Q2495" t="s">
        <v>58</v>
      </c>
      <c r="R2495" s="11" t="str">
        <f>HYPERLINK("\\imagefiles.bcgov\imagery\scanned_maps\moe_terrain_maps\Scanned_T_maps_all\R04\R04-1458","\\imagefiles.bcgov\imagery\scanned_maps\moe_terrain_maps\Scanned_T_maps_all\R04\R04-1458")</f>
        <v>\\imagefiles.bcgov\imagery\scanned_maps\moe_terrain_maps\Scanned_T_maps_all\R04\R04-1458</v>
      </c>
      <c r="S2495" t="s">
        <v>62</v>
      </c>
      <c r="T2495" s="11" t="str">
        <f>HYPERLINK("http://www.env.gov.bc.ca/esd/distdata/ecosystems/TEI_Scanned_Maps/R04/R04-1458","http://www.env.gov.bc.ca/esd/distdata/ecosystems/TEI_Scanned_Maps/R04/R04-1458")</f>
        <v>http://www.env.gov.bc.ca/esd/distdata/ecosystems/TEI_Scanned_Maps/R04/R04-1458</v>
      </c>
      <c r="U2495" t="s">
        <v>58</v>
      </c>
      <c r="V2495" t="s">
        <v>58</v>
      </c>
      <c r="W2495" t="s">
        <v>58</v>
      </c>
      <c r="X2495" t="s">
        <v>58</v>
      </c>
      <c r="Y2495" t="s">
        <v>58</v>
      </c>
      <c r="Z2495" t="s">
        <v>58</v>
      </c>
      <c r="AA2495" t="s">
        <v>58</v>
      </c>
      <c r="AC2495" t="s">
        <v>58</v>
      </c>
      <c r="AE2495" t="s">
        <v>58</v>
      </c>
      <c r="AG2495" t="s">
        <v>63</v>
      </c>
      <c r="AH2495" s="11" t="str">
        <f t="shared" si="157"/>
        <v>mailto: soilterrain@victoria1.gov.bc.ca</v>
      </c>
    </row>
    <row r="2496" spans="1:34">
      <c r="A2496" t="s">
        <v>5683</v>
      </c>
      <c r="B2496" t="s">
        <v>56</v>
      </c>
      <c r="C2496" s="10" t="s">
        <v>5022</v>
      </c>
      <c r="D2496" t="s">
        <v>58</v>
      </c>
      <c r="E2496" t="s">
        <v>2952</v>
      </c>
      <c r="F2496" t="s">
        <v>5613</v>
      </c>
      <c r="G2496">
        <v>20000</v>
      </c>
      <c r="H2496">
        <v>1984</v>
      </c>
      <c r="I2496" t="s">
        <v>58</v>
      </c>
      <c r="J2496" t="s">
        <v>58</v>
      </c>
      <c r="K2496" t="s">
        <v>58</v>
      </c>
      <c r="L2496" t="s">
        <v>58</v>
      </c>
      <c r="M2496" t="s">
        <v>58</v>
      </c>
      <c r="P2496" t="s">
        <v>61</v>
      </c>
      <c r="Q2496" t="s">
        <v>58</v>
      </c>
      <c r="R2496" s="11" t="str">
        <f>HYPERLINK("\\imagefiles.bcgov\imagery\scanned_maps\moe_terrain_maps\Scanned_T_maps_all\R04\R04-1468","\\imagefiles.bcgov\imagery\scanned_maps\moe_terrain_maps\Scanned_T_maps_all\R04\R04-1468")</f>
        <v>\\imagefiles.bcgov\imagery\scanned_maps\moe_terrain_maps\Scanned_T_maps_all\R04\R04-1468</v>
      </c>
      <c r="S2496" t="s">
        <v>62</v>
      </c>
      <c r="T2496" s="11" t="str">
        <f>HYPERLINK("http://www.env.gov.bc.ca/esd/distdata/ecosystems/TEI_Scanned_Maps/R04/R04-1468","http://www.env.gov.bc.ca/esd/distdata/ecosystems/TEI_Scanned_Maps/R04/R04-1468")</f>
        <v>http://www.env.gov.bc.ca/esd/distdata/ecosystems/TEI_Scanned_Maps/R04/R04-1468</v>
      </c>
      <c r="U2496" t="s">
        <v>58</v>
      </c>
      <c r="V2496" t="s">
        <v>58</v>
      </c>
      <c r="W2496" t="s">
        <v>58</v>
      </c>
      <c r="X2496" t="s">
        <v>58</v>
      </c>
      <c r="Y2496" t="s">
        <v>58</v>
      </c>
      <c r="Z2496" t="s">
        <v>58</v>
      </c>
      <c r="AA2496" t="s">
        <v>58</v>
      </c>
      <c r="AC2496" t="s">
        <v>58</v>
      </c>
      <c r="AE2496" t="s">
        <v>58</v>
      </c>
      <c r="AG2496" t="s">
        <v>63</v>
      </c>
      <c r="AH2496" s="11" t="str">
        <f t="shared" si="157"/>
        <v>mailto: soilterrain@victoria1.gov.bc.ca</v>
      </c>
    </row>
    <row r="2497" spans="1:34">
      <c r="A2497" t="s">
        <v>5684</v>
      </c>
      <c r="B2497" t="s">
        <v>56</v>
      </c>
      <c r="C2497" s="10" t="s">
        <v>5233</v>
      </c>
      <c r="D2497" t="s">
        <v>58</v>
      </c>
      <c r="E2497" t="s">
        <v>2952</v>
      </c>
      <c r="F2497" t="s">
        <v>5669</v>
      </c>
      <c r="G2497">
        <v>20000</v>
      </c>
      <c r="H2497">
        <v>1984</v>
      </c>
      <c r="I2497" t="s">
        <v>58</v>
      </c>
      <c r="J2497" t="s">
        <v>58</v>
      </c>
      <c r="K2497" t="s">
        <v>58</v>
      </c>
      <c r="L2497" t="s">
        <v>58</v>
      </c>
      <c r="M2497" t="s">
        <v>58</v>
      </c>
      <c r="P2497" t="s">
        <v>61</v>
      </c>
      <c r="Q2497" t="s">
        <v>58</v>
      </c>
      <c r="R2497" s="11" t="str">
        <f>HYPERLINK("\\imagefiles.bcgov\imagery\scanned_maps\moe_terrain_maps\Scanned_T_maps_all\R04\R04-1478","\\imagefiles.bcgov\imagery\scanned_maps\moe_terrain_maps\Scanned_T_maps_all\R04\R04-1478")</f>
        <v>\\imagefiles.bcgov\imagery\scanned_maps\moe_terrain_maps\Scanned_T_maps_all\R04\R04-1478</v>
      </c>
      <c r="S2497" t="s">
        <v>62</v>
      </c>
      <c r="T2497" s="11" t="str">
        <f>HYPERLINK("http://www.env.gov.bc.ca/esd/distdata/ecosystems/TEI_Scanned_Maps/R04/R04-1478","http://www.env.gov.bc.ca/esd/distdata/ecosystems/TEI_Scanned_Maps/R04/R04-1478")</f>
        <v>http://www.env.gov.bc.ca/esd/distdata/ecosystems/TEI_Scanned_Maps/R04/R04-1478</v>
      </c>
      <c r="U2497" t="s">
        <v>58</v>
      </c>
      <c r="V2497" t="s">
        <v>58</v>
      </c>
      <c r="W2497" t="s">
        <v>58</v>
      </c>
      <c r="X2497" t="s">
        <v>58</v>
      </c>
      <c r="Y2497" t="s">
        <v>58</v>
      </c>
      <c r="Z2497" t="s">
        <v>58</v>
      </c>
      <c r="AA2497" t="s">
        <v>58</v>
      </c>
      <c r="AC2497" t="s">
        <v>58</v>
      </c>
      <c r="AE2497" t="s">
        <v>58</v>
      </c>
      <c r="AG2497" t="s">
        <v>63</v>
      </c>
      <c r="AH2497" s="11" t="str">
        <f t="shared" si="157"/>
        <v>mailto: soilterrain@victoria1.gov.bc.ca</v>
      </c>
    </row>
    <row r="2498" spans="1:34">
      <c r="A2498" t="s">
        <v>5685</v>
      </c>
      <c r="B2498" t="s">
        <v>56</v>
      </c>
      <c r="C2498" s="10" t="s">
        <v>5386</v>
      </c>
      <c r="D2498" t="s">
        <v>58</v>
      </c>
      <c r="E2498" t="s">
        <v>2952</v>
      </c>
      <c r="F2498" t="s">
        <v>5613</v>
      </c>
      <c r="G2498">
        <v>20000</v>
      </c>
      <c r="H2498">
        <v>1977</v>
      </c>
      <c r="I2498" t="s">
        <v>58</v>
      </c>
      <c r="J2498" t="s">
        <v>58</v>
      </c>
      <c r="K2498" t="s">
        <v>58</v>
      </c>
      <c r="L2498" t="s">
        <v>58</v>
      </c>
      <c r="M2498" t="s">
        <v>58</v>
      </c>
      <c r="P2498" t="s">
        <v>61</v>
      </c>
      <c r="Q2498" t="s">
        <v>58</v>
      </c>
      <c r="R2498" s="11" t="str">
        <f>HYPERLINK("\\imagefiles.bcgov\imagery\scanned_maps\moe_terrain_maps\Scanned_T_maps_all\R04\R04-156","\\imagefiles.bcgov\imagery\scanned_maps\moe_terrain_maps\Scanned_T_maps_all\R04\R04-156")</f>
        <v>\\imagefiles.bcgov\imagery\scanned_maps\moe_terrain_maps\Scanned_T_maps_all\R04\R04-156</v>
      </c>
      <c r="S2498" t="s">
        <v>62</v>
      </c>
      <c r="T2498" s="11" t="str">
        <f>HYPERLINK("http://www.env.gov.bc.ca/esd/distdata/ecosystems/TEI_Scanned_Maps/R04/R04-156","http://www.env.gov.bc.ca/esd/distdata/ecosystems/TEI_Scanned_Maps/R04/R04-156")</f>
        <v>http://www.env.gov.bc.ca/esd/distdata/ecosystems/TEI_Scanned_Maps/R04/R04-156</v>
      </c>
      <c r="U2498" t="s">
        <v>58</v>
      </c>
      <c r="V2498" t="s">
        <v>58</v>
      </c>
      <c r="W2498" t="s">
        <v>58</v>
      </c>
      <c r="X2498" t="s">
        <v>58</v>
      </c>
      <c r="Y2498" t="s">
        <v>58</v>
      </c>
      <c r="Z2498" t="s">
        <v>58</v>
      </c>
      <c r="AA2498" t="s">
        <v>58</v>
      </c>
      <c r="AC2498" t="s">
        <v>58</v>
      </c>
      <c r="AE2498" t="s">
        <v>58</v>
      </c>
      <c r="AG2498" t="s">
        <v>63</v>
      </c>
      <c r="AH2498" s="11" t="str">
        <f t="shared" ref="AH2498:AH2561" si="160">HYPERLINK("mailto: soilterrain@victoria1.gov.bc.ca","mailto: soilterrain@victoria1.gov.bc.ca")</f>
        <v>mailto: soilterrain@victoria1.gov.bc.ca</v>
      </c>
    </row>
    <row r="2499" spans="1:34">
      <c r="A2499" t="s">
        <v>5686</v>
      </c>
      <c r="B2499" t="s">
        <v>56</v>
      </c>
      <c r="C2499" s="10" t="s">
        <v>5388</v>
      </c>
      <c r="D2499" t="s">
        <v>58</v>
      </c>
      <c r="E2499" t="s">
        <v>2952</v>
      </c>
      <c r="F2499" t="s">
        <v>5613</v>
      </c>
      <c r="G2499">
        <v>20000</v>
      </c>
      <c r="H2499">
        <v>1978</v>
      </c>
      <c r="I2499" t="s">
        <v>58</v>
      </c>
      <c r="J2499" t="s">
        <v>58</v>
      </c>
      <c r="K2499" t="s">
        <v>58</v>
      </c>
      <c r="L2499" t="s">
        <v>58</v>
      </c>
      <c r="M2499" t="s">
        <v>58</v>
      </c>
      <c r="P2499" t="s">
        <v>61</v>
      </c>
      <c r="Q2499" t="s">
        <v>58</v>
      </c>
      <c r="R2499" s="11" t="str">
        <f>HYPERLINK("\\imagefiles.bcgov\imagery\scanned_maps\moe_terrain_maps\Scanned_T_maps_all\R04\R04-163","\\imagefiles.bcgov\imagery\scanned_maps\moe_terrain_maps\Scanned_T_maps_all\R04\R04-163")</f>
        <v>\\imagefiles.bcgov\imagery\scanned_maps\moe_terrain_maps\Scanned_T_maps_all\R04\R04-163</v>
      </c>
      <c r="S2499" t="s">
        <v>62</v>
      </c>
      <c r="T2499" s="11" t="str">
        <f>HYPERLINK("http://www.env.gov.bc.ca/esd/distdata/ecosystems/TEI_Scanned_Maps/R04/R04-163","http://www.env.gov.bc.ca/esd/distdata/ecosystems/TEI_Scanned_Maps/R04/R04-163")</f>
        <v>http://www.env.gov.bc.ca/esd/distdata/ecosystems/TEI_Scanned_Maps/R04/R04-163</v>
      </c>
      <c r="U2499" t="s">
        <v>58</v>
      </c>
      <c r="V2499" t="s">
        <v>58</v>
      </c>
      <c r="W2499" t="s">
        <v>58</v>
      </c>
      <c r="X2499" t="s">
        <v>58</v>
      </c>
      <c r="Y2499" t="s">
        <v>58</v>
      </c>
      <c r="Z2499" t="s">
        <v>58</v>
      </c>
      <c r="AA2499" t="s">
        <v>58</v>
      </c>
      <c r="AC2499" t="s">
        <v>58</v>
      </c>
      <c r="AE2499" t="s">
        <v>58</v>
      </c>
      <c r="AG2499" t="s">
        <v>63</v>
      </c>
      <c r="AH2499" s="11" t="str">
        <f t="shared" si="160"/>
        <v>mailto: soilterrain@victoria1.gov.bc.ca</v>
      </c>
    </row>
    <row r="2500" spans="1:34">
      <c r="A2500" t="s">
        <v>5687</v>
      </c>
      <c r="B2500" t="s">
        <v>56</v>
      </c>
      <c r="C2500" s="10" t="s">
        <v>5390</v>
      </c>
      <c r="D2500" t="s">
        <v>58</v>
      </c>
      <c r="E2500" t="s">
        <v>2952</v>
      </c>
      <c r="F2500" t="s">
        <v>5613</v>
      </c>
      <c r="G2500">
        <v>20000</v>
      </c>
      <c r="H2500">
        <v>1978</v>
      </c>
      <c r="I2500" t="s">
        <v>58</v>
      </c>
      <c r="J2500" t="s">
        <v>58</v>
      </c>
      <c r="K2500" t="s">
        <v>58</v>
      </c>
      <c r="L2500" t="s">
        <v>58</v>
      </c>
      <c r="M2500" t="s">
        <v>58</v>
      </c>
      <c r="P2500" t="s">
        <v>61</v>
      </c>
      <c r="Q2500" t="s">
        <v>58</v>
      </c>
      <c r="R2500" s="11" t="str">
        <f>HYPERLINK("\\imagefiles.bcgov\imagery\scanned_maps\moe_terrain_maps\Scanned_T_maps_all\R04\R04-169","\\imagefiles.bcgov\imagery\scanned_maps\moe_terrain_maps\Scanned_T_maps_all\R04\R04-169")</f>
        <v>\\imagefiles.bcgov\imagery\scanned_maps\moe_terrain_maps\Scanned_T_maps_all\R04\R04-169</v>
      </c>
      <c r="S2500" t="s">
        <v>62</v>
      </c>
      <c r="T2500" s="11" t="str">
        <f>HYPERLINK("http://www.env.gov.bc.ca/esd/distdata/ecosystems/TEI_Scanned_Maps/R04/R04-169","http://www.env.gov.bc.ca/esd/distdata/ecosystems/TEI_Scanned_Maps/R04/R04-169")</f>
        <v>http://www.env.gov.bc.ca/esd/distdata/ecosystems/TEI_Scanned_Maps/R04/R04-169</v>
      </c>
      <c r="U2500" t="s">
        <v>58</v>
      </c>
      <c r="V2500" t="s">
        <v>58</v>
      </c>
      <c r="W2500" t="s">
        <v>58</v>
      </c>
      <c r="X2500" t="s">
        <v>58</v>
      </c>
      <c r="Y2500" t="s">
        <v>58</v>
      </c>
      <c r="Z2500" t="s">
        <v>58</v>
      </c>
      <c r="AA2500" t="s">
        <v>58</v>
      </c>
      <c r="AC2500" t="s">
        <v>58</v>
      </c>
      <c r="AE2500" t="s">
        <v>58</v>
      </c>
      <c r="AG2500" t="s">
        <v>63</v>
      </c>
      <c r="AH2500" s="11" t="str">
        <f t="shared" si="160"/>
        <v>mailto: soilterrain@victoria1.gov.bc.ca</v>
      </c>
    </row>
    <row r="2501" spans="1:34">
      <c r="A2501" t="s">
        <v>5688</v>
      </c>
      <c r="B2501" t="s">
        <v>56</v>
      </c>
      <c r="C2501" s="10" t="s">
        <v>5392</v>
      </c>
      <c r="D2501" t="s">
        <v>58</v>
      </c>
      <c r="E2501" t="s">
        <v>2952</v>
      </c>
      <c r="F2501" t="s">
        <v>5613</v>
      </c>
      <c r="G2501">
        <v>20000</v>
      </c>
      <c r="H2501">
        <v>1978</v>
      </c>
      <c r="I2501" t="s">
        <v>58</v>
      </c>
      <c r="J2501" t="s">
        <v>58</v>
      </c>
      <c r="K2501" t="s">
        <v>58</v>
      </c>
      <c r="L2501" t="s">
        <v>58</v>
      </c>
      <c r="M2501" t="s">
        <v>58</v>
      </c>
      <c r="P2501" t="s">
        <v>61</v>
      </c>
      <c r="Q2501" t="s">
        <v>58</v>
      </c>
      <c r="R2501" s="11" t="str">
        <f>HYPERLINK("\\imagefiles.bcgov\imagery\scanned_maps\moe_terrain_maps\Scanned_T_maps_all\R04\R04-175","\\imagefiles.bcgov\imagery\scanned_maps\moe_terrain_maps\Scanned_T_maps_all\R04\R04-175")</f>
        <v>\\imagefiles.bcgov\imagery\scanned_maps\moe_terrain_maps\Scanned_T_maps_all\R04\R04-175</v>
      </c>
      <c r="S2501" t="s">
        <v>62</v>
      </c>
      <c r="T2501" s="11" t="str">
        <f>HYPERLINK("http://www.env.gov.bc.ca/esd/distdata/ecosystems/TEI_Scanned_Maps/R04/R04-175","http://www.env.gov.bc.ca/esd/distdata/ecosystems/TEI_Scanned_Maps/R04/R04-175")</f>
        <v>http://www.env.gov.bc.ca/esd/distdata/ecosystems/TEI_Scanned_Maps/R04/R04-175</v>
      </c>
      <c r="U2501" t="s">
        <v>58</v>
      </c>
      <c r="V2501" t="s">
        <v>58</v>
      </c>
      <c r="W2501" t="s">
        <v>58</v>
      </c>
      <c r="X2501" t="s">
        <v>58</v>
      </c>
      <c r="Y2501" t="s">
        <v>58</v>
      </c>
      <c r="Z2501" t="s">
        <v>58</v>
      </c>
      <c r="AA2501" t="s">
        <v>58</v>
      </c>
      <c r="AC2501" t="s">
        <v>58</v>
      </c>
      <c r="AE2501" t="s">
        <v>58</v>
      </c>
      <c r="AG2501" t="s">
        <v>63</v>
      </c>
      <c r="AH2501" s="11" t="str">
        <f t="shared" si="160"/>
        <v>mailto: soilterrain@victoria1.gov.bc.ca</v>
      </c>
    </row>
    <row r="2502" spans="1:34">
      <c r="A2502" t="s">
        <v>5689</v>
      </c>
      <c r="B2502" t="s">
        <v>56</v>
      </c>
      <c r="C2502" s="10" t="s">
        <v>4682</v>
      </c>
      <c r="D2502" t="s">
        <v>58</v>
      </c>
      <c r="E2502" t="s">
        <v>2952</v>
      </c>
      <c r="F2502" t="s">
        <v>5613</v>
      </c>
      <c r="G2502">
        <v>20000</v>
      </c>
      <c r="H2502">
        <v>1978</v>
      </c>
      <c r="I2502" t="s">
        <v>58</v>
      </c>
      <c r="J2502" t="s">
        <v>58</v>
      </c>
      <c r="K2502" t="s">
        <v>58</v>
      </c>
      <c r="L2502" t="s">
        <v>58</v>
      </c>
      <c r="M2502" t="s">
        <v>58</v>
      </c>
      <c r="P2502" t="s">
        <v>61</v>
      </c>
      <c r="Q2502" t="s">
        <v>58</v>
      </c>
      <c r="R2502" s="11" t="str">
        <f>HYPERLINK("\\imagefiles.bcgov\imagery\scanned_maps\moe_terrain_maps\Scanned_T_maps_all\R04\R04-182","\\imagefiles.bcgov\imagery\scanned_maps\moe_terrain_maps\Scanned_T_maps_all\R04\R04-182")</f>
        <v>\\imagefiles.bcgov\imagery\scanned_maps\moe_terrain_maps\Scanned_T_maps_all\R04\R04-182</v>
      </c>
      <c r="S2502" t="s">
        <v>62</v>
      </c>
      <c r="T2502" s="11" t="str">
        <f>HYPERLINK("http://www.env.gov.bc.ca/esd/distdata/ecosystems/TEI_Scanned_Maps/R04/R04-182","http://www.env.gov.bc.ca/esd/distdata/ecosystems/TEI_Scanned_Maps/R04/R04-182")</f>
        <v>http://www.env.gov.bc.ca/esd/distdata/ecosystems/TEI_Scanned_Maps/R04/R04-182</v>
      </c>
      <c r="U2502" t="s">
        <v>58</v>
      </c>
      <c r="V2502" t="s">
        <v>58</v>
      </c>
      <c r="W2502" t="s">
        <v>58</v>
      </c>
      <c r="X2502" t="s">
        <v>58</v>
      </c>
      <c r="Y2502" t="s">
        <v>58</v>
      </c>
      <c r="Z2502" t="s">
        <v>58</v>
      </c>
      <c r="AA2502" t="s">
        <v>58</v>
      </c>
      <c r="AC2502" t="s">
        <v>58</v>
      </c>
      <c r="AE2502" t="s">
        <v>58</v>
      </c>
      <c r="AG2502" t="s">
        <v>63</v>
      </c>
      <c r="AH2502" s="11" t="str">
        <f t="shared" si="160"/>
        <v>mailto: soilterrain@victoria1.gov.bc.ca</v>
      </c>
    </row>
    <row r="2503" spans="1:34">
      <c r="A2503" t="s">
        <v>5690</v>
      </c>
      <c r="B2503" t="s">
        <v>56</v>
      </c>
      <c r="C2503" s="10" t="s">
        <v>5395</v>
      </c>
      <c r="D2503" t="s">
        <v>58</v>
      </c>
      <c r="E2503" t="s">
        <v>2952</v>
      </c>
      <c r="F2503" t="s">
        <v>5613</v>
      </c>
      <c r="G2503">
        <v>20000</v>
      </c>
      <c r="H2503">
        <v>1978</v>
      </c>
      <c r="I2503" t="s">
        <v>58</v>
      </c>
      <c r="J2503" t="s">
        <v>58</v>
      </c>
      <c r="K2503" t="s">
        <v>58</v>
      </c>
      <c r="L2503" t="s">
        <v>58</v>
      </c>
      <c r="M2503" t="s">
        <v>58</v>
      </c>
      <c r="P2503" t="s">
        <v>61</v>
      </c>
      <c r="Q2503" t="s">
        <v>58</v>
      </c>
      <c r="R2503" s="11" t="str">
        <f>HYPERLINK("\\imagefiles.bcgov\imagery\scanned_maps\moe_terrain_maps\Scanned_T_maps_all\R04\R04-188","\\imagefiles.bcgov\imagery\scanned_maps\moe_terrain_maps\Scanned_T_maps_all\R04\R04-188")</f>
        <v>\\imagefiles.bcgov\imagery\scanned_maps\moe_terrain_maps\Scanned_T_maps_all\R04\R04-188</v>
      </c>
      <c r="S2503" t="s">
        <v>62</v>
      </c>
      <c r="T2503" s="11" t="str">
        <f>HYPERLINK("http://www.env.gov.bc.ca/esd/distdata/ecosystems/TEI_Scanned_Maps/R04/R04-188","http://www.env.gov.bc.ca/esd/distdata/ecosystems/TEI_Scanned_Maps/R04/R04-188")</f>
        <v>http://www.env.gov.bc.ca/esd/distdata/ecosystems/TEI_Scanned_Maps/R04/R04-188</v>
      </c>
      <c r="U2503" t="s">
        <v>58</v>
      </c>
      <c r="V2503" t="s">
        <v>58</v>
      </c>
      <c r="W2503" t="s">
        <v>58</v>
      </c>
      <c r="X2503" t="s">
        <v>58</v>
      </c>
      <c r="Y2503" t="s">
        <v>58</v>
      </c>
      <c r="Z2503" t="s">
        <v>58</v>
      </c>
      <c r="AA2503" t="s">
        <v>58</v>
      </c>
      <c r="AC2503" t="s">
        <v>58</v>
      </c>
      <c r="AE2503" t="s">
        <v>58</v>
      </c>
      <c r="AG2503" t="s">
        <v>63</v>
      </c>
      <c r="AH2503" s="11" t="str">
        <f t="shared" si="160"/>
        <v>mailto: soilterrain@victoria1.gov.bc.ca</v>
      </c>
    </row>
    <row r="2504" spans="1:34">
      <c r="A2504" t="s">
        <v>5691</v>
      </c>
      <c r="B2504" t="s">
        <v>56</v>
      </c>
      <c r="C2504" s="10" t="s">
        <v>5397</v>
      </c>
      <c r="D2504" t="s">
        <v>58</v>
      </c>
      <c r="E2504" t="s">
        <v>2952</v>
      </c>
      <c r="F2504" t="s">
        <v>5613</v>
      </c>
      <c r="G2504">
        <v>20000</v>
      </c>
      <c r="H2504">
        <v>1978</v>
      </c>
      <c r="I2504" t="s">
        <v>58</v>
      </c>
      <c r="J2504" t="s">
        <v>58</v>
      </c>
      <c r="K2504" t="s">
        <v>58</v>
      </c>
      <c r="L2504" t="s">
        <v>58</v>
      </c>
      <c r="M2504" t="s">
        <v>58</v>
      </c>
      <c r="P2504" t="s">
        <v>61</v>
      </c>
      <c r="Q2504" t="s">
        <v>58</v>
      </c>
      <c r="R2504" s="11" t="str">
        <f>HYPERLINK("\\imagefiles.bcgov\imagery\scanned_maps\moe_terrain_maps\Scanned_T_maps_all\R04\R04-194","\\imagefiles.bcgov\imagery\scanned_maps\moe_terrain_maps\Scanned_T_maps_all\R04\R04-194")</f>
        <v>\\imagefiles.bcgov\imagery\scanned_maps\moe_terrain_maps\Scanned_T_maps_all\R04\R04-194</v>
      </c>
      <c r="S2504" t="s">
        <v>62</v>
      </c>
      <c r="T2504" s="11" t="str">
        <f>HYPERLINK("http://www.env.gov.bc.ca/esd/distdata/ecosystems/TEI_Scanned_Maps/R04/R04-194","http://www.env.gov.bc.ca/esd/distdata/ecosystems/TEI_Scanned_Maps/R04/R04-194")</f>
        <v>http://www.env.gov.bc.ca/esd/distdata/ecosystems/TEI_Scanned_Maps/R04/R04-194</v>
      </c>
      <c r="U2504" t="s">
        <v>58</v>
      </c>
      <c r="V2504" t="s">
        <v>58</v>
      </c>
      <c r="W2504" t="s">
        <v>58</v>
      </c>
      <c r="X2504" t="s">
        <v>58</v>
      </c>
      <c r="Y2504" t="s">
        <v>58</v>
      </c>
      <c r="Z2504" t="s">
        <v>58</v>
      </c>
      <c r="AA2504" t="s">
        <v>58</v>
      </c>
      <c r="AC2504" t="s">
        <v>58</v>
      </c>
      <c r="AE2504" t="s">
        <v>58</v>
      </c>
      <c r="AG2504" t="s">
        <v>63</v>
      </c>
      <c r="AH2504" s="11" t="str">
        <f t="shared" si="160"/>
        <v>mailto: soilterrain@victoria1.gov.bc.ca</v>
      </c>
    </row>
    <row r="2505" spans="1:34">
      <c r="A2505" t="s">
        <v>5692</v>
      </c>
      <c r="B2505" t="s">
        <v>56</v>
      </c>
      <c r="C2505" s="10" t="s">
        <v>5399</v>
      </c>
      <c r="D2505" t="s">
        <v>58</v>
      </c>
      <c r="E2505" t="s">
        <v>2952</v>
      </c>
      <c r="F2505" t="s">
        <v>5613</v>
      </c>
      <c r="G2505">
        <v>20000</v>
      </c>
      <c r="H2505">
        <v>1978</v>
      </c>
      <c r="I2505" t="s">
        <v>58</v>
      </c>
      <c r="J2505" t="s">
        <v>58</v>
      </c>
      <c r="K2505" t="s">
        <v>58</v>
      </c>
      <c r="L2505" t="s">
        <v>58</v>
      </c>
      <c r="M2505" t="s">
        <v>58</v>
      </c>
      <c r="P2505" t="s">
        <v>61</v>
      </c>
      <c r="Q2505" t="s">
        <v>58</v>
      </c>
      <c r="R2505" s="11" t="str">
        <f>HYPERLINK("\\imagefiles.bcgov\imagery\scanned_maps\moe_terrain_maps\Scanned_T_maps_all\R04\R04-201","\\imagefiles.bcgov\imagery\scanned_maps\moe_terrain_maps\Scanned_T_maps_all\R04\R04-201")</f>
        <v>\\imagefiles.bcgov\imagery\scanned_maps\moe_terrain_maps\Scanned_T_maps_all\R04\R04-201</v>
      </c>
      <c r="S2505" t="s">
        <v>62</v>
      </c>
      <c r="T2505" s="11" t="str">
        <f>HYPERLINK("http://www.env.gov.bc.ca/esd/distdata/ecosystems/TEI_Scanned_Maps/R04/R04-201","http://www.env.gov.bc.ca/esd/distdata/ecosystems/TEI_Scanned_Maps/R04/R04-201")</f>
        <v>http://www.env.gov.bc.ca/esd/distdata/ecosystems/TEI_Scanned_Maps/R04/R04-201</v>
      </c>
      <c r="U2505" t="s">
        <v>58</v>
      </c>
      <c r="V2505" t="s">
        <v>58</v>
      </c>
      <c r="W2505" t="s">
        <v>58</v>
      </c>
      <c r="X2505" t="s">
        <v>58</v>
      </c>
      <c r="Y2505" t="s">
        <v>58</v>
      </c>
      <c r="Z2505" t="s">
        <v>58</v>
      </c>
      <c r="AA2505" t="s">
        <v>58</v>
      </c>
      <c r="AC2505" t="s">
        <v>58</v>
      </c>
      <c r="AE2505" t="s">
        <v>58</v>
      </c>
      <c r="AG2505" t="s">
        <v>63</v>
      </c>
      <c r="AH2505" s="11" t="str">
        <f t="shared" si="160"/>
        <v>mailto: soilterrain@victoria1.gov.bc.ca</v>
      </c>
    </row>
    <row r="2506" spans="1:34">
      <c r="A2506" t="s">
        <v>5693</v>
      </c>
      <c r="B2506" t="s">
        <v>56</v>
      </c>
      <c r="C2506" s="10" t="s">
        <v>5409</v>
      </c>
      <c r="D2506" t="s">
        <v>58</v>
      </c>
      <c r="E2506" t="s">
        <v>2952</v>
      </c>
      <c r="F2506" t="s">
        <v>5613</v>
      </c>
      <c r="G2506">
        <v>20000</v>
      </c>
      <c r="H2506">
        <v>1979</v>
      </c>
      <c r="I2506" t="s">
        <v>58</v>
      </c>
      <c r="J2506" t="s">
        <v>58</v>
      </c>
      <c r="K2506" t="s">
        <v>58</v>
      </c>
      <c r="L2506" t="s">
        <v>58</v>
      </c>
      <c r="M2506" t="s">
        <v>58</v>
      </c>
      <c r="P2506" t="s">
        <v>61</v>
      </c>
      <c r="Q2506" t="s">
        <v>58</v>
      </c>
      <c r="R2506" s="11" t="str">
        <f>HYPERLINK("\\imagefiles.bcgov\imagery\scanned_maps\moe_terrain_maps\Scanned_T_maps_all\R04\R04-235","\\imagefiles.bcgov\imagery\scanned_maps\moe_terrain_maps\Scanned_T_maps_all\R04\R04-235")</f>
        <v>\\imagefiles.bcgov\imagery\scanned_maps\moe_terrain_maps\Scanned_T_maps_all\R04\R04-235</v>
      </c>
      <c r="S2506" t="s">
        <v>62</v>
      </c>
      <c r="T2506" s="11" t="str">
        <f>HYPERLINK("http://www.env.gov.bc.ca/esd/distdata/ecosystems/TEI_Scanned_Maps/R04/R04-235","http://www.env.gov.bc.ca/esd/distdata/ecosystems/TEI_Scanned_Maps/R04/R04-235")</f>
        <v>http://www.env.gov.bc.ca/esd/distdata/ecosystems/TEI_Scanned_Maps/R04/R04-235</v>
      </c>
      <c r="U2506" t="s">
        <v>58</v>
      </c>
      <c r="V2506" t="s">
        <v>58</v>
      </c>
      <c r="W2506" t="s">
        <v>58</v>
      </c>
      <c r="X2506" t="s">
        <v>58</v>
      </c>
      <c r="Y2506" t="s">
        <v>58</v>
      </c>
      <c r="Z2506" t="s">
        <v>58</v>
      </c>
      <c r="AA2506" t="s">
        <v>58</v>
      </c>
      <c r="AC2506" t="s">
        <v>58</v>
      </c>
      <c r="AE2506" t="s">
        <v>58</v>
      </c>
      <c r="AG2506" t="s">
        <v>63</v>
      </c>
      <c r="AH2506" s="11" t="str">
        <f t="shared" si="160"/>
        <v>mailto: soilterrain@victoria1.gov.bc.ca</v>
      </c>
    </row>
    <row r="2507" spans="1:34">
      <c r="A2507" t="s">
        <v>5694</v>
      </c>
      <c r="B2507" t="s">
        <v>56</v>
      </c>
      <c r="C2507" s="10" t="s">
        <v>5411</v>
      </c>
      <c r="D2507" t="s">
        <v>58</v>
      </c>
      <c r="E2507" t="s">
        <v>2952</v>
      </c>
      <c r="F2507" t="s">
        <v>5613</v>
      </c>
      <c r="G2507">
        <v>20000</v>
      </c>
      <c r="H2507">
        <v>1979</v>
      </c>
      <c r="I2507" t="s">
        <v>58</v>
      </c>
      <c r="J2507" t="s">
        <v>58</v>
      </c>
      <c r="K2507" t="s">
        <v>58</v>
      </c>
      <c r="L2507" t="s">
        <v>58</v>
      </c>
      <c r="M2507" t="s">
        <v>58</v>
      </c>
      <c r="P2507" t="s">
        <v>61</v>
      </c>
      <c r="Q2507" t="s">
        <v>58</v>
      </c>
      <c r="R2507" s="11" t="str">
        <f>HYPERLINK("\\imagefiles.bcgov\imagery\scanned_maps\moe_terrain_maps\Scanned_T_maps_all\R04\R04-242","\\imagefiles.bcgov\imagery\scanned_maps\moe_terrain_maps\Scanned_T_maps_all\R04\R04-242")</f>
        <v>\\imagefiles.bcgov\imagery\scanned_maps\moe_terrain_maps\Scanned_T_maps_all\R04\R04-242</v>
      </c>
      <c r="S2507" t="s">
        <v>62</v>
      </c>
      <c r="T2507" s="11" t="str">
        <f>HYPERLINK("http://www.env.gov.bc.ca/esd/distdata/ecosystems/TEI_Scanned_Maps/R04/R04-242","http://www.env.gov.bc.ca/esd/distdata/ecosystems/TEI_Scanned_Maps/R04/R04-242")</f>
        <v>http://www.env.gov.bc.ca/esd/distdata/ecosystems/TEI_Scanned_Maps/R04/R04-242</v>
      </c>
      <c r="U2507" t="s">
        <v>58</v>
      </c>
      <c r="V2507" t="s">
        <v>58</v>
      </c>
      <c r="W2507" t="s">
        <v>58</v>
      </c>
      <c r="X2507" t="s">
        <v>58</v>
      </c>
      <c r="Y2507" t="s">
        <v>58</v>
      </c>
      <c r="Z2507" t="s">
        <v>58</v>
      </c>
      <c r="AA2507" t="s">
        <v>58</v>
      </c>
      <c r="AC2507" t="s">
        <v>58</v>
      </c>
      <c r="AE2507" t="s">
        <v>58</v>
      </c>
      <c r="AG2507" t="s">
        <v>63</v>
      </c>
      <c r="AH2507" s="11" t="str">
        <f t="shared" si="160"/>
        <v>mailto: soilterrain@victoria1.gov.bc.ca</v>
      </c>
    </row>
    <row r="2508" spans="1:34">
      <c r="A2508" t="s">
        <v>5695</v>
      </c>
      <c r="B2508" t="s">
        <v>56</v>
      </c>
      <c r="C2508" s="10" t="s">
        <v>5413</v>
      </c>
      <c r="D2508" t="s">
        <v>58</v>
      </c>
      <c r="E2508" t="s">
        <v>2952</v>
      </c>
      <c r="F2508" t="s">
        <v>5613</v>
      </c>
      <c r="G2508">
        <v>20000</v>
      </c>
      <c r="H2508">
        <v>1979</v>
      </c>
      <c r="I2508" t="s">
        <v>58</v>
      </c>
      <c r="J2508" t="s">
        <v>58</v>
      </c>
      <c r="K2508" t="s">
        <v>58</v>
      </c>
      <c r="L2508" t="s">
        <v>58</v>
      </c>
      <c r="M2508" t="s">
        <v>58</v>
      </c>
      <c r="P2508" t="s">
        <v>61</v>
      </c>
      <c r="Q2508" t="s">
        <v>58</v>
      </c>
      <c r="R2508" s="11" t="str">
        <f>HYPERLINK("\\imagefiles.bcgov\imagery\scanned_maps\moe_terrain_maps\Scanned_T_maps_all\R04\R04-249","\\imagefiles.bcgov\imagery\scanned_maps\moe_terrain_maps\Scanned_T_maps_all\R04\R04-249")</f>
        <v>\\imagefiles.bcgov\imagery\scanned_maps\moe_terrain_maps\Scanned_T_maps_all\R04\R04-249</v>
      </c>
      <c r="S2508" t="s">
        <v>62</v>
      </c>
      <c r="T2508" s="11" t="str">
        <f>HYPERLINK("http://www.env.gov.bc.ca/esd/distdata/ecosystems/TEI_Scanned_Maps/R04/R04-249","http://www.env.gov.bc.ca/esd/distdata/ecosystems/TEI_Scanned_Maps/R04/R04-249")</f>
        <v>http://www.env.gov.bc.ca/esd/distdata/ecosystems/TEI_Scanned_Maps/R04/R04-249</v>
      </c>
      <c r="U2508" t="s">
        <v>58</v>
      </c>
      <c r="V2508" t="s">
        <v>58</v>
      </c>
      <c r="W2508" t="s">
        <v>58</v>
      </c>
      <c r="X2508" t="s">
        <v>58</v>
      </c>
      <c r="Y2508" t="s">
        <v>58</v>
      </c>
      <c r="Z2508" t="s">
        <v>58</v>
      </c>
      <c r="AA2508" t="s">
        <v>58</v>
      </c>
      <c r="AC2508" t="s">
        <v>58</v>
      </c>
      <c r="AE2508" t="s">
        <v>58</v>
      </c>
      <c r="AG2508" t="s">
        <v>63</v>
      </c>
      <c r="AH2508" s="11" t="str">
        <f t="shared" si="160"/>
        <v>mailto: soilterrain@victoria1.gov.bc.ca</v>
      </c>
    </row>
    <row r="2509" spans="1:34">
      <c r="A2509" t="s">
        <v>5696</v>
      </c>
      <c r="B2509" t="s">
        <v>56</v>
      </c>
      <c r="C2509" s="10" t="s">
        <v>5415</v>
      </c>
      <c r="D2509" t="s">
        <v>58</v>
      </c>
      <c r="E2509" t="s">
        <v>2952</v>
      </c>
      <c r="F2509" t="s">
        <v>5613</v>
      </c>
      <c r="G2509">
        <v>20000</v>
      </c>
      <c r="H2509">
        <v>1979</v>
      </c>
      <c r="I2509" t="s">
        <v>58</v>
      </c>
      <c r="J2509" t="s">
        <v>58</v>
      </c>
      <c r="K2509" t="s">
        <v>58</v>
      </c>
      <c r="L2509" t="s">
        <v>58</v>
      </c>
      <c r="M2509" t="s">
        <v>58</v>
      </c>
      <c r="P2509" t="s">
        <v>61</v>
      </c>
      <c r="Q2509" t="s">
        <v>58</v>
      </c>
      <c r="R2509" s="11" t="str">
        <f>HYPERLINK("\\imagefiles.bcgov\imagery\scanned_maps\moe_terrain_maps\Scanned_T_maps_all\R04\R04-256","\\imagefiles.bcgov\imagery\scanned_maps\moe_terrain_maps\Scanned_T_maps_all\R04\R04-256")</f>
        <v>\\imagefiles.bcgov\imagery\scanned_maps\moe_terrain_maps\Scanned_T_maps_all\R04\R04-256</v>
      </c>
      <c r="S2509" t="s">
        <v>62</v>
      </c>
      <c r="T2509" s="11" t="str">
        <f>HYPERLINK("http://www.env.gov.bc.ca/esd/distdata/ecosystems/TEI_Scanned_Maps/R04/R04-256","http://www.env.gov.bc.ca/esd/distdata/ecosystems/TEI_Scanned_Maps/R04/R04-256")</f>
        <v>http://www.env.gov.bc.ca/esd/distdata/ecosystems/TEI_Scanned_Maps/R04/R04-256</v>
      </c>
      <c r="U2509" t="s">
        <v>58</v>
      </c>
      <c r="V2509" t="s">
        <v>58</v>
      </c>
      <c r="W2509" t="s">
        <v>58</v>
      </c>
      <c r="X2509" t="s">
        <v>58</v>
      </c>
      <c r="Y2509" t="s">
        <v>58</v>
      </c>
      <c r="Z2509" t="s">
        <v>58</v>
      </c>
      <c r="AA2509" t="s">
        <v>58</v>
      </c>
      <c r="AC2509" t="s">
        <v>58</v>
      </c>
      <c r="AE2509" t="s">
        <v>58</v>
      </c>
      <c r="AG2509" t="s">
        <v>63</v>
      </c>
      <c r="AH2509" s="11" t="str">
        <f t="shared" si="160"/>
        <v>mailto: soilterrain@victoria1.gov.bc.ca</v>
      </c>
    </row>
    <row r="2510" spans="1:34">
      <c r="A2510" t="s">
        <v>5697</v>
      </c>
      <c r="B2510" t="s">
        <v>56</v>
      </c>
      <c r="C2510" s="10" t="s">
        <v>5417</v>
      </c>
      <c r="D2510" t="s">
        <v>58</v>
      </c>
      <c r="E2510" t="s">
        <v>2952</v>
      </c>
      <c r="F2510" t="s">
        <v>5613</v>
      </c>
      <c r="G2510">
        <v>20000</v>
      </c>
      <c r="H2510">
        <v>1979</v>
      </c>
      <c r="I2510" t="s">
        <v>58</v>
      </c>
      <c r="J2510" t="s">
        <v>58</v>
      </c>
      <c r="K2510" t="s">
        <v>58</v>
      </c>
      <c r="L2510" t="s">
        <v>58</v>
      </c>
      <c r="M2510" t="s">
        <v>58</v>
      </c>
      <c r="P2510" t="s">
        <v>61</v>
      </c>
      <c r="Q2510" t="s">
        <v>58</v>
      </c>
      <c r="R2510" s="11" t="str">
        <f>HYPERLINK("\\imagefiles.bcgov\imagery\scanned_maps\moe_terrain_maps\Scanned_T_maps_all\R04\R04-263","\\imagefiles.bcgov\imagery\scanned_maps\moe_terrain_maps\Scanned_T_maps_all\R04\R04-263")</f>
        <v>\\imagefiles.bcgov\imagery\scanned_maps\moe_terrain_maps\Scanned_T_maps_all\R04\R04-263</v>
      </c>
      <c r="S2510" t="s">
        <v>62</v>
      </c>
      <c r="T2510" s="11" t="str">
        <f>HYPERLINK("http://www.env.gov.bc.ca/esd/distdata/ecosystems/TEI_Scanned_Maps/R04/R04-263","http://www.env.gov.bc.ca/esd/distdata/ecosystems/TEI_Scanned_Maps/R04/R04-263")</f>
        <v>http://www.env.gov.bc.ca/esd/distdata/ecosystems/TEI_Scanned_Maps/R04/R04-263</v>
      </c>
      <c r="U2510" t="s">
        <v>58</v>
      </c>
      <c r="V2510" t="s">
        <v>58</v>
      </c>
      <c r="W2510" t="s">
        <v>58</v>
      </c>
      <c r="X2510" t="s">
        <v>58</v>
      </c>
      <c r="Y2510" t="s">
        <v>58</v>
      </c>
      <c r="Z2510" t="s">
        <v>58</v>
      </c>
      <c r="AA2510" t="s">
        <v>58</v>
      </c>
      <c r="AC2510" t="s">
        <v>58</v>
      </c>
      <c r="AE2510" t="s">
        <v>58</v>
      </c>
      <c r="AG2510" t="s">
        <v>63</v>
      </c>
      <c r="AH2510" s="11" t="str">
        <f t="shared" si="160"/>
        <v>mailto: soilterrain@victoria1.gov.bc.ca</v>
      </c>
    </row>
    <row r="2511" spans="1:34">
      <c r="A2511" t="s">
        <v>5698</v>
      </c>
      <c r="B2511" t="s">
        <v>56</v>
      </c>
      <c r="C2511" s="10" t="s">
        <v>5419</v>
      </c>
      <c r="D2511" t="s">
        <v>58</v>
      </c>
      <c r="E2511" t="s">
        <v>2952</v>
      </c>
      <c r="F2511" t="s">
        <v>5613</v>
      </c>
      <c r="G2511">
        <v>20000</v>
      </c>
      <c r="H2511">
        <v>1979</v>
      </c>
      <c r="I2511" t="s">
        <v>58</v>
      </c>
      <c r="J2511" t="s">
        <v>58</v>
      </c>
      <c r="K2511" t="s">
        <v>58</v>
      </c>
      <c r="L2511" t="s">
        <v>58</v>
      </c>
      <c r="M2511" t="s">
        <v>58</v>
      </c>
      <c r="P2511" t="s">
        <v>61</v>
      </c>
      <c r="Q2511" t="s">
        <v>58</v>
      </c>
      <c r="R2511" s="11" t="str">
        <f>HYPERLINK("\\imagefiles.bcgov\imagery\scanned_maps\moe_terrain_maps\Scanned_T_maps_all\R04\R04-270","\\imagefiles.bcgov\imagery\scanned_maps\moe_terrain_maps\Scanned_T_maps_all\R04\R04-270")</f>
        <v>\\imagefiles.bcgov\imagery\scanned_maps\moe_terrain_maps\Scanned_T_maps_all\R04\R04-270</v>
      </c>
      <c r="S2511" t="s">
        <v>62</v>
      </c>
      <c r="T2511" s="11" t="str">
        <f>HYPERLINK("http://www.env.gov.bc.ca/esd/distdata/ecosystems/TEI_Scanned_Maps/R04/R04-270","http://www.env.gov.bc.ca/esd/distdata/ecosystems/TEI_Scanned_Maps/R04/R04-270")</f>
        <v>http://www.env.gov.bc.ca/esd/distdata/ecosystems/TEI_Scanned_Maps/R04/R04-270</v>
      </c>
      <c r="U2511" t="s">
        <v>58</v>
      </c>
      <c r="V2511" t="s">
        <v>58</v>
      </c>
      <c r="W2511" t="s">
        <v>58</v>
      </c>
      <c r="X2511" t="s">
        <v>58</v>
      </c>
      <c r="Y2511" t="s">
        <v>58</v>
      </c>
      <c r="Z2511" t="s">
        <v>58</v>
      </c>
      <c r="AA2511" t="s">
        <v>58</v>
      </c>
      <c r="AC2511" t="s">
        <v>58</v>
      </c>
      <c r="AE2511" t="s">
        <v>58</v>
      </c>
      <c r="AG2511" t="s">
        <v>63</v>
      </c>
      <c r="AH2511" s="11" t="str">
        <f t="shared" si="160"/>
        <v>mailto: soilterrain@victoria1.gov.bc.ca</v>
      </c>
    </row>
    <row r="2512" spans="1:34">
      <c r="A2512" t="s">
        <v>5699</v>
      </c>
      <c r="B2512" t="s">
        <v>56</v>
      </c>
      <c r="C2512" s="10" t="s">
        <v>5421</v>
      </c>
      <c r="D2512" t="s">
        <v>58</v>
      </c>
      <c r="E2512" t="s">
        <v>2952</v>
      </c>
      <c r="F2512" t="s">
        <v>5613</v>
      </c>
      <c r="G2512">
        <v>20000</v>
      </c>
      <c r="H2512">
        <v>1979</v>
      </c>
      <c r="I2512" t="s">
        <v>58</v>
      </c>
      <c r="J2512" t="s">
        <v>58</v>
      </c>
      <c r="K2512" t="s">
        <v>58</v>
      </c>
      <c r="L2512" t="s">
        <v>58</v>
      </c>
      <c r="M2512" t="s">
        <v>58</v>
      </c>
      <c r="P2512" t="s">
        <v>61</v>
      </c>
      <c r="Q2512" t="s">
        <v>58</v>
      </c>
      <c r="R2512" s="11" t="str">
        <f>HYPERLINK("\\imagefiles.bcgov\imagery\scanned_maps\moe_terrain_maps\Scanned_T_maps_all\R04\R04-277","\\imagefiles.bcgov\imagery\scanned_maps\moe_terrain_maps\Scanned_T_maps_all\R04\R04-277")</f>
        <v>\\imagefiles.bcgov\imagery\scanned_maps\moe_terrain_maps\Scanned_T_maps_all\R04\R04-277</v>
      </c>
      <c r="S2512" t="s">
        <v>62</v>
      </c>
      <c r="T2512" s="11" t="str">
        <f>HYPERLINK("http://www.env.gov.bc.ca/esd/distdata/ecosystems/TEI_Scanned_Maps/R04/R04-277","http://www.env.gov.bc.ca/esd/distdata/ecosystems/TEI_Scanned_Maps/R04/R04-277")</f>
        <v>http://www.env.gov.bc.ca/esd/distdata/ecosystems/TEI_Scanned_Maps/R04/R04-277</v>
      </c>
      <c r="U2512" t="s">
        <v>58</v>
      </c>
      <c r="V2512" t="s">
        <v>58</v>
      </c>
      <c r="W2512" t="s">
        <v>58</v>
      </c>
      <c r="X2512" t="s">
        <v>58</v>
      </c>
      <c r="Y2512" t="s">
        <v>58</v>
      </c>
      <c r="Z2512" t="s">
        <v>58</v>
      </c>
      <c r="AA2512" t="s">
        <v>58</v>
      </c>
      <c r="AC2512" t="s">
        <v>58</v>
      </c>
      <c r="AE2512" t="s">
        <v>58</v>
      </c>
      <c r="AG2512" t="s">
        <v>63</v>
      </c>
      <c r="AH2512" s="11" t="str">
        <f t="shared" si="160"/>
        <v>mailto: soilterrain@victoria1.gov.bc.ca</v>
      </c>
    </row>
    <row r="2513" spans="1:34">
      <c r="A2513" t="s">
        <v>5700</v>
      </c>
      <c r="B2513" t="s">
        <v>56</v>
      </c>
      <c r="C2513" s="10" t="s">
        <v>5423</v>
      </c>
      <c r="D2513" t="s">
        <v>58</v>
      </c>
      <c r="E2513" t="s">
        <v>2952</v>
      </c>
      <c r="F2513" t="s">
        <v>5613</v>
      </c>
      <c r="G2513">
        <v>20000</v>
      </c>
      <c r="H2513">
        <v>1979</v>
      </c>
      <c r="I2513" t="s">
        <v>58</v>
      </c>
      <c r="J2513" t="s">
        <v>58</v>
      </c>
      <c r="K2513" t="s">
        <v>58</v>
      </c>
      <c r="L2513" t="s">
        <v>58</v>
      </c>
      <c r="M2513" t="s">
        <v>58</v>
      </c>
      <c r="P2513" t="s">
        <v>61</v>
      </c>
      <c r="Q2513" t="s">
        <v>58</v>
      </c>
      <c r="R2513" s="11" t="str">
        <f>HYPERLINK("\\imagefiles.bcgov\imagery\scanned_maps\moe_terrain_maps\Scanned_T_maps_all\R04\R04-284","\\imagefiles.bcgov\imagery\scanned_maps\moe_terrain_maps\Scanned_T_maps_all\R04\R04-284")</f>
        <v>\\imagefiles.bcgov\imagery\scanned_maps\moe_terrain_maps\Scanned_T_maps_all\R04\R04-284</v>
      </c>
      <c r="S2513" t="s">
        <v>62</v>
      </c>
      <c r="T2513" s="11" t="str">
        <f>HYPERLINK("http://www.env.gov.bc.ca/esd/distdata/ecosystems/TEI_Scanned_Maps/R04/R04-284","http://www.env.gov.bc.ca/esd/distdata/ecosystems/TEI_Scanned_Maps/R04/R04-284")</f>
        <v>http://www.env.gov.bc.ca/esd/distdata/ecosystems/TEI_Scanned_Maps/R04/R04-284</v>
      </c>
      <c r="U2513" t="s">
        <v>58</v>
      </c>
      <c r="V2513" t="s">
        <v>58</v>
      </c>
      <c r="W2513" t="s">
        <v>58</v>
      </c>
      <c r="X2513" t="s">
        <v>58</v>
      </c>
      <c r="Y2513" t="s">
        <v>58</v>
      </c>
      <c r="Z2513" t="s">
        <v>58</v>
      </c>
      <c r="AA2513" t="s">
        <v>58</v>
      </c>
      <c r="AC2513" t="s">
        <v>58</v>
      </c>
      <c r="AE2513" t="s">
        <v>58</v>
      </c>
      <c r="AG2513" t="s">
        <v>63</v>
      </c>
      <c r="AH2513" s="11" t="str">
        <f t="shared" si="160"/>
        <v>mailto: soilterrain@victoria1.gov.bc.ca</v>
      </c>
    </row>
    <row r="2514" spans="1:34">
      <c r="A2514" t="s">
        <v>5701</v>
      </c>
      <c r="B2514" t="s">
        <v>56</v>
      </c>
      <c r="C2514" s="10" t="s">
        <v>5425</v>
      </c>
      <c r="D2514" t="s">
        <v>58</v>
      </c>
      <c r="E2514" t="s">
        <v>2952</v>
      </c>
      <c r="F2514" t="s">
        <v>5613</v>
      </c>
      <c r="G2514">
        <v>20000</v>
      </c>
      <c r="H2514">
        <v>1971</v>
      </c>
      <c r="I2514" t="s">
        <v>58</v>
      </c>
      <c r="J2514" t="s">
        <v>58</v>
      </c>
      <c r="K2514" t="s">
        <v>58</v>
      </c>
      <c r="L2514" t="s">
        <v>58</v>
      </c>
      <c r="M2514" t="s">
        <v>58</v>
      </c>
      <c r="P2514" t="s">
        <v>61</v>
      </c>
      <c r="Q2514" t="s">
        <v>58</v>
      </c>
      <c r="R2514" s="11" t="str">
        <f>HYPERLINK("\\imagefiles.bcgov\imagery\scanned_maps\moe_terrain_maps\Scanned_T_maps_all\R04\R04-291","\\imagefiles.bcgov\imagery\scanned_maps\moe_terrain_maps\Scanned_T_maps_all\R04\R04-291")</f>
        <v>\\imagefiles.bcgov\imagery\scanned_maps\moe_terrain_maps\Scanned_T_maps_all\R04\R04-291</v>
      </c>
      <c r="S2514" t="s">
        <v>62</v>
      </c>
      <c r="T2514" s="11" t="str">
        <f>HYPERLINK("http://www.env.gov.bc.ca/esd/distdata/ecosystems/TEI_Scanned_Maps/R04/R04-291","http://www.env.gov.bc.ca/esd/distdata/ecosystems/TEI_Scanned_Maps/R04/R04-291")</f>
        <v>http://www.env.gov.bc.ca/esd/distdata/ecosystems/TEI_Scanned_Maps/R04/R04-291</v>
      </c>
      <c r="U2514" t="s">
        <v>58</v>
      </c>
      <c r="V2514" t="s">
        <v>58</v>
      </c>
      <c r="W2514" t="s">
        <v>58</v>
      </c>
      <c r="X2514" t="s">
        <v>58</v>
      </c>
      <c r="Y2514" t="s">
        <v>58</v>
      </c>
      <c r="Z2514" t="s">
        <v>58</v>
      </c>
      <c r="AA2514" t="s">
        <v>58</v>
      </c>
      <c r="AC2514" t="s">
        <v>58</v>
      </c>
      <c r="AE2514" t="s">
        <v>58</v>
      </c>
      <c r="AG2514" t="s">
        <v>63</v>
      </c>
      <c r="AH2514" s="11" t="str">
        <f t="shared" si="160"/>
        <v>mailto: soilterrain@victoria1.gov.bc.ca</v>
      </c>
    </row>
    <row r="2515" spans="1:34">
      <c r="A2515" t="s">
        <v>5702</v>
      </c>
      <c r="B2515" t="s">
        <v>56</v>
      </c>
      <c r="C2515" s="10" t="s">
        <v>5427</v>
      </c>
      <c r="D2515" t="s">
        <v>58</v>
      </c>
      <c r="E2515" t="s">
        <v>2952</v>
      </c>
      <c r="F2515" t="s">
        <v>5613</v>
      </c>
      <c r="G2515">
        <v>20000</v>
      </c>
      <c r="H2515">
        <v>1981</v>
      </c>
      <c r="I2515" t="s">
        <v>58</v>
      </c>
      <c r="J2515" t="s">
        <v>58</v>
      </c>
      <c r="K2515" t="s">
        <v>58</v>
      </c>
      <c r="L2515" t="s">
        <v>58</v>
      </c>
      <c r="M2515" t="s">
        <v>58</v>
      </c>
      <c r="P2515" t="s">
        <v>61</v>
      </c>
      <c r="Q2515" t="s">
        <v>58</v>
      </c>
      <c r="R2515" s="11" t="str">
        <f>HYPERLINK("\\imagefiles.bcgov\imagery\scanned_maps\moe_terrain_maps\Scanned_T_maps_all\R04\R04-299","\\imagefiles.bcgov\imagery\scanned_maps\moe_terrain_maps\Scanned_T_maps_all\R04\R04-299")</f>
        <v>\\imagefiles.bcgov\imagery\scanned_maps\moe_terrain_maps\Scanned_T_maps_all\R04\R04-299</v>
      </c>
      <c r="S2515" t="s">
        <v>62</v>
      </c>
      <c r="T2515" s="11" t="str">
        <f>HYPERLINK("http://www.env.gov.bc.ca/esd/distdata/ecosystems/TEI_Scanned_Maps/R04/R04-299","http://www.env.gov.bc.ca/esd/distdata/ecosystems/TEI_Scanned_Maps/R04/R04-299")</f>
        <v>http://www.env.gov.bc.ca/esd/distdata/ecosystems/TEI_Scanned_Maps/R04/R04-299</v>
      </c>
      <c r="U2515" t="s">
        <v>58</v>
      </c>
      <c r="V2515" t="s">
        <v>58</v>
      </c>
      <c r="W2515" t="s">
        <v>58</v>
      </c>
      <c r="X2515" t="s">
        <v>58</v>
      </c>
      <c r="Y2515" t="s">
        <v>58</v>
      </c>
      <c r="Z2515" t="s">
        <v>58</v>
      </c>
      <c r="AA2515" t="s">
        <v>58</v>
      </c>
      <c r="AC2515" t="s">
        <v>58</v>
      </c>
      <c r="AE2515" t="s">
        <v>58</v>
      </c>
      <c r="AG2515" t="s">
        <v>63</v>
      </c>
      <c r="AH2515" s="11" t="str">
        <f t="shared" si="160"/>
        <v>mailto: soilterrain@victoria1.gov.bc.ca</v>
      </c>
    </row>
    <row r="2516" spans="1:34">
      <c r="A2516" t="s">
        <v>5703</v>
      </c>
      <c r="B2516" t="s">
        <v>56</v>
      </c>
      <c r="C2516" s="10" t="s">
        <v>4613</v>
      </c>
      <c r="D2516" t="s">
        <v>58</v>
      </c>
      <c r="E2516" t="s">
        <v>2952</v>
      </c>
      <c r="F2516" t="s">
        <v>5613</v>
      </c>
      <c r="G2516">
        <v>20000</v>
      </c>
      <c r="H2516">
        <v>1975</v>
      </c>
      <c r="I2516" t="s">
        <v>58</v>
      </c>
      <c r="J2516" t="s">
        <v>58</v>
      </c>
      <c r="K2516" t="s">
        <v>58</v>
      </c>
      <c r="L2516" t="s">
        <v>58</v>
      </c>
      <c r="M2516" t="s">
        <v>58</v>
      </c>
      <c r="P2516" t="s">
        <v>61</v>
      </c>
      <c r="Q2516" t="s">
        <v>58</v>
      </c>
      <c r="R2516" s="11" t="str">
        <f>HYPERLINK("\\imagefiles.bcgov\imagery\scanned_maps\moe_terrain_maps\Scanned_T_maps_all\R04\R04-306","\\imagefiles.bcgov\imagery\scanned_maps\moe_terrain_maps\Scanned_T_maps_all\R04\R04-306")</f>
        <v>\\imagefiles.bcgov\imagery\scanned_maps\moe_terrain_maps\Scanned_T_maps_all\R04\R04-306</v>
      </c>
      <c r="S2516" t="s">
        <v>62</v>
      </c>
      <c r="T2516" s="11" t="str">
        <f>HYPERLINK("http://www.env.gov.bc.ca/esd/distdata/ecosystems/TEI_Scanned_Maps/R04/R04-306","http://www.env.gov.bc.ca/esd/distdata/ecosystems/TEI_Scanned_Maps/R04/R04-306")</f>
        <v>http://www.env.gov.bc.ca/esd/distdata/ecosystems/TEI_Scanned_Maps/R04/R04-306</v>
      </c>
      <c r="U2516" t="s">
        <v>58</v>
      </c>
      <c r="V2516" t="s">
        <v>58</v>
      </c>
      <c r="W2516" t="s">
        <v>58</v>
      </c>
      <c r="X2516" t="s">
        <v>58</v>
      </c>
      <c r="Y2516" t="s">
        <v>58</v>
      </c>
      <c r="Z2516" t="s">
        <v>58</v>
      </c>
      <c r="AA2516" t="s">
        <v>58</v>
      </c>
      <c r="AC2516" t="s">
        <v>58</v>
      </c>
      <c r="AE2516" t="s">
        <v>58</v>
      </c>
      <c r="AG2516" t="s">
        <v>63</v>
      </c>
      <c r="AH2516" s="11" t="str">
        <f t="shared" si="160"/>
        <v>mailto: soilterrain@victoria1.gov.bc.ca</v>
      </c>
    </row>
    <row r="2517" spans="1:34">
      <c r="A2517" t="s">
        <v>5704</v>
      </c>
      <c r="B2517" t="s">
        <v>56</v>
      </c>
      <c r="C2517" s="10" t="s">
        <v>5430</v>
      </c>
      <c r="D2517" t="s">
        <v>58</v>
      </c>
      <c r="E2517" t="s">
        <v>2952</v>
      </c>
      <c r="F2517" t="s">
        <v>5613</v>
      </c>
      <c r="G2517">
        <v>20000</v>
      </c>
      <c r="H2517">
        <v>1975</v>
      </c>
      <c r="I2517" t="s">
        <v>58</v>
      </c>
      <c r="J2517" t="s">
        <v>58</v>
      </c>
      <c r="K2517" t="s">
        <v>58</v>
      </c>
      <c r="L2517" t="s">
        <v>58</v>
      </c>
      <c r="M2517" t="s">
        <v>58</v>
      </c>
      <c r="P2517" t="s">
        <v>61</v>
      </c>
      <c r="Q2517" t="s">
        <v>58</v>
      </c>
      <c r="R2517" s="11" t="str">
        <f>HYPERLINK("\\imagefiles.bcgov\imagery\scanned_maps\moe_terrain_maps\Scanned_T_maps_all\R04\R04-313","\\imagefiles.bcgov\imagery\scanned_maps\moe_terrain_maps\Scanned_T_maps_all\R04\R04-313")</f>
        <v>\\imagefiles.bcgov\imagery\scanned_maps\moe_terrain_maps\Scanned_T_maps_all\R04\R04-313</v>
      </c>
      <c r="S2517" t="s">
        <v>62</v>
      </c>
      <c r="T2517" s="11" t="str">
        <f>HYPERLINK("http://www.env.gov.bc.ca/esd/distdata/ecosystems/TEI_Scanned_Maps/R04/R04-313","http://www.env.gov.bc.ca/esd/distdata/ecosystems/TEI_Scanned_Maps/R04/R04-313")</f>
        <v>http://www.env.gov.bc.ca/esd/distdata/ecosystems/TEI_Scanned_Maps/R04/R04-313</v>
      </c>
      <c r="U2517" t="s">
        <v>58</v>
      </c>
      <c r="V2517" t="s">
        <v>58</v>
      </c>
      <c r="W2517" t="s">
        <v>58</v>
      </c>
      <c r="X2517" t="s">
        <v>58</v>
      </c>
      <c r="Y2517" t="s">
        <v>58</v>
      </c>
      <c r="Z2517" t="s">
        <v>58</v>
      </c>
      <c r="AA2517" t="s">
        <v>58</v>
      </c>
      <c r="AC2517" t="s">
        <v>58</v>
      </c>
      <c r="AE2517" t="s">
        <v>58</v>
      </c>
      <c r="AG2517" t="s">
        <v>63</v>
      </c>
      <c r="AH2517" s="11" t="str">
        <f t="shared" si="160"/>
        <v>mailto: soilterrain@victoria1.gov.bc.ca</v>
      </c>
    </row>
    <row r="2518" spans="1:34">
      <c r="A2518" t="s">
        <v>5705</v>
      </c>
      <c r="B2518" t="s">
        <v>56</v>
      </c>
      <c r="C2518" s="10" t="s">
        <v>5432</v>
      </c>
      <c r="D2518" t="s">
        <v>58</v>
      </c>
      <c r="E2518" t="s">
        <v>2952</v>
      </c>
      <c r="F2518" t="s">
        <v>5613</v>
      </c>
      <c r="G2518">
        <v>20000</v>
      </c>
      <c r="H2518">
        <v>1975</v>
      </c>
      <c r="I2518" t="s">
        <v>58</v>
      </c>
      <c r="J2518" t="s">
        <v>58</v>
      </c>
      <c r="K2518" t="s">
        <v>58</v>
      </c>
      <c r="L2518" t="s">
        <v>58</v>
      </c>
      <c r="M2518" t="s">
        <v>58</v>
      </c>
      <c r="P2518" t="s">
        <v>61</v>
      </c>
      <c r="Q2518" t="s">
        <v>58</v>
      </c>
      <c r="R2518" s="11" t="str">
        <f>HYPERLINK("\\imagefiles.bcgov\imagery\scanned_maps\moe_terrain_maps\Scanned_T_maps_all\R04\R04-656","\\imagefiles.bcgov\imagery\scanned_maps\moe_terrain_maps\Scanned_T_maps_all\R04\R04-656")</f>
        <v>\\imagefiles.bcgov\imagery\scanned_maps\moe_terrain_maps\Scanned_T_maps_all\R04\R04-656</v>
      </c>
      <c r="S2518" t="s">
        <v>62</v>
      </c>
      <c r="T2518" s="11" t="str">
        <f>HYPERLINK("http://www.env.gov.bc.ca/esd/distdata/ecosystems/TEI_Scanned_Maps/R04/R04-656","http://www.env.gov.bc.ca/esd/distdata/ecosystems/TEI_Scanned_Maps/R04/R04-656")</f>
        <v>http://www.env.gov.bc.ca/esd/distdata/ecosystems/TEI_Scanned_Maps/R04/R04-656</v>
      </c>
      <c r="U2518" t="s">
        <v>58</v>
      </c>
      <c r="V2518" t="s">
        <v>58</v>
      </c>
      <c r="W2518" t="s">
        <v>58</v>
      </c>
      <c r="X2518" t="s">
        <v>58</v>
      </c>
      <c r="Y2518" t="s">
        <v>58</v>
      </c>
      <c r="Z2518" t="s">
        <v>58</v>
      </c>
      <c r="AA2518" t="s">
        <v>58</v>
      </c>
      <c r="AC2518" t="s">
        <v>58</v>
      </c>
      <c r="AE2518" t="s">
        <v>58</v>
      </c>
      <c r="AG2518" t="s">
        <v>63</v>
      </c>
      <c r="AH2518" s="11" t="str">
        <f t="shared" si="160"/>
        <v>mailto: soilterrain@victoria1.gov.bc.ca</v>
      </c>
    </row>
    <row r="2519" spans="1:34">
      <c r="A2519" t="s">
        <v>5706</v>
      </c>
      <c r="B2519" t="s">
        <v>56</v>
      </c>
      <c r="C2519" s="10" t="s">
        <v>5434</v>
      </c>
      <c r="D2519" t="s">
        <v>58</v>
      </c>
      <c r="E2519" t="s">
        <v>2952</v>
      </c>
      <c r="F2519" t="s">
        <v>5613</v>
      </c>
      <c r="G2519">
        <v>20000</v>
      </c>
      <c r="H2519">
        <v>1975</v>
      </c>
      <c r="I2519" t="s">
        <v>58</v>
      </c>
      <c r="J2519" t="s">
        <v>58</v>
      </c>
      <c r="K2519" t="s">
        <v>58</v>
      </c>
      <c r="L2519" t="s">
        <v>58</v>
      </c>
      <c r="M2519" t="s">
        <v>58</v>
      </c>
      <c r="P2519" t="s">
        <v>61</v>
      </c>
      <c r="Q2519" t="s">
        <v>58</v>
      </c>
      <c r="R2519" s="11" t="str">
        <f>HYPERLINK("\\imagefiles.bcgov\imagery\scanned_maps\moe_terrain_maps\Scanned_T_maps_all\R04\R04-663","\\imagefiles.bcgov\imagery\scanned_maps\moe_terrain_maps\Scanned_T_maps_all\R04\R04-663")</f>
        <v>\\imagefiles.bcgov\imagery\scanned_maps\moe_terrain_maps\Scanned_T_maps_all\R04\R04-663</v>
      </c>
      <c r="S2519" t="s">
        <v>62</v>
      </c>
      <c r="T2519" s="11" t="str">
        <f>HYPERLINK("http://www.env.gov.bc.ca/esd/distdata/ecosystems/TEI_Scanned_Maps/R04/R04-663","http://www.env.gov.bc.ca/esd/distdata/ecosystems/TEI_Scanned_Maps/R04/R04-663")</f>
        <v>http://www.env.gov.bc.ca/esd/distdata/ecosystems/TEI_Scanned_Maps/R04/R04-663</v>
      </c>
      <c r="U2519" t="s">
        <v>58</v>
      </c>
      <c r="V2519" t="s">
        <v>58</v>
      </c>
      <c r="W2519" t="s">
        <v>58</v>
      </c>
      <c r="X2519" t="s">
        <v>58</v>
      </c>
      <c r="Y2519" t="s">
        <v>58</v>
      </c>
      <c r="Z2519" t="s">
        <v>58</v>
      </c>
      <c r="AA2519" t="s">
        <v>58</v>
      </c>
      <c r="AC2519" t="s">
        <v>58</v>
      </c>
      <c r="AE2519" t="s">
        <v>58</v>
      </c>
      <c r="AG2519" t="s">
        <v>63</v>
      </c>
      <c r="AH2519" s="11" t="str">
        <f t="shared" si="160"/>
        <v>mailto: soilterrain@victoria1.gov.bc.ca</v>
      </c>
    </row>
    <row r="2520" spans="1:34">
      <c r="A2520" t="s">
        <v>5707</v>
      </c>
      <c r="B2520" t="s">
        <v>56</v>
      </c>
      <c r="C2520" s="10" t="s">
        <v>5436</v>
      </c>
      <c r="D2520" t="s">
        <v>58</v>
      </c>
      <c r="E2520" t="s">
        <v>2952</v>
      </c>
      <c r="F2520" t="s">
        <v>5613</v>
      </c>
      <c r="G2520">
        <v>20000</v>
      </c>
      <c r="H2520">
        <v>1975</v>
      </c>
      <c r="I2520" t="s">
        <v>58</v>
      </c>
      <c r="J2520" t="s">
        <v>58</v>
      </c>
      <c r="K2520" t="s">
        <v>58</v>
      </c>
      <c r="L2520" t="s">
        <v>58</v>
      </c>
      <c r="M2520" t="s">
        <v>58</v>
      </c>
      <c r="P2520" t="s">
        <v>61</v>
      </c>
      <c r="Q2520" t="s">
        <v>58</v>
      </c>
      <c r="R2520" s="11" t="str">
        <f>HYPERLINK("\\imagefiles.bcgov\imagery\scanned_maps\moe_terrain_maps\Scanned_T_maps_all\R04\R04-670","\\imagefiles.bcgov\imagery\scanned_maps\moe_terrain_maps\Scanned_T_maps_all\R04\R04-670")</f>
        <v>\\imagefiles.bcgov\imagery\scanned_maps\moe_terrain_maps\Scanned_T_maps_all\R04\R04-670</v>
      </c>
      <c r="S2520" t="s">
        <v>62</v>
      </c>
      <c r="T2520" s="11" t="str">
        <f>HYPERLINK("http://www.env.gov.bc.ca/esd/distdata/ecosystems/TEI_Scanned_Maps/R04/R04-670","http://www.env.gov.bc.ca/esd/distdata/ecosystems/TEI_Scanned_Maps/R04/R04-670")</f>
        <v>http://www.env.gov.bc.ca/esd/distdata/ecosystems/TEI_Scanned_Maps/R04/R04-670</v>
      </c>
      <c r="U2520" t="s">
        <v>58</v>
      </c>
      <c r="V2520" t="s">
        <v>58</v>
      </c>
      <c r="W2520" t="s">
        <v>58</v>
      </c>
      <c r="X2520" t="s">
        <v>58</v>
      </c>
      <c r="Y2520" t="s">
        <v>58</v>
      </c>
      <c r="Z2520" t="s">
        <v>58</v>
      </c>
      <c r="AA2520" t="s">
        <v>58</v>
      </c>
      <c r="AC2520" t="s">
        <v>58</v>
      </c>
      <c r="AE2520" t="s">
        <v>58</v>
      </c>
      <c r="AG2520" t="s">
        <v>63</v>
      </c>
      <c r="AH2520" s="11" t="str">
        <f t="shared" si="160"/>
        <v>mailto: soilterrain@victoria1.gov.bc.ca</v>
      </c>
    </row>
    <row r="2521" spans="1:34">
      <c r="A2521" t="s">
        <v>5708</v>
      </c>
      <c r="B2521" t="s">
        <v>56</v>
      </c>
      <c r="C2521" s="10" t="s">
        <v>5438</v>
      </c>
      <c r="D2521" t="s">
        <v>58</v>
      </c>
      <c r="E2521" t="s">
        <v>2952</v>
      </c>
      <c r="F2521" t="s">
        <v>5613</v>
      </c>
      <c r="G2521">
        <v>20000</v>
      </c>
      <c r="H2521">
        <v>1975</v>
      </c>
      <c r="I2521" t="s">
        <v>58</v>
      </c>
      <c r="J2521" t="s">
        <v>58</v>
      </c>
      <c r="K2521" t="s">
        <v>58</v>
      </c>
      <c r="L2521" t="s">
        <v>58</v>
      </c>
      <c r="M2521" t="s">
        <v>58</v>
      </c>
      <c r="P2521" t="s">
        <v>61</v>
      </c>
      <c r="Q2521" t="s">
        <v>58</v>
      </c>
      <c r="R2521" s="11" t="str">
        <f>HYPERLINK("\\imagefiles.bcgov\imagery\scanned_maps\moe_terrain_maps\Scanned_T_maps_all\R04\R04-677","\\imagefiles.bcgov\imagery\scanned_maps\moe_terrain_maps\Scanned_T_maps_all\R04\R04-677")</f>
        <v>\\imagefiles.bcgov\imagery\scanned_maps\moe_terrain_maps\Scanned_T_maps_all\R04\R04-677</v>
      </c>
      <c r="S2521" t="s">
        <v>62</v>
      </c>
      <c r="T2521" s="11" t="str">
        <f>HYPERLINK("http://www.env.gov.bc.ca/esd/distdata/ecosystems/TEI_Scanned_Maps/R04/R04-677","http://www.env.gov.bc.ca/esd/distdata/ecosystems/TEI_Scanned_Maps/R04/R04-677")</f>
        <v>http://www.env.gov.bc.ca/esd/distdata/ecosystems/TEI_Scanned_Maps/R04/R04-677</v>
      </c>
      <c r="U2521" t="s">
        <v>58</v>
      </c>
      <c r="V2521" t="s">
        <v>58</v>
      </c>
      <c r="W2521" t="s">
        <v>58</v>
      </c>
      <c r="X2521" t="s">
        <v>58</v>
      </c>
      <c r="Y2521" t="s">
        <v>58</v>
      </c>
      <c r="Z2521" t="s">
        <v>58</v>
      </c>
      <c r="AA2521" t="s">
        <v>58</v>
      </c>
      <c r="AC2521" t="s">
        <v>58</v>
      </c>
      <c r="AE2521" t="s">
        <v>58</v>
      </c>
      <c r="AG2521" t="s">
        <v>63</v>
      </c>
      <c r="AH2521" s="11" t="str">
        <f t="shared" si="160"/>
        <v>mailto: soilterrain@victoria1.gov.bc.ca</v>
      </c>
    </row>
    <row r="2522" spans="1:34">
      <c r="A2522" t="s">
        <v>5709</v>
      </c>
      <c r="B2522" t="s">
        <v>56</v>
      </c>
      <c r="C2522" s="10" t="s">
        <v>5440</v>
      </c>
      <c r="D2522" t="s">
        <v>58</v>
      </c>
      <c r="E2522" t="s">
        <v>2952</v>
      </c>
      <c r="F2522" t="s">
        <v>5613</v>
      </c>
      <c r="G2522">
        <v>20000</v>
      </c>
      <c r="H2522">
        <v>1975</v>
      </c>
      <c r="I2522" t="s">
        <v>58</v>
      </c>
      <c r="J2522" t="s">
        <v>58</v>
      </c>
      <c r="K2522" t="s">
        <v>58</v>
      </c>
      <c r="L2522" t="s">
        <v>58</v>
      </c>
      <c r="M2522" t="s">
        <v>58</v>
      </c>
      <c r="P2522" t="s">
        <v>61</v>
      </c>
      <c r="Q2522" t="s">
        <v>58</v>
      </c>
      <c r="R2522" s="11" t="str">
        <f>HYPERLINK("\\imagefiles.bcgov\imagery\scanned_maps\moe_terrain_maps\Scanned_T_maps_all\R04\R04-684","\\imagefiles.bcgov\imagery\scanned_maps\moe_terrain_maps\Scanned_T_maps_all\R04\R04-684")</f>
        <v>\\imagefiles.bcgov\imagery\scanned_maps\moe_terrain_maps\Scanned_T_maps_all\R04\R04-684</v>
      </c>
      <c r="S2522" t="s">
        <v>62</v>
      </c>
      <c r="T2522" s="11" t="str">
        <f>HYPERLINK("http://www.env.gov.bc.ca/esd/distdata/ecosystems/TEI_Scanned_Maps/R04/R04-684","http://www.env.gov.bc.ca/esd/distdata/ecosystems/TEI_Scanned_Maps/R04/R04-684")</f>
        <v>http://www.env.gov.bc.ca/esd/distdata/ecosystems/TEI_Scanned_Maps/R04/R04-684</v>
      </c>
      <c r="U2522" t="s">
        <v>58</v>
      </c>
      <c r="V2522" t="s">
        <v>58</v>
      </c>
      <c r="W2522" t="s">
        <v>58</v>
      </c>
      <c r="X2522" t="s">
        <v>58</v>
      </c>
      <c r="Y2522" t="s">
        <v>58</v>
      </c>
      <c r="Z2522" t="s">
        <v>58</v>
      </c>
      <c r="AA2522" t="s">
        <v>58</v>
      </c>
      <c r="AC2522" t="s">
        <v>58</v>
      </c>
      <c r="AE2522" t="s">
        <v>58</v>
      </c>
      <c r="AG2522" t="s">
        <v>63</v>
      </c>
      <c r="AH2522" s="11" t="str">
        <f t="shared" si="160"/>
        <v>mailto: soilterrain@victoria1.gov.bc.ca</v>
      </c>
    </row>
    <row r="2523" spans="1:34">
      <c r="A2523" t="s">
        <v>5710</v>
      </c>
      <c r="B2523" t="s">
        <v>56</v>
      </c>
      <c r="C2523" s="10" t="s">
        <v>5442</v>
      </c>
      <c r="D2523" t="s">
        <v>58</v>
      </c>
      <c r="E2523" t="s">
        <v>2952</v>
      </c>
      <c r="F2523" t="s">
        <v>5613</v>
      </c>
      <c r="G2523">
        <v>20000</v>
      </c>
      <c r="H2523">
        <v>1975</v>
      </c>
      <c r="I2523" t="s">
        <v>58</v>
      </c>
      <c r="J2523" t="s">
        <v>58</v>
      </c>
      <c r="K2523" t="s">
        <v>58</v>
      </c>
      <c r="L2523" t="s">
        <v>58</v>
      </c>
      <c r="M2523" t="s">
        <v>58</v>
      </c>
      <c r="P2523" t="s">
        <v>61</v>
      </c>
      <c r="Q2523" t="s">
        <v>58</v>
      </c>
      <c r="R2523" s="11" t="str">
        <f>HYPERLINK("\\imagefiles.bcgov\imagery\scanned_maps\moe_terrain_maps\Scanned_T_maps_all\R04\R04-691","\\imagefiles.bcgov\imagery\scanned_maps\moe_terrain_maps\Scanned_T_maps_all\R04\R04-691")</f>
        <v>\\imagefiles.bcgov\imagery\scanned_maps\moe_terrain_maps\Scanned_T_maps_all\R04\R04-691</v>
      </c>
      <c r="S2523" t="s">
        <v>62</v>
      </c>
      <c r="T2523" s="11" t="str">
        <f>HYPERLINK("http://www.env.gov.bc.ca/esd/distdata/ecosystems/TEI_Scanned_Maps/R04/R04-691","http://www.env.gov.bc.ca/esd/distdata/ecosystems/TEI_Scanned_Maps/R04/R04-691")</f>
        <v>http://www.env.gov.bc.ca/esd/distdata/ecosystems/TEI_Scanned_Maps/R04/R04-691</v>
      </c>
      <c r="U2523" t="s">
        <v>58</v>
      </c>
      <c r="V2523" t="s">
        <v>58</v>
      </c>
      <c r="W2523" t="s">
        <v>58</v>
      </c>
      <c r="X2523" t="s">
        <v>58</v>
      </c>
      <c r="Y2523" t="s">
        <v>58</v>
      </c>
      <c r="Z2523" t="s">
        <v>58</v>
      </c>
      <c r="AA2523" t="s">
        <v>58</v>
      </c>
      <c r="AC2523" t="s">
        <v>58</v>
      </c>
      <c r="AE2523" t="s">
        <v>58</v>
      </c>
      <c r="AG2523" t="s">
        <v>63</v>
      </c>
      <c r="AH2523" s="11" t="str">
        <f t="shared" si="160"/>
        <v>mailto: soilterrain@victoria1.gov.bc.ca</v>
      </c>
    </row>
    <row r="2524" spans="1:34">
      <c r="A2524" t="s">
        <v>5711</v>
      </c>
      <c r="B2524" t="s">
        <v>56</v>
      </c>
      <c r="C2524" s="10" t="s">
        <v>5444</v>
      </c>
      <c r="D2524" t="s">
        <v>58</v>
      </c>
      <c r="E2524" t="s">
        <v>2952</v>
      </c>
      <c r="F2524" t="s">
        <v>5613</v>
      </c>
      <c r="G2524">
        <v>20000</v>
      </c>
      <c r="H2524">
        <v>1975</v>
      </c>
      <c r="I2524" t="s">
        <v>58</v>
      </c>
      <c r="J2524" t="s">
        <v>58</v>
      </c>
      <c r="K2524" t="s">
        <v>58</v>
      </c>
      <c r="L2524" t="s">
        <v>58</v>
      </c>
      <c r="M2524" t="s">
        <v>58</v>
      </c>
      <c r="P2524" t="s">
        <v>61</v>
      </c>
      <c r="Q2524" t="s">
        <v>58</v>
      </c>
      <c r="R2524" s="11" t="str">
        <f>HYPERLINK("\\imagefiles.bcgov\imagery\scanned_maps\moe_terrain_maps\Scanned_T_maps_all\R04\R04-698","\\imagefiles.bcgov\imagery\scanned_maps\moe_terrain_maps\Scanned_T_maps_all\R04\R04-698")</f>
        <v>\\imagefiles.bcgov\imagery\scanned_maps\moe_terrain_maps\Scanned_T_maps_all\R04\R04-698</v>
      </c>
      <c r="S2524" t="s">
        <v>62</v>
      </c>
      <c r="T2524" s="11" t="str">
        <f>HYPERLINK("http://www.env.gov.bc.ca/esd/distdata/ecosystems/TEI_Scanned_Maps/R04/R04-698","http://www.env.gov.bc.ca/esd/distdata/ecosystems/TEI_Scanned_Maps/R04/R04-698")</f>
        <v>http://www.env.gov.bc.ca/esd/distdata/ecosystems/TEI_Scanned_Maps/R04/R04-698</v>
      </c>
      <c r="U2524" t="s">
        <v>58</v>
      </c>
      <c r="V2524" t="s">
        <v>58</v>
      </c>
      <c r="W2524" t="s">
        <v>58</v>
      </c>
      <c r="X2524" t="s">
        <v>58</v>
      </c>
      <c r="Y2524" t="s">
        <v>58</v>
      </c>
      <c r="Z2524" t="s">
        <v>58</v>
      </c>
      <c r="AA2524" t="s">
        <v>58</v>
      </c>
      <c r="AC2524" t="s">
        <v>58</v>
      </c>
      <c r="AE2524" t="s">
        <v>58</v>
      </c>
      <c r="AG2524" t="s">
        <v>63</v>
      </c>
      <c r="AH2524" s="11" t="str">
        <f t="shared" si="160"/>
        <v>mailto: soilterrain@victoria1.gov.bc.ca</v>
      </c>
    </row>
    <row r="2525" spans="1:34">
      <c r="A2525" t="s">
        <v>5712</v>
      </c>
      <c r="B2525" t="s">
        <v>56</v>
      </c>
      <c r="C2525" s="10" t="s">
        <v>4653</v>
      </c>
      <c r="D2525" t="s">
        <v>58</v>
      </c>
      <c r="E2525" t="s">
        <v>2952</v>
      </c>
      <c r="F2525" t="s">
        <v>5613</v>
      </c>
      <c r="G2525">
        <v>20000</v>
      </c>
      <c r="H2525">
        <v>1975</v>
      </c>
      <c r="I2525" t="s">
        <v>58</v>
      </c>
      <c r="J2525" t="s">
        <v>58</v>
      </c>
      <c r="K2525" t="s">
        <v>58</v>
      </c>
      <c r="L2525" t="s">
        <v>58</v>
      </c>
      <c r="M2525" t="s">
        <v>58</v>
      </c>
      <c r="P2525" t="s">
        <v>61</v>
      </c>
      <c r="Q2525" t="s">
        <v>58</v>
      </c>
      <c r="R2525" s="11" t="str">
        <f>HYPERLINK("\\imagefiles.bcgov\imagery\scanned_maps\moe_terrain_maps\Scanned_T_maps_all\R04\R04-705","\\imagefiles.bcgov\imagery\scanned_maps\moe_terrain_maps\Scanned_T_maps_all\R04\R04-705")</f>
        <v>\\imagefiles.bcgov\imagery\scanned_maps\moe_terrain_maps\Scanned_T_maps_all\R04\R04-705</v>
      </c>
      <c r="S2525" t="s">
        <v>62</v>
      </c>
      <c r="T2525" s="11" t="str">
        <f>HYPERLINK("http://www.env.gov.bc.ca/esd/distdata/ecosystems/TEI_Scanned_Maps/R04/R04-705","http://www.env.gov.bc.ca/esd/distdata/ecosystems/TEI_Scanned_Maps/R04/R04-705")</f>
        <v>http://www.env.gov.bc.ca/esd/distdata/ecosystems/TEI_Scanned_Maps/R04/R04-705</v>
      </c>
      <c r="U2525" t="s">
        <v>58</v>
      </c>
      <c r="V2525" t="s">
        <v>58</v>
      </c>
      <c r="W2525" t="s">
        <v>58</v>
      </c>
      <c r="X2525" t="s">
        <v>58</v>
      </c>
      <c r="Y2525" t="s">
        <v>58</v>
      </c>
      <c r="Z2525" t="s">
        <v>58</v>
      </c>
      <c r="AA2525" t="s">
        <v>58</v>
      </c>
      <c r="AC2525" t="s">
        <v>58</v>
      </c>
      <c r="AE2525" t="s">
        <v>58</v>
      </c>
      <c r="AG2525" t="s">
        <v>63</v>
      </c>
      <c r="AH2525" s="11" t="str">
        <f t="shared" si="160"/>
        <v>mailto: soilterrain@victoria1.gov.bc.ca</v>
      </c>
    </row>
    <row r="2526" spans="1:34">
      <c r="A2526" t="s">
        <v>5713</v>
      </c>
      <c r="B2526" t="s">
        <v>56</v>
      </c>
      <c r="C2526" s="10" t="s">
        <v>5447</v>
      </c>
      <c r="D2526" t="s">
        <v>58</v>
      </c>
      <c r="E2526" t="s">
        <v>2952</v>
      </c>
      <c r="F2526" t="s">
        <v>5613</v>
      </c>
      <c r="G2526">
        <v>20000</v>
      </c>
      <c r="H2526">
        <v>1975</v>
      </c>
      <c r="I2526" t="s">
        <v>58</v>
      </c>
      <c r="J2526" t="s">
        <v>58</v>
      </c>
      <c r="K2526" t="s">
        <v>58</v>
      </c>
      <c r="L2526" t="s">
        <v>58</v>
      </c>
      <c r="M2526" t="s">
        <v>58</v>
      </c>
      <c r="P2526" t="s">
        <v>61</v>
      </c>
      <c r="Q2526" t="s">
        <v>58</v>
      </c>
      <c r="R2526" s="11" t="str">
        <f>HYPERLINK("\\imagefiles.bcgov\imagery\scanned_maps\moe_terrain_maps\Scanned_T_maps_all\R04\R04-712","\\imagefiles.bcgov\imagery\scanned_maps\moe_terrain_maps\Scanned_T_maps_all\R04\R04-712")</f>
        <v>\\imagefiles.bcgov\imagery\scanned_maps\moe_terrain_maps\Scanned_T_maps_all\R04\R04-712</v>
      </c>
      <c r="S2526" t="s">
        <v>62</v>
      </c>
      <c r="T2526" s="11" t="str">
        <f>HYPERLINK("http://www.env.gov.bc.ca/esd/distdata/ecosystems/TEI_Scanned_Maps/R04/R04-712","http://www.env.gov.bc.ca/esd/distdata/ecosystems/TEI_Scanned_Maps/R04/R04-712")</f>
        <v>http://www.env.gov.bc.ca/esd/distdata/ecosystems/TEI_Scanned_Maps/R04/R04-712</v>
      </c>
      <c r="U2526" t="s">
        <v>58</v>
      </c>
      <c r="V2526" t="s">
        <v>58</v>
      </c>
      <c r="W2526" t="s">
        <v>58</v>
      </c>
      <c r="X2526" t="s">
        <v>58</v>
      </c>
      <c r="Y2526" t="s">
        <v>58</v>
      </c>
      <c r="Z2526" t="s">
        <v>58</v>
      </c>
      <c r="AA2526" t="s">
        <v>58</v>
      </c>
      <c r="AC2526" t="s">
        <v>58</v>
      </c>
      <c r="AE2526" t="s">
        <v>58</v>
      </c>
      <c r="AG2526" t="s">
        <v>63</v>
      </c>
      <c r="AH2526" s="11" t="str">
        <f t="shared" si="160"/>
        <v>mailto: soilterrain@victoria1.gov.bc.ca</v>
      </c>
    </row>
    <row r="2527" spans="1:34">
      <c r="A2527" t="s">
        <v>5714</v>
      </c>
      <c r="B2527" t="s">
        <v>56</v>
      </c>
      <c r="C2527" s="10" t="s">
        <v>5449</v>
      </c>
      <c r="D2527" t="s">
        <v>58</v>
      </c>
      <c r="E2527" t="s">
        <v>2952</v>
      </c>
      <c r="F2527" t="s">
        <v>5613</v>
      </c>
      <c r="G2527">
        <v>20000</v>
      </c>
      <c r="H2527">
        <v>1977</v>
      </c>
      <c r="I2527" t="s">
        <v>58</v>
      </c>
      <c r="J2527" t="s">
        <v>58</v>
      </c>
      <c r="K2527" t="s">
        <v>58</v>
      </c>
      <c r="L2527" t="s">
        <v>58</v>
      </c>
      <c r="M2527" t="s">
        <v>58</v>
      </c>
      <c r="P2527" t="s">
        <v>61</v>
      </c>
      <c r="Q2527" t="s">
        <v>58</v>
      </c>
      <c r="R2527" s="11" t="str">
        <f>HYPERLINK("\\imagefiles.bcgov\imagery\scanned_maps\moe_terrain_maps\Scanned_T_maps_all\R04\R04-720","\\imagefiles.bcgov\imagery\scanned_maps\moe_terrain_maps\Scanned_T_maps_all\R04\R04-720")</f>
        <v>\\imagefiles.bcgov\imagery\scanned_maps\moe_terrain_maps\Scanned_T_maps_all\R04\R04-720</v>
      </c>
      <c r="S2527" t="s">
        <v>62</v>
      </c>
      <c r="T2527" s="11" t="str">
        <f>HYPERLINK("http://www.env.gov.bc.ca/esd/distdata/ecosystems/TEI_Scanned_Maps/R04/R04-720","http://www.env.gov.bc.ca/esd/distdata/ecosystems/TEI_Scanned_Maps/R04/R04-720")</f>
        <v>http://www.env.gov.bc.ca/esd/distdata/ecosystems/TEI_Scanned_Maps/R04/R04-720</v>
      </c>
      <c r="U2527" t="s">
        <v>58</v>
      </c>
      <c r="V2527" t="s">
        <v>58</v>
      </c>
      <c r="W2527" t="s">
        <v>58</v>
      </c>
      <c r="X2527" t="s">
        <v>58</v>
      </c>
      <c r="Y2527" t="s">
        <v>58</v>
      </c>
      <c r="Z2527" t="s">
        <v>58</v>
      </c>
      <c r="AA2527" t="s">
        <v>58</v>
      </c>
      <c r="AC2527" t="s">
        <v>58</v>
      </c>
      <c r="AE2527" t="s">
        <v>58</v>
      </c>
      <c r="AG2527" t="s">
        <v>63</v>
      </c>
      <c r="AH2527" s="11" t="str">
        <f t="shared" si="160"/>
        <v>mailto: soilterrain@victoria1.gov.bc.ca</v>
      </c>
    </row>
    <row r="2528" spans="1:34">
      <c r="A2528" t="s">
        <v>5715</v>
      </c>
      <c r="B2528" t="s">
        <v>56</v>
      </c>
      <c r="C2528" s="10" t="s">
        <v>4904</v>
      </c>
      <c r="D2528" t="s">
        <v>58</v>
      </c>
      <c r="E2528" t="s">
        <v>2952</v>
      </c>
      <c r="F2528" t="s">
        <v>5613</v>
      </c>
      <c r="G2528">
        <v>20000</v>
      </c>
      <c r="H2528">
        <v>1974</v>
      </c>
      <c r="I2528" t="s">
        <v>58</v>
      </c>
      <c r="J2528" t="s">
        <v>58</v>
      </c>
      <c r="K2528" t="s">
        <v>58</v>
      </c>
      <c r="L2528" t="s">
        <v>58</v>
      </c>
      <c r="M2528" t="s">
        <v>58</v>
      </c>
      <c r="P2528" t="s">
        <v>61</v>
      </c>
      <c r="Q2528" t="s">
        <v>58</v>
      </c>
      <c r="R2528" s="11" t="str">
        <f>HYPERLINK("\\imagefiles.bcgov\imagery\scanned_maps\moe_terrain_maps\Scanned_T_maps_all\R04\R04-728","\\imagefiles.bcgov\imagery\scanned_maps\moe_terrain_maps\Scanned_T_maps_all\R04\R04-728")</f>
        <v>\\imagefiles.bcgov\imagery\scanned_maps\moe_terrain_maps\Scanned_T_maps_all\R04\R04-728</v>
      </c>
      <c r="S2528" t="s">
        <v>62</v>
      </c>
      <c r="T2528" s="11" t="str">
        <f>HYPERLINK("http://www.env.gov.bc.ca/esd/distdata/ecosystems/TEI_Scanned_Maps/R04/R04-728","http://www.env.gov.bc.ca/esd/distdata/ecosystems/TEI_Scanned_Maps/R04/R04-728")</f>
        <v>http://www.env.gov.bc.ca/esd/distdata/ecosystems/TEI_Scanned_Maps/R04/R04-728</v>
      </c>
      <c r="U2528" t="s">
        <v>58</v>
      </c>
      <c r="V2528" t="s">
        <v>58</v>
      </c>
      <c r="W2528" t="s">
        <v>58</v>
      </c>
      <c r="X2528" t="s">
        <v>58</v>
      </c>
      <c r="Y2528" t="s">
        <v>58</v>
      </c>
      <c r="Z2528" t="s">
        <v>58</v>
      </c>
      <c r="AA2528" t="s">
        <v>58</v>
      </c>
      <c r="AC2528" t="s">
        <v>58</v>
      </c>
      <c r="AE2528" t="s">
        <v>58</v>
      </c>
      <c r="AG2528" t="s">
        <v>63</v>
      </c>
      <c r="AH2528" s="11" t="str">
        <f t="shared" si="160"/>
        <v>mailto: soilterrain@victoria1.gov.bc.ca</v>
      </c>
    </row>
    <row r="2529" spans="1:34">
      <c r="A2529" t="s">
        <v>5716</v>
      </c>
      <c r="B2529" t="s">
        <v>56</v>
      </c>
      <c r="C2529" s="10" t="s">
        <v>5452</v>
      </c>
      <c r="D2529" t="s">
        <v>58</v>
      </c>
      <c r="E2529" t="s">
        <v>2952</v>
      </c>
      <c r="F2529" t="s">
        <v>5613</v>
      </c>
      <c r="G2529">
        <v>20000</v>
      </c>
      <c r="H2529">
        <v>1977</v>
      </c>
      <c r="I2529" t="s">
        <v>58</v>
      </c>
      <c r="J2529" t="s">
        <v>58</v>
      </c>
      <c r="K2529" t="s">
        <v>58</v>
      </c>
      <c r="L2529" t="s">
        <v>58</v>
      </c>
      <c r="M2529" t="s">
        <v>58</v>
      </c>
      <c r="P2529" t="s">
        <v>61</v>
      </c>
      <c r="Q2529" t="s">
        <v>58</v>
      </c>
      <c r="R2529" s="11" t="str">
        <f>HYPERLINK("\\imagefiles.bcgov\imagery\scanned_maps\moe_terrain_maps\Scanned_T_maps_all\R04\R04-735","\\imagefiles.bcgov\imagery\scanned_maps\moe_terrain_maps\Scanned_T_maps_all\R04\R04-735")</f>
        <v>\\imagefiles.bcgov\imagery\scanned_maps\moe_terrain_maps\Scanned_T_maps_all\R04\R04-735</v>
      </c>
      <c r="S2529" t="s">
        <v>62</v>
      </c>
      <c r="T2529" s="11" t="str">
        <f>HYPERLINK("http://www.env.gov.bc.ca/esd/distdata/ecosystems/TEI_Scanned_Maps/R04/R04-735","http://www.env.gov.bc.ca/esd/distdata/ecosystems/TEI_Scanned_Maps/R04/R04-735")</f>
        <v>http://www.env.gov.bc.ca/esd/distdata/ecosystems/TEI_Scanned_Maps/R04/R04-735</v>
      </c>
      <c r="U2529" t="s">
        <v>58</v>
      </c>
      <c r="V2529" t="s">
        <v>58</v>
      </c>
      <c r="W2529" t="s">
        <v>58</v>
      </c>
      <c r="X2529" t="s">
        <v>58</v>
      </c>
      <c r="Y2529" t="s">
        <v>58</v>
      </c>
      <c r="Z2529" t="s">
        <v>58</v>
      </c>
      <c r="AA2529" t="s">
        <v>58</v>
      </c>
      <c r="AC2529" t="s">
        <v>58</v>
      </c>
      <c r="AE2529" t="s">
        <v>58</v>
      </c>
      <c r="AG2529" t="s">
        <v>63</v>
      </c>
      <c r="AH2529" s="11" t="str">
        <f t="shared" si="160"/>
        <v>mailto: soilterrain@victoria1.gov.bc.ca</v>
      </c>
    </row>
    <row r="2530" spans="1:34">
      <c r="A2530" t="s">
        <v>5717</v>
      </c>
      <c r="B2530" t="s">
        <v>56</v>
      </c>
      <c r="C2530" s="10" t="s">
        <v>5454</v>
      </c>
      <c r="D2530" t="s">
        <v>58</v>
      </c>
      <c r="E2530" t="s">
        <v>2952</v>
      </c>
      <c r="F2530" t="s">
        <v>5613</v>
      </c>
      <c r="G2530">
        <v>20000</v>
      </c>
      <c r="H2530">
        <v>1974</v>
      </c>
      <c r="I2530" t="s">
        <v>58</v>
      </c>
      <c r="J2530" t="s">
        <v>58</v>
      </c>
      <c r="K2530" t="s">
        <v>58</v>
      </c>
      <c r="L2530" t="s">
        <v>58</v>
      </c>
      <c r="M2530" t="s">
        <v>58</v>
      </c>
      <c r="P2530" t="s">
        <v>61</v>
      </c>
      <c r="Q2530" t="s">
        <v>58</v>
      </c>
      <c r="R2530" s="11" t="str">
        <f>HYPERLINK("\\imagefiles.bcgov\imagery\scanned_maps\moe_terrain_maps\Scanned_T_maps_all\R04\R04-742","\\imagefiles.bcgov\imagery\scanned_maps\moe_terrain_maps\Scanned_T_maps_all\R04\R04-742")</f>
        <v>\\imagefiles.bcgov\imagery\scanned_maps\moe_terrain_maps\Scanned_T_maps_all\R04\R04-742</v>
      </c>
      <c r="S2530" t="s">
        <v>62</v>
      </c>
      <c r="T2530" s="11" t="str">
        <f>HYPERLINK("http://www.env.gov.bc.ca/esd/distdata/ecosystems/TEI_Scanned_Maps/R04/R04-742","http://www.env.gov.bc.ca/esd/distdata/ecosystems/TEI_Scanned_Maps/R04/R04-742")</f>
        <v>http://www.env.gov.bc.ca/esd/distdata/ecosystems/TEI_Scanned_Maps/R04/R04-742</v>
      </c>
      <c r="U2530" t="s">
        <v>58</v>
      </c>
      <c r="V2530" t="s">
        <v>58</v>
      </c>
      <c r="W2530" t="s">
        <v>58</v>
      </c>
      <c r="X2530" t="s">
        <v>58</v>
      </c>
      <c r="Y2530" t="s">
        <v>58</v>
      </c>
      <c r="Z2530" t="s">
        <v>58</v>
      </c>
      <c r="AA2530" t="s">
        <v>58</v>
      </c>
      <c r="AC2530" t="s">
        <v>58</v>
      </c>
      <c r="AE2530" t="s">
        <v>58</v>
      </c>
      <c r="AG2530" t="s">
        <v>63</v>
      </c>
      <c r="AH2530" s="11" t="str">
        <f t="shared" si="160"/>
        <v>mailto: soilterrain@victoria1.gov.bc.ca</v>
      </c>
    </row>
    <row r="2531" spans="1:34">
      <c r="A2531" t="s">
        <v>5718</v>
      </c>
      <c r="B2531" t="s">
        <v>56</v>
      </c>
      <c r="C2531" s="10" t="s">
        <v>5456</v>
      </c>
      <c r="D2531" t="s">
        <v>58</v>
      </c>
      <c r="E2531" t="s">
        <v>2952</v>
      </c>
      <c r="F2531" t="s">
        <v>5613</v>
      </c>
      <c r="G2531">
        <v>20000</v>
      </c>
      <c r="H2531">
        <v>1975</v>
      </c>
      <c r="I2531" t="s">
        <v>58</v>
      </c>
      <c r="J2531" t="s">
        <v>58</v>
      </c>
      <c r="K2531" t="s">
        <v>58</v>
      </c>
      <c r="L2531" t="s">
        <v>58</v>
      </c>
      <c r="M2531" t="s">
        <v>58</v>
      </c>
      <c r="P2531" t="s">
        <v>61</v>
      </c>
      <c r="Q2531" t="s">
        <v>58</v>
      </c>
      <c r="R2531" s="11" t="str">
        <f>HYPERLINK("\\imagefiles.bcgov\imagery\scanned_maps\moe_terrain_maps\Scanned_T_maps_all\R04\R04-749","\\imagefiles.bcgov\imagery\scanned_maps\moe_terrain_maps\Scanned_T_maps_all\R04\R04-749")</f>
        <v>\\imagefiles.bcgov\imagery\scanned_maps\moe_terrain_maps\Scanned_T_maps_all\R04\R04-749</v>
      </c>
      <c r="S2531" t="s">
        <v>62</v>
      </c>
      <c r="T2531" s="11" t="str">
        <f>HYPERLINK("http://www.env.gov.bc.ca/esd/distdata/ecosystems/TEI_Scanned_Maps/R04/R04-749","http://www.env.gov.bc.ca/esd/distdata/ecosystems/TEI_Scanned_Maps/R04/R04-749")</f>
        <v>http://www.env.gov.bc.ca/esd/distdata/ecosystems/TEI_Scanned_Maps/R04/R04-749</v>
      </c>
      <c r="U2531" t="s">
        <v>58</v>
      </c>
      <c r="V2531" t="s">
        <v>58</v>
      </c>
      <c r="W2531" t="s">
        <v>58</v>
      </c>
      <c r="X2531" t="s">
        <v>58</v>
      </c>
      <c r="Y2531" t="s">
        <v>58</v>
      </c>
      <c r="Z2531" t="s">
        <v>58</v>
      </c>
      <c r="AA2531" t="s">
        <v>58</v>
      </c>
      <c r="AC2531" t="s">
        <v>58</v>
      </c>
      <c r="AE2531" t="s">
        <v>58</v>
      </c>
      <c r="AG2531" t="s">
        <v>63</v>
      </c>
      <c r="AH2531" s="11" t="str">
        <f t="shared" si="160"/>
        <v>mailto: soilterrain@victoria1.gov.bc.ca</v>
      </c>
    </row>
    <row r="2532" spans="1:34">
      <c r="A2532" t="s">
        <v>5719</v>
      </c>
      <c r="B2532" t="s">
        <v>56</v>
      </c>
      <c r="C2532" s="10" t="s">
        <v>5458</v>
      </c>
      <c r="D2532" t="s">
        <v>58</v>
      </c>
      <c r="E2532" t="s">
        <v>2952</v>
      </c>
      <c r="F2532" t="s">
        <v>5613</v>
      </c>
      <c r="G2532">
        <v>20000</v>
      </c>
      <c r="H2532">
        <v>1974</v>
      </c>
      <c r="I2532" t="s">
        <v>58</v>
      </c>
      <c r="J2532" t="s">
        <v>58</v>
      </c>
      <c r="K2532" t="s">
        <v>58</v>
      </c>
      <c r="L2532" t="s">
        <v>58</v>
      </c>
      <c r="M2532" t="s">
        <v>58</v>
      </c>
      <c r="P2532" t="s">
        <v>61</v>
      </c>
      <c r="Q2532" t="s">
        <v>58</v>
      </c>
      <c r="R2532" s="11" t="str">
        <f>HYPERLINK("\\imagefiles.bcgov\imagery\scanned_maps\moe_terrain_maps\Scanned_T_maps_all\R04\R04-951","\\imagefiles.bcgov\imagery\scanned_maps\moe_terrain_maps\Scanned_T_maps_all\R04\R04-951")</f>
        <v>\\imagefiles.bcgov\imagery\scanned_maps\moe_terrain_maps\Scanned_T_maps_all\R04\R04-951</v>
      </c>
      <c r="S2532" t="s">
        <v>62</v>
      </c>
      <c r="T2532" s="11" t="str">
        <f>HYPERLINK("http://www.env.gov.bc.ca/esd/distdata/ecosystems/TEI_Scanned_Maps/R04/R04-951","http://www.env.gov.bc.ca/esd/distdata/ecosystems/TEI_Scanned_Maps/R04/R04-951")</f>
        <v>http://www.env.gov.bc.ca/esd/distdata/ecosystems/TEI_Scanned_Maps/R04/R04-951</v>
      </c>
      <c r="U2532" t="s">
        <v>58</v>
      </c>
      <c r="V2532" t="s">
        <v>58</v>
      </c>
      <c r="W2532" t="s">
        <v>58</v>
      </c>
      <c r="X2532" t="s">
        <v>58</v>
      </c>
      <c r="Y2532" t="s">
        <v>58</v>
      </c>
      <c r="Z2532" t="s">
        <v>58</v>
      </c>
      <c r="AA2532" t="s">
        <v>58</v>
      </c>
      <c r="AC2532" t="s">
        <v>58</v>
      </c>
      <c r="AE2532" t="s">
        <v>58</v>
      </c>
      <c r="AG2532" t="s">
        <v>63</v>
      </c>
      <c r="AH2532" s="11" t="str">
        <f t="shared" si="160"/>
        <v>mailto: soilterrain@victoria1.gov.bc.ca</v>
      </c>
    </row>
    <row r="2533" spans="1:34">
      <c r="A2533" t="s">
        <v>5720</v>
      </c>
      <c r="B2533" t="s">
        <v>56</v>
      </c>
      <c r="C2533" s="10" t="s">
        <v>5460</v>
      </c>
      <c r="D2533" t="s">
        <v>58</v>
      </c>
      <c r="E2533" t="s">
        <v>2952</v>
      </c>
      <c r="F2533" t="s">
        <v>5613</v>
      </c>
      <c r="G2533">
        <v>20000</v>
      </c>
      <c r="H2533">
        <v>1976</v>
      </c>
      <c r="I2533" t="s">
        <v>58</v>
      </c>
      <c r="J2533" t="s">
        <v>58</v>
      </c>
      <c r="K2533" t="s">
        <v>58</v>
      </c>
      <c r="L2533" t="s">
        <v>58</v>
      </c>
      <c r="M2533" t="s">
        <v>58</v>
      </c>
      <c r="P2533" t="s">
        <v>61</v>
      </c>
      <c r="Q2533" t="s">
        <v>58</v>
      </c>
      <c r="R2533" s="11" t="str">
        <f>HYPERLINK("\\imagefiles.bcgov\imagery\scanned_maps\moe_terrain_maps\Scanned_T_maps_all\R04\R04-959","\\imagefiles.bcgov\imagery\scanned_maps\moe_terrain_maps\Scanned_T_maps_all\R04\R04-959")</f>
        <v>\\imagefiles.bcgov\imagery\scanned_maps\moe_terrain_maps\Scanned_T_maps_all\R04\R04-959</v>
      </c>
      <c r="S2533" t="s">
        <v>62</v>
      </c>
      <c r="T2533" s="11" t="str">
        <f>HYPERLINK("http://www.env.gov.bc.ca/esd/distdata/ecosystems/TEI_Scanned_Maps/R04/R04-959","http://www.env.gov.bc.ca/esd/distdata/ecosystems/TEI_Scanned_Maps/R04/R04-959")</f>
        <v>http://www.env.gov.bc.ca/esd/distdata/ecosystems/TEI_Scanned_Maps/R04/R04-959</v>
      </c>
      <c r="U2533" t="s">
        <v>58</v>
      </c>
      <c r="V2533" t="s">
        <v>58</v>
      </c>
      <c r="W2533" t="s">
        <v>58</v>
      </c>
      <c r="X2533" t="s">
        <v>58</v>
      </c>
      <c r="Y2533" t="s">
        <v>58</v>
      </c>
      <c r="Z2533" t="s">
        <v>58</v>
      </c>
      <c r="AA2533" t="s">
        <v>58</v>
      </c>
      <c r="AC2533" t="s">
        <v>58</v>
      </c>
      <c r="AE2533" t="s">
        <v>58</v>
      </c>
      <c r="AG2533" t="s">
        <v>63</v>
      </c>
      <c r="AH2533" s="11" t="str">
        <f t="shared" si="160"/>
        <v>mailto: soilterrain@victoria1.gov.bc.ca</v>
      </c>
    </row>
    <row r="2534" spans="1:34">
      <c r="A2534" t="s">
        <v>5721</v>
      </c>
      <c r="B2534" t="s">
        <v>56</v>
      </c>
      <c r="C2534" s="10" t="s">
        <v>5462</v>
      </c>
      <c r="D2534" t="s">
        <v>58</v>
      </c>
      <c r="E2534" t="s">
        <v>2952</v>
      </c>
      <c r="F2534" t="s">
        <v>5722</v>
      </c>
      <c r="G2534">
        <v>20000</v>
      </c>
      <c r="H2534">
        <v>1974</v>
      </c>
      <c r="I2534" t="s">
        <v>58</v>
      </c>
      <c r="J2534" t="s">
        <v>58</v>
      </c>
      <c r="K2534" t="s">
        <v>58</v>
      </c>
      <c r="L2534" t="s">
        <v>58</v>
      </c>
      <c r="M2534" t="s">
        <v>58</v>
      </c>
      <c r="P2534" t="s">
        <v>61</v>
      </c>
      <c r="Q2534" t="s">
        <v>58</v>
      </c>
      <c r="R2534" s="11" t="str">
        <f>HYPERLINK("\\imagefiles.bcgov\imagery\scanned_maps\moe_terrain_maps\Scanned_T_maps_all\R04\R04-968","\\imagefiles.bcgov\imagery\scanned_maps\moe_terrain_maps\Scanned_T_maps_all\R04\R04-968")</f>
        <v>\\imagefiles.bcgov\imagery\scanned_maps\moe_terrain_maps\Scanned_T_maps_all\R04\R04-968</v>
      </c>
      <c r="S2534" t="s">
        <v>62</v>
      </c>
      <c r="T2534" s="11" t="str">
        <f>HYPERLINK("http://www.env.gov.bc.ca/esd/distdata/ecosystems/TEI_Scanned_Maps/R04/R04-968","http://www.env.gov.bc.ca/esd/distdata/ecosystems/TEI_Scanned_Maps/R04/R04-968")</f>
        <v>http://www.env.gov.bc.ca/esd/distdata/ecosystems/TEI_Scanned_Maps/R04/R04-968</v>
      </c>
      <c r="U2534" t="s">
        <v>58</v>
      </c>
      <c r="V2534" t="s">
        <v>58</v>
      </c>
      <c r="W2534" t="s">
        <v>58</v>
      </c>
      <c r="X2534" t="s">
        <v>58</v>
      </c>
      <c r="Y2534" t="s">
        <v>58</v>
      </c>
      <c r="Z2534" t="s">
        <v>58</v>
      </c>
      <c r="AA2534" t="s">
        <v>58</v>
      </c>
      <c r="AC2534" t="s">
        <v>58</v>
      </c>
      <c r="AE2534" t="s">
        <v>58</v>
      </c>
      <c r="AG2534" t="s">
        <v>63</v>
      </c>
      <c r="AH2534" s="11" t="str">
        <f t="shared" si="160"/>
        <v>mailto: soilterrain@victoria1.gov.bc.ca</v>
      </c>
    </row>
    <row r="2535" spans="1:34">
      <c r="A2535" t="s">
        <v>5723</v>
      </c>
      <c r="B2535" t="s">
        <v>56</v>
      </c>
      <c r="C2535" s="10" t="s">
        <v>5464</v>
      </c>
      <c r="D2535" t="s">
        <v>58</v>
      </c>
      <c r="E2535" t="s">
        <v>2952</v>
      </c>
      <c r="F2535" t="s">
        <v>5613</v>
      </c>
      <c r="G2535">
        <v>20000</v>
      </c>
      <c r="H2535">
        <v>1984</v>
      </c>
      <c r="I2535" t="s">
        <v>58</v>
      </c>
      <c r="J2535" t="s">
        <v>58</v>
      </c>
      <c r="K2535" t="s">
        <v>58</v>
      </c>
      <c r="L2535" t="s">
        <v>58</v>
      </c>
      <c r="M2535" t="s">
        <v>58</v>
      </c>
      <c r="P2535" t="s">
        <v>61</v>
      </c>
      <c r="Q2535" t="s">
        <v>58</v>
      </c>
      <c r="R2535" s="11" t="str">
        <f>HYPERLINK("\\imagefiles.bcgov\imagery\scanned_maps\moe_terrain_maps\Scanned_T_maps_all\R04\R04-977","\\imagefiles.bcgov\imagery\scanned_maps\moe_terrain_maps\Scanned_T_maps_all\R04\R04-977")</f>
        <v>\\imagefiles.bcgov\imagery\scanned_maps\moe_terrain_maps\Scanned_T_maps_all\R04\R04-977</v>
      </c>
      <c r="S2535" t="s">
        <v>62</v>
      </c>
      <c r="T2535" s="11" t="str">
        <f>HYPERLINK("http://www.env.gov.bc.ca/esd/distdata/ecosystems/TEI_Scanned_Maps/R04/R04-977","http://www.env.gov.bc.ca/esd/distdata/ecosystems/TEI_Scanned_Maps/R04/R04-977")</f>
        <v>http://www.env.gov.bc.ca/esd/distdata/ecosystems/TEI_Scanned_Maps/R04/R04-977</v>
      </c>
      <c r="U2535" t="s">
        <v>58</v>
      </c>
      <c r="V2535" t="s">
        <v>58</v>
      </c>
      <c r="W2535" t="s">
        <v>58</v>
      </c>
      <c r="X2535" t="s">
        <v>58</v>
      </c>
      <c r="Y2535" t="s">
        <v>58</v>
      </c>
      <c r="Z2535" t="s">
        <v>58</v>
      </c>
      <c r="AA2535" t="s">
        <v>58</v>
      </c>
      <c r="AC2535" t="s">
        <v>58</v>
      </c>
      <c r="AE2535" t="s">
        <v>58</v>
      </c>
      <c r="AG2535" t="s">
        <v>63</v>
      </c>
      <c r="AH2535" s="11" t="str">
        <f t="shared" si="160"/>
        <v>mailto: soilterrain@victoria1.gov.bc.ca</v>
      </c>
    </row>
    <row r="2536" spans="1:34">
      <c r="A2536" t="s">
        <v>5724</v>
      </c>
      <c r="B2536" t="s">
        <v>56</v>
      </c>
      <c r="C2536" s="10" t="s">
        <v>5466</v>
      </c>
      <c r="D2536" t="s">
        <v>58</v>
      </c>
      <c r="E2536" t="s">
        <v>2952</v>
      </c>
      <c r="F2536" t="s">
        <v>5725</v>
      </c>
      <c r="G2536">
        <v>20000</v>
      </c>
      <c r="H2536">
        <v>1984</v>
      </c>
      <c r="I2536" t="s">
        <v>58</v>
      </c>
      <c r="J2536" t="s">
        <v>58</v>
      </c>
      <c r="K2536" t="s">
        <v>58</v>
      </c>
      <c r="L2536" t="s">
        <v>58</v>
      </c>
      <c r="M2536" t="s">
        <v>58</v>
      </c>
      <c r="P2536" t="s">
        <v>61</v>
      </c>
      <c r="Q2536" t="s">
        <v>58</v>
      </c>
      <c r="R2536" s="11" t="str">
        <f>HYPERLINK("\\imagefiles.bcgov\imagery\scanned_maps\moe_terrain_maps\Scanned_T_maps_all\R04\R04-986","\\imagefiles.bcgov\imagery\scanned_maps\moe_terrain_maps\Scanned_T_maps_all\R04\R04-986")</f>
        <v>\\imagefiles.bcgov\imagery\scanned_maps\moe_terrain_maps\Scanned_T_maps_all\R04\R04-986</v>
      </c>
      <c r="S2536" t="s">
        <v>62</v>
      </c>
      <c r="T2536" s="11" t="str">
        <f>HYPERLINK("http://www.env.gov.bc.ca/esd/distdata/ecosystems/TEI_Scanned_Maps/R04/R04-986","http://www.env.gov.bc.ca/esd/distdata/ecosystems/TEI_Scanned_Maps/R04/R04-986")</f>
        <v>http://www.env.gov.bc.ca/esd/distdata/ecosystems/TEI_Scanned_Maps/R04/R04-986</v>
      </c>
      <c r="U2536" t="s">
        <v>58</v>
      </c>
      <c r="V2536" t="s">
        <v>58</v>
      </c>
      <c r="W2536" t="s">
        <v>58</v>
      </c>
      <c r="X2536" t="s">
        <v>58</v>
      </c>
      <c r="Y2536" t="s">
        <v>58</v>
      </c>
      <c r="Z2536" t="s">
        <v>58</v>
      </c>
      <c r="AA2536" t="s">
        <v>58</v>
      </c>
      <c r="AC2536" t="s">
        <v>58</v>
      </c>
      <c r="AE2536" t="s">
        <v>58</v>
      </c>
      <c r="AG2536" t="s">
        <v>63</v>
      </c>
      <c r="AH2536" s="11" t="str">
        <f t="shared" si="160"/>
        <v>mailto: soilterrain@victoria1.gov.bc.ca</v>
      </c>
    </row>
    <row r="2537" spans="1:34">
      <c r="A2537" t="s">
        <v>5726</v>
      </c>
      <c r="B2537" t="s">
        <v>56</v>
      </c>
      <c r="C2537" s="10" t="s">
        <v>5469</v>
      </c>
      <c r="D2537" t="s">
        <v>58</v>
      </c>
      <c r="E2537" t="s">
        <v>2952</v>
      </c>
      <c r="F2537" t="s">
        <v>5613</v>
      </c>
      <c r="G2537">
        <v>20000</v>
      </c>
      <c r="H2537">
        <v>1984</v>
      </c>
      <c r="I2537" t="s">
        <v>58</v>
      </c>
      <c r="J2537" t="s">
        <v>58</v>
      </c>
      <c r="K2537" t="s">
        <v>58</v>
      </c>
      <c r="L2537" t="s">
        <v>58</v>
      </c>
      <c r="M2537" t="s">
        <v>58</v>
      </c>
      <c r="P2537" t="s">
        <v>61</v>
      </c>
      <c r="Q2537" t="s">
        <v>58</v>
      </c>
      <c r="R2537" s="11" t="str">
        <f>HYPERLINK("\\imagefiles.bcgov\imagery\scanned_maps\moe_terrain_maps\Scanned_T_maps_all\R04\R04-995","\\imagefiles.bcgov\imagery\scanned_maps\moe_terrain_maps\Scanned_T_maps_all\R04\R04-995")</f>
        <v>\\imagefiles.bcgov\imagery\scanned_maps\moe_terrain_maps\Scanned_T_maps_all\R04\R04-995</v>
      </c>
      <c r="S2537" t="s">
        <v>62</v>
      </c>
      <c r="T2537" s="11" t="str">
        <f>HYPERLINK("http://www.env.gov.bc.ca/esd/distdata/ecosystems/TEI_Scanned_Maps/R04/R04-995","http://www.env.gov.bc.ca/esd/distdata/ecosystems/TEI_Scanned_Maps/R04/R04-995")</f>
        <v>http://www.env.gov.bc.ca/esd/distdata/ecosystems/TEI_Scanned_Maps/R04/R04-995</v>
      </c>
      <c r="U2537" t="s">
        <v>58</v>
      </c>
      <c r="V2537" t="s">
        <v>58</v>
      </c>
      <c r="W2537" t="s">
        <v>58</v>
      </c>
      <c r="X2537" t="s">
        <v>58</v>
      </c>
      <c r="Y2537" t="s">
        <v>58</v>
      </c>
      <c r="Z2537" t="s">
        <v>58</v>
      </c>
      <c r="AA2537" t="s">
        <v>58</v>
      </c>
      <c r="AC2537" t="s">
        <v>58</v>
      </c>
      <c r="AE2537" t="s">
        <v>58</v>
      </c>
      <c r="AG2537" t="s">
        <v>63</v>
      </c>
      <c r="AH2537" s="11" t="str">
        <f t="shared" si="160"/>
        <v>mailto: soilterrain@victoria1.gov.bc.ca</v>
      </c>
    </row>
    <row r="2538" spans="1:34">
      <c r="A2538" t="s">
        <v>5727</v>
      </c>
      <c r="B2538" t="s">
        <v>56</v>
      </c>
      <c r="C2538" s="10" t="s">
        <v>5473</v>
      </c>
      <c r="D2538" t="s">
        <v>58</v>
      </c>
      <c r="E2538" t="s">
        <v>2952</v>
      </c>
      <c r="F2538" t="s">
        <v>5728</v>
      </c>
      <c r="G2538">
        <v>25000</v>
      </c>
      <c r="H2538">
        <v>1974</v>
      </c>
      <c r="I2538" t="s">
        <v>58</v>
      </c>
      <c r="J2538" t="s">
        <v>58</v>
      </c>
      <c r="K2538" t="s">
        <v>58</v>
      </c>
      <c r="L2538" t="s">
        <v>58</v>
      </c>
      <c r="M2538" t="s">
        <v>58</v>
      </c>
      <c r="P2538" t="s">
        <v>61</v>
      </c>
      <c r="Q2538" t="s">
        <v>58</v>
      </c>
      <c r="R2538" s="11" t="str">
        <f>HYPERLINK("\\imagefiles.bcgov\imagery\scanned_maps\moe_terrain_maps\Scanned_T_maps_all\R05\R05-1503","\\imagefiles.bcgov\imagery\scanned_maps\moe_terrain_maps\Scanned_T_maps_all\R05\R05-1503")</f>
        <v>\\imagefiles.bcgov\imagery\scanned_maps\moe_terrain_maps\Scanned_T_maps_all\R05\R05-1503</v>
      </c>
      <c r="S2538" t="s">
        <v>62</v>
      </c>
      <c r="T2538" s="11" t="str">
        <f>HYPERLINK("http://www.env.gov.bc.ca/esd/distdata/ecosystems/TEI_Scanned_Maps/R05/R05-1503","http://www.env.gov.bc.ca/esd/distdata/ecosystems/TEI_Scanned_Maps/R05/R05-1503")</f>
        <v>http://www.env.gov.bc.ca/esd/distdata/ecosystems/TEI_Scanned_Maps/R05/R05-1503</v>
      </c>
      <c r="U2538" t="s">
        <v>58</v>
      </c>
      <c r="V2538" t="s">
        <v>58</v>
      </c>
      <c r="W2538" t="s">
        <v>58</v>
      </c>
      <c r="X2538" t="s">
        <v>58</v>
      </c>
      <c r="Y2538" t="s">
        <v>58</v>
      </c>
      <c r="Z2538" t="s">
        <v>58</v>
      </c>
      <c r="AA2538" t="s">
        <v>58</v>
      </c>
      <c r="AC2538" t="s">
        <v>58</v>
      </c>
      <c r="AE2538" t="s">
        <v>58</v>
      </c>
      <c r="AG2538" t="s">
        <v>63</v>
      </c>
      <c r="AH2538" s="11" t="str">
        <f t="shared" si="160"/>
        <v>mailto: soilterrain@victoria1.gov.bc.ca</v>
      </c>
    </row>
    <row r="2539" spans="1:34">
      <c r="A2539" t="s">
        <v>5729</v>
      </c>
      <c r="B2539" t="s">
        <v>56</v>
      </c>
      <c r="C2539" s="10" t="s">
        <v>5476</v>
      </c>
      <c r="D2539" t="s">
        <v>58</v>
      </c>
      <c r="E2539" t="s">
        <v>2952</v>
      </c>
      <c r="F2539" t="s">
        <v>5730</v>
      </c>
      <c r="G2539">
        <v>25000</v>
      </c>
      <c r="H2539">
        <v>1977</v>
      </c>
      <c r="I2539" t="s">
        <v>58</v>
      </c>
      <c r="J2539" t="s">
        <v>58</v>
      </c>
      <c r="K2539" t="s">
        <v>58</v>
      </c>
      <c r="L2539" t="s">
        <v>58</v>
      </c>
      <c r="M2539" t="s">
        <v>58</v>
      </c>
      <c r="P2539" t="s">
        <v>61</v>
      </c>
      <c r="Q2539" t="s">
        <v>58</v>
      </c>
      <c r="R2539" s="11" t="str">
        <f>HYPERLINK("\\imagefiles.bcgov\imagery\scanned_maps\moe_terrain_maps\Scanned_T_maps_all\R05\R05-1508","\\imagefiles.bcgov\imagery\scanned_maps\moe_terrain_maps\Scanned_T_maps_all\R05\R05-1508")</f>
        <v>\\imagefiles.bcgov\imagery\scanned_maps\moe_terrain_maps\Scanned_T_maps_all\R05\R05-1508</v>
      </c>
      <c r="S2539" t="s">
        <v>62</v>
      </c>
      <c r="T2539" s="11" t="str">
        <f>HYPERLINK("http://www.env.gov.bc.ca/esd/distdata/ecosystems/TEI_Scanned_Maps/R05/R05-1508","http://www.env.gov.bc.ca/esd/distdata/ecosystems/TEI_Scanned_Maps/R05/R05-1508")</f>
        <v>http://www.env.gov.bc.ca/esd/distdata/ecosystems/TEI_Scanned_Maps/R05/R05-1508</v>
      </c>
      <c r="U2539" t="s">
        <v>58</v>
      </c>
      <c r="V2539" t="s">
        <v>58</v>
      </c>
      <c r="W2539" t="s">
        <v>58</v>
      </c>
      <c r="X2539" t="s">
        <v>58</v>
      </c>
      <c r="Y2539" t="s">
        <v>58</v>
      </c>
      <c r="Z2539" t="s">
        <v>58</v>
      </c>
      <c r="AA2539" t="s">
        <v>58</v>
      </c>
      <c r="AC2539" t="s">
        <v>58</v>
      </c>
      <c r="AE2539" t="s">
        <v>58</v>
      </c>
      <c r="AG2539" t="s">
        <v>63</v>
      </c>
      <c r="AH2539" s="11" t="str">
        <f t="shared" si="160"/>
        <v>mailto: soilterrain@victoria1.gov.bc.ca</v>
      </c>
    </row>
    <row r="2540" spans="1:34">
      <c r="A2540" t="s">
        <v>5731</v>
      </c>
      <c r="B2540" t="s">
        <v>56</v>
      </c>
      <c r="C2540" s="10" t="s">
        <v>5479</v>
      </c>
      <c r="D2540" t="s">
        <v>58</v>
      </c>
      <c r="E2540" t="s">
        <v>2952</v>
      </c>
      <c r="F2540" t="s">
        <v>5732</v>
      </c>
      <c r="G2540">
        <v>25000</v>
      </c>
      <c r="H2540">
        <v>1974</v>
      </c>
      <c r="I2540" t="s">
        <v>58</v>
      </c>
      <c r="J2540" t="s">
        <v>58</v>
      </c>
      <c r="K2540" t="s">
        <v>58</v>
      </c>
      <c r="L2540" t="s">
        <v>58</v>
      </c>
      <c r="M2540" t="s">
        <v>58</v>
      </c>
      <c r="P2540" t="s">
        <v>61</v>
      </c>
      <c r="Q2540" t="s">
        <v>58</v>
      </c>
      <c r="R2540" s="11" t="str">
        <f>HYPERLINK("\\imagefiles.bcgov\imagery\scanned_maps\moe_terrain_maps\Scanned_T_maps_all\R05\R05-1513","\\imagefiles.bcgov\imagery\scanned_maps\moe_terrain_maps\Scanned_T_maps_all\R05\R05-1513")</f>
        <v>\\imagefiles.bcgov\imagery\scanned_maps\moe_terrain_maps\Scanned_T_maps_all\R05\R05-1513</v>
      </c>
      <c r="S2540" t="s">
        <v>62</v>
      </c>
      <c r="T2540" s="11" t="str">
        <f>HYPERLINK("http://www.env.gov.bc.ca/esd/distdata/ecosystems/TEI_Scanned_Maps/R05/R05-1513","http://www.env.gov.bc.ca/esd/distdata/ecosystems/TEI_Scanned_Maps/R05/R05-1513")</f>
        <v>http://www.env.gov.bc.ca/esd/distdata/ecosystems/TEI_Scanned_Maps/R05/R05-1513</v>
      </c>
      <c r="U2540" t="s">
        <v>58</v>
      </c>
      <c r="V2540" t="s">
        <v>58</v>
      </c>
      <c r="W2540" t="s">
        <v>58</v>
      </c>
      <c r="X2540" t="s">
        <v>58</v>
      </c>
      <c r="Y2540" t="s">
        <v>58</v>
      </c>
      <c r="Z2540" t="s">
        <v>58</v>
      </c>
      <c r="AA2540" t="s">
        <v>58</v>
      </c>
      <c r="AC2540" t="s">
        <v>58</v>
      </c>
      <c r="AE2540" t="s">
        <v>58</v>
      </c>
      <c r="AG2540" t="s">
        <v>63</v>
      </c>
      <c r="AH2540" s="11" t="str">
        <f t="shared" si="160"/>
        <v>mailto: soilterrain@victoria1.gov.bc.ca</v>
      </c>
    </row>
    <row r="2541" spans="1:34">
      <c r="A2541" t="s">
        <v>5733</v>
      </c>
      <c r="B2541" t="s">
        <v>56</v>
      </c>
      <c r="C2541" s="10" t="s">
        <v>5482</v>
      </c>
      <c r="D2541" t="s">
        <v>58</v>
      </c>
      <c r="E2541" t="s">
        <v>2952</v>
      </c>
      <c r="F2541" t="s">
        <v>5734</v>
      </c>
      <c r="G2541">
        <v>25000</v>
      </c>
      <c r="H2541">
        <v>1977</v>
      </c>
      <c r="I2541" t="s">
        <v>58</v>
      </c>
      <c r="J2541" t="s">
        <v>58</v>
      </c>
      <c r="K2541" t="s">
        <v>58</v>
      </c>
      <c r="L2541" t="s">
        <v>58</v>
      </c>
      <c r="M2541" t="s">
        <v>58</v>
      </c>
      <c r="P2541" t="s">
        <v>61</v>
      </c>
      <c r="Q2541" t="s">
        <v>58</v>
      </c>
      <c r="R2541" s="11" t="str">
        <f>HYPERLINK("\\imagefiles.bcgov\imagery\scanned_maps\moe_terrain_maps\Scanned_T_maps_all\R05\R05-1518","\\imagefiles.bcgov\imagery\scanned_maps\moe_terrain_maps\Scanned_T_maps_all\R05\R05-1518")</f>
        <v>\\imagefiles.bcgov\imagery\scanned_maps\moe_terrain_maps\Scanned_T_maps_all\R05\R05-1518</v>
      </c>
      <c r="S2541" t="s">
        <v>62</v>
      </c>
      <c r="T2541" s="11" t="str">
        <f>HYPERLINK("http://www.env.gov.bc.ca/esd/distdata/ecosystems/TEI_Scanned_Maps/R05/R05-1518","http://www.env.gov.bc.ca/esd/distdata/ecosystems/TEI_Scanned_Maps/R05/R05-1518")</f>
        <v>http://www.env.gov.bc.ca/esd/distdata/ecosystems/TEI_Scanned_Maps/R05/R05-1518</v>
      </c>
      <c r="U2541" t="s">
        <v>58</v>
      </c>
      <c r="V2541" t="s">
        <v>58</v>
      </c>
      <c r="W2541" t="s">
        <v>58</v>
      </c>
      <c r="X2541" t="s">
        <v>58</v>
      </c>
      <c r="Y2541" t="s">
        <v>58</v>
      </c>
      <c r="Z2541" t="s">
        <v>58</v>
      </c>
      <c r="AA2541" t="s">
        <v>58</v>
      </c>
      <c r="AC2541" t="s">
        <v>58</v>
      </c>
      <c r="AE2541" t="s">
        <v>58</v>
      </c>
      <c r="AG2541" t="s">
        <v>63</v>
      </c>
      <c r="AH2541" s="11" t="str">
        <f t="shared" si="160"/>
        <v>mailto: soilterrain@victoria1.gov.bc.ca</v>
      </c>
    </row>
    <row r="2542" spans="1:34">
      <c r="A2542" t="s">
        <v>5735</v>
      </c>
      <c r="B2542" t="s">
        <v>56</v>
      </c>
      <c r="C2542" s="10" t="s">
        <v>5485</v>
      </c>
      <c r="D2542" t="s">
        <v>58</v>
      </c>
      <c r="E2542" t="s">
        <v>2952</v>
      </c>
      <c r="F2542" t="s">
        <v>5736</v>
      </c>
      <c r="G2542">
        <v>25000</v>
      </c>
      <c r="H2542">
        <v>1979</v>
      </c>
      <c r="I2542" t="s">
        <v>58</v>
      </c>
      <c r="J2542" t="s">
        <v>58</v>
      </c>
      <c r="K2542" t="s">
        <v>58</v>
      </c>
      <c r="L2542" t="s">
        <v>58</v>
      </c>
      <c r="M2542" t="s">
        <v>58</v>
      </c>
      <c r="P2542" t="s">
        <v>61</v>
      </c>
      <c r="Q2542" t="s">
        <v>58</v>
      </c>
      <c r="R2542" s="11" t="str">
        <f>HYPERLINK("\\imagefiles.bcgov\imagery\scanned_maps\moe_terrain_maps\Scanned_T_maps_all\R05\R05-1523","\\imagefiles.bcgov\imagery\scanned_maps\moe_terrain_maps\Scanned_T_maps_all\R05\R05-1523")</f>
        <v>\\imagefiles.bcgov\imagery\scanned_maps\moe_terrain_maps\Scanned_T_maps_all\R05\R05-1523</v>
      </c>
      <c r="S2542" t="s">
        <v>62</v>
      </c>
      <c r="T2542" s="11" t="str">
        <f>HYPERLINK("http://www.env.gov.bc.ca/esd/distdata/ecosystems/TEI_Scanned_Maps/R05/R05-1523","http://www.env.gov.bc.ca/esd/distdata/ecosystems/TEI_Scanned_Maps/R05/R05-1523")</f>
        <v>http://www.env.gov.bc.ca/esd/distdata/ecosystems/TEI_Scanned_Maps/R05/R05-1523</v>
      </c>
      <c r="U2542" t="s">
        <v>58</v>
      </c>
      <c r="V2542" t="s">
        <v>58</v>
      </c>
      <c r="W2542" t="s">
        <v>58</v>
      </c>
      <c r="X2542" t="s">
        <v>58</v>
      </c>
      <c r="Y2542" t="s">
        <v>58</v>
      </c>
      <c r="Z2542" t="s">
        <v>58</v>
      </c>
      <c r="AA2542" t="s">
        <v>58</v>
      </c>
      <c r="AC2542" t="s">
        <v>58</v>
      </c>
      <c r="AE2542" t="s">
        <v>58</v>
      </c>
      <c r="AG2542" t="s">
        <v>63</v>
      </c>
      <c r="AH2542" s="11" t="str">
        <f t="shared" si="160"/>
        <v>mailto: soilterrain@victoria1.gov.bc.ca</v>
      </c>
    </row>
    <row r="2543" spans="1:34">
      <c r="A2543" t="s">
        <v>5737</v>
      </c>
      <c r="B2543" t="s">
        <v>56</v>
      </c>
      <c r="C2543" s="10" t="s">
        <v>5488</v>
      </c>
      <c r="D2543" t="s">
        <v>58</v>
      </c>
      <c r="E2543" t="s">
        <v>2952</v>
      </c>
      <c r="F2543" t="s">
        <v>5738</v>
      </c>
      <c r="G2543">
        <v>25000</v>
      </c>
      <c r="H2543">
        <v>1977</v>
      </c>
      <c r="I2543" t="s">
        <v>58</v>
      </c>
      <c r="J2543" t="s">
        <v>58</v>
      </c>
      <c r="K2543" t="s">
        <v>58</v>
      </c>
      <c r="L2543" t="s">
        <v>58</v>
      </c>
      <c r="M2543" t="s">
        <v>58</v>
      </c>
      <c r="P2543" t="s">
        <v>61</v>
      </c>
      <c r="Q2543" t="s">
        <v>58</v>
      </c>
      <c r="R2543" s="11" t="str">
        <f>HYPERLINK("\\imagefiles.bcgov\imagery\scanned_maps\moe_terrain_maps\Scanned_T_maps_all\R05\R05-1528","\\imagefiles.bcgov\imagery\scanned_maps\moe_terrain_maps\Scanned_T_maps_all\R05\R05-1528")</f>
        <v>\\imagefiles.bcgov\imagery\scanned_maps\moe_terrain_maps\Scanned_T_maps_all\R05\R05-1528</v>
      </c>
      <c r="S2543" t="s">
        <v>62</v>
      </c>
      <c r="T2543" s="11" t="str">
        <f>HYPERLINK("http://www.env.gov.bc.ca/esd/distdata/ecosystems/TEI_Scanned_Maps/R05/R05-1528","http://www.env.gov.bc.ca/esd/distdata/ecosystems/TEI_Scanned_Maps/R05/R05-1528")</f>
        <v>http://www.env.gov.bc.ca/esd/distdata/ecosystems/TEI_Scanned_Maps/R05/R05-1528</v>
      </c>
      <c r="U2543" t="s">
        <v>58</v>
      </c>
      <c r="V2543" t="s">
        <v>58</v>
      </c>
      <c r="W2543" t="s">
        <v>58</v>
      </c>
      <c r="X2543" t="s">
        <v>58</v>
      </c>
      <c r="Y2543" t="s">
        <v>58</v>
      </c>
      <c r="Z2543" t="s">
        <v>58</v>
      </c>
      <c r="AA2543" t="s">
        <v>58</v>
      </c>
      <c r="AC2543" t="s">
        <v>58</v>
      </c>
      <c r="AE2543" t="s">
        <v>58</v>
      </c>
      <c r="AG2543" t="s">
        <v>63</v>
      </c>
      <c r="AH2543" s="11" t="str">
        <f t="shared" si="160"/>
        <v>mailto: soilterrain@victoria1.gov.bc.ca</v>
      </c>
    </row>
    <row r="2544" spans="1:34">
      <c r="A2544" t="s">
        <v>5739</v>
      </c>
      <c r="B2544" t="s">
        <v>56</v>
      </c>
      <c r="C2544" s="10" t="s">
        <v>5491</v>
      </c>
      <c r="D2544" t="s">
        <v>58</v>
      </c>
      <c r="E2544" t="s">
        <v>2952</v>
      </c>
      <c r="F2544" t="s">
        <v>5740</v>
      </c>
      <c r="G2544">
        <v>25000</v>
      </c>
      <c r="H2544">
        <v>1974</v>
      </c>
      <c r="I2544" t="s">
        <v>58</v>
      </c>
      <c r="J2544" t="s">
        <v>58</v>
      </c>
      <c r="K2544" t="s">
        <v>58</v>
      </c>
      <c r="L2544" t="s">
        <v>58</v>
      </c>
      <c r="M2544" t="s">
        <v>58</v>
      </c>
      <c r="P2544" t="s">
        <v>61</v>
      </c>
      <c r="Q2544" t="s">
        <v>58</v>
      </c>
      <c r="R2544" s="11" t="str">
        <f>HYPERLINK("\\imagefiles.bcgov\imagery\scanned_maps\moe_terrain_maps\Scanned_T_maps_all\R05\R05-1533","\\imagefiles.bcgov\imagery\scanned_maps\moe_terrain_maps\Scanned_T_maps_all\R05\R05-1533")</f>
        <v>\\imagefiles.bcgov\imagery\scanned_maps\moe_terrain_maps\Scanned_T_maps_all\R05\R05-1533</v>
      </c>
      <c r="S2544" t="s">
        <v>62</v>
      </c>
      <c r="T2544" s="11" t="str">
        <f>HYPERLINK("http://www.env.gov.bc.ca/esd/distdata/ecosystems/TEI_Scanned_Maps/R05/R05-1533","http://www.env.gov.bc.ca/esd/distdata/ecosystems/TEI_Scanned_Maps/R05/R05-1533")</f>
        <v>http://www.env.gov.bc.ca/esd/distdata/ecosystems/TEI_Scanned_Maps/R05/R05-1533</v>
      </c>
      <c r="U2544" t="s">
        <v>58</v>
      </c>
      <c r="V2544" t="s">
        <v>58</v>
      </c>
      <c r="W2544" t="s">
        <v>58</v>
      </c>
      <c r="X2544" t="s">
        <v>58</v>
      </c>
      <c r="Y2544" t="s">
        <v>58</v>
      </c>
      <c r="Z2544" t="s">
        <v>58</v>
      </c>
      <c r="AA2544" t="s">
        <v>58</v>
      </c>
      <c r="AC2544" t="s">
        <v>58</v>
      </c>
      <c r="AE2544" t="s">
        <v>58</v>
      </c>
      <c r="AG2544" t="s">
        <v>63</v>
      </c>
      <c r="AH2544" s="11" t="str">
        <f t="shared" si="160"/>
        <v>mailto: soilterrain@victoria1.gov.bc.ca</v>
      </c>
    </row>
    <row r="2545" spans="1:34">
      <c r="A2545" t="s">
        <v>5741</v>
      </c>
      <c r="B2545" t="s">
        <v>56</v>
      </c>
      <c r="C2545" s="10" t="s">
        <v>5494</v>
      </c>
      <c r="D2545" t="s">
        <v>58</v>
      </c>
      <c r="E2545" t="s">
        <v>2952</v>
      </c>
      <c r="F2545" t="s">
        <v>5742</v>
      </c>
      <c r="G2545">
        <v>25000</v>
      </c>
      <c r="H2545">
        <v>1977</v>
      </c>
      <c r="I2545" t="s">
        <v>58</v>
      </c>
      <c r="J2545" t="s">
        <v>58</v>
      </c>
      <c r="K2545" t="s">
        <v>58</v>
      </c>
      <c r="L2545" t="s">
        <v>58</v>
      </c>
      <c r="M2545" t="s">
        <v>58</v>
      </c>
      <c r="P2545" t="s">
        <v>61</v>
      </c>
      <c r="Q2545" t="s">
        <v>58</v>
      </c>
      <c r="R2545" s="11" t="str">
        <f>HYPERLINK("\\imagefiles.bcgov\imagery\scanned_maps\moe_terrain_maps\Scanned_T_maps_all\R05\R05-1538","\\imagefiles.bcgov\imagery\scanned_maps\moe_terrain_maps\Scanned_T_maps_all\R05\R05-1538")</f>
        <v>\\imagefiles.bcgov\imagery\scanned_maps\moe_terrain_maps\Scanned_T_maps_all\R05\R05-1538</v>
      </c>
      <c r="S2545" t="s">
        <v>62</v>
      </c>
      <c r="T2545" s="11" t="str">
        <f>HYPERLINK("http://www.env.gov.bc.ca/esd/distdata/ecosystems/TEI_Scanned_Maps/R05/R05-1538","http://www.env.gov.bc.ca/esd/distdata/ecosystems/TEI_Scanned_Maps/R05/R05-1538")</f>
        <v>http://www.env.gov.bc.ca/esd/distdata/ecosystems/TEI_Scanned_Maps/R05/R05-1538</v>
      </c>
      <c r="U2545" t="s">
        <v>58</v>
      </c>
      <c r="V2545" t="s">
        <v>58</v>
      </c>
      <c r="W2545" t="s">
        <v>58</v>
      </c>
      <c r="X2545" t="s">
        <v>58</v>
      </c>
      <c r="Y2545" t="s">
        <v>58</v>
      </c>
      <c r="Z2545" t="s">
        <v>58</v>
      </c>
      <c r="AA2545" t="s">
        <v>58</v>
      </c>
      <c r="AC2545" t="s">
        <v>58</v>
      </c>
      <c r="AE2545" t="s">
        <v>58</v>
      </c>
      <c r="AG2545" t="s">
        <v>63</v>
      </c>
      <c r="AH2545" s="11" t="str">
        <f t="shared" si="160"/>
        <v>mailto: soilterrain@victoria1.gov.bc.ca</v>
      </c>
    </row>
    <row r="2546" spans="1:34">
      <c r="A2546" t="s">
        <v>5743</v>
      </c>
      <c r="B2546" t="s">
        <v>56</v>
      </c>
      <c r="C2546" s="10" t="s">
        <v>5497</v>
      </c>
      <c r="D2546" t="s">
        <v>58</v>
      </c>
      <c r="E2546" t="s">
        <v>2952</v>
      </c>
      <c r="F2546" t="s">
        <v>5744</v>
      </c>
      <c r="G2546">
        <v>25000</v>
      </c>
      <c r="H2546">
        <v>1974</v>
      </c>
      <c r="I2546" t="s">
        <v>58</v>
      </c>
      <c r="J2546" t="s">
        <v>58</v>
      </c>
      <c r="K2546" t="s">
        <v>58</v>
      </c>
      <c r="L2546" t="s">
        <v>58</v>
      </c>
      <c r="M2546" t="s">
        <v>58</v>
      </c>
      <c r="P2546" t="s">
        <v>61</v>
      </c>
      <c r="Q2546" t="s">
        <v>58</v>
      </c>
      <c r="R2546" s="11" t="str">
        <f>HYPERLINK("\\imagefiles.bcgov\imagery\scanned_maps\moe_terrain_maps\Scanned_T_maps_all\R05\R05-1543","\\imagefiles.bcgov\imagery\scanned_maps\moe_terrain_maps\Scanned_T_maps_all\R05\R05-1543")</f>
        <v>\\imagefiles.bcgov\imagery\scanned_maps\moe_terrain_maps\Scanned_T_maps_all\R05\R05-1543</v>
      </c>
      <c r="S2546" t="s">
        <v>62</v>
      </c>
      <c r="T2546" s="11" t="str">
        <f>HYPERLINK("http://www.env.gov.bc.ca/esd/distdata/ecosystems/TEI_Scanned_Maps/R05/R05-1543","http://www.env.gov.bc.ca/esd/distdata/ecosystems/TEI_Scanned_Maps/R05/R05-1543")</f>
        <v>http://www.env.gov.bc.ca/esd/distdata/ecosystems/TEI_Scanned_Maps/R05/R05-1543</v>
      </c>
      <c r="U2546" t="s">
        <v>58</v>
      </c>
      <c r="V2546" t="s">
        <v>58</v>
      </c>
      <c r="W2546" t="s">
        <v>58</v>
      </c>
      <c r="X2546" t="s">
        <v>58</v>
      </c>
      <c r="Y2546" t="s">
        <v>58</v>
      </c>
      <c r="Z2546" t="s">
        <v>58</v>
      </c>
      <c r="AA2546" t="s">
        <v>58</v>
      </c>
      <c r="AC2546" t="s">
        <v>58</v>
      </c>
      <c r="AE2546" t="s">
        <v>58</v>
      </c>
      <c r="AG2546" t="s">
        <v>63</v>
      </c>
      <c r="AH2546" s="11" t="str">
        <f t="shared" si="160"/>
        <v>mailto: soilterrain@victoria1.gov.bc.ca</v>
      </c>
    </row>
    <row r="2547" spans="1:34">
      <c r="A2547" t="s">
        <v>5745</v>
      </c>
      <c r="B2547" t="s">
        <v>56</v>
      </c>
      <c r="C2547" s="10" t="s">
        <v>5500</v>
      </c>
      <c r="D2547" t="s">
        <v>58</v>
      </c>
      <c r="E2547" t="s">
        <v>2952</v>
      </c>
      <c r="F2547" t="s">
        <v>5746</v>
      </c>
      <c r="G2547">
        <v>25000</v>
      </c>
      <c r="H2547">
        <v>1975</v>
      </c>
      <c r="I2547" t="s">
        <v>58</v>
      </c>
      <c r="J2547" t="s">
        <v>58</v>
      </c>
      <c r="K2547" t="s">
        <v>58</v>
      </c>
      <c r="L2547" t="s">
        <v>58</v>
      </c>
      <c r="M2547" t="s">
        <v>58</v>
      </c>
      <c r="P2547" t="s">
        <v>61</v>
      </c>
      <c r="Q2547" t="s">
        <v>58</v>
      </c>
      <c r="R2547" s="11" t="str">
        <f>HYPERLINK("\\imagefiles.bcgov\imagery\scanned_maps\moe_terrain_maps\Scanned_T_maps_all\R05\R05-1548","\\imagefiles.bcgov\imagery\scanned_maps\moe_terrain_maps\Scanned_T_maps_all\R05\R05-1548")</f>
        <v>\\imagefiles.bcgov\imagery\scanned_maps\moe_terrain_maps\Scanned_T_maps_all\R05\R05-1548</v>
      </c>
      <c r="S2547" t="s">
        <v>62</v>
      </c>
      <c r="T2547" s="11" t="str">
        <f>HYPERLINK("http://www.env.gov.bc.ca/esd/distdata/ecosystems/TEI_Scanned_Maps/R05/R05-1548","http://www.env.gov.bc.ca/esd/distdata/ecosystems/TEI_Scanned_Maps/R05/R05-1548")</f>
        <v>http://www.env.gov.bc.ca/esd/distdata/ecosystems/TEI_Scanned_Maps/R05/R05-1548</v>
      </c>
      <c r="U2547" t="s">
        <v>58</v>
      </c>
      <c r="V2547" t="s">
        <v>58</v>
      </c>
      <c r="W2547" t="s">
        <v>58</v>
      </c>
      <c r="X2547" t="s">
        <v>58</v>
      </c>
      <c r="Y2547" t="s">
        <v>58</v>
      </c>
      <c r="Z2547" t="s">
        <v>58</v>
      </c>
      <c r="AA2547" t="s">
        <v>58</v>
      </c>
      <c r="AC2547" t="s">
        <v>58</v>
      </c>
      <c r="AE2547" t="s">
        <v>58</v>
      </c>
      <c r="AG2547" t="s">
        <v>63</v>
      </c>
      <c r="AH2547" s="11" t="str">
        <f t="shared" si="160"/>
        <v>mailto: soilterrain@victoria1.gov.bc.ca</v>
      </c>
    </row>
    <row r="2548" spans="1:34">
      <c r="A2548" t="s">
        <v>5747</v>
      </c>
      <c r="B2548" t="s">
        <v>56</v>
      </c>
      <c r="C2548" s="10" t="s">
        <v>5503</v>
      </c>
      <c r="D2548" t="s">
        <v>58</v>
      </c>
      <c r="E2548" t="s">
        <v>2952</v>
      </c>
      <c r="F2548" t="s">
        <v>5748</v>
      </c>
      <c r="G2548">
        <v>25000</v>
      </c>
      <c r="H2548">
        <v>1974</v>
      </c>
      <c r="I2548" t="s">
        <v>58</v>
      </c>
      <c r="J2548" t="s">
        <v>58</v>
      </c>
      <c r="K2548" t="s">
        <v>58</v>
      </c>
      <c r="L2548" t="s">
        <v>58</v>
      </c>
      <c r="M2548" t="s">
        <v>58</v>
      </c>
      <c r="P2548" t="s">
        <v>61</v>
      </c>
      <c r="Q2548" t="s">
        <v>58</v>
      </c>
      <c r="R2548" s="11" t="str">
        <f>HYPERLINK("\\imagefiles.bcgov\imagery\scanned_maps\moe_terrain_maps\Scanned_T_maps_all\R05\R05-1553","\\imagefiles.bcgov\imagery\scanned_maps\moe_terrain_maps\Scanned_T_maps_all\R05\R05-1553")</f>
        <v>\\imagefiles.bcgov\imagery\scanned_maps\moe_terrain_maps\Scanned_T_maps_all\R05\R05-1553</v>
      </c>
      <c r="S2548" t="s">
        <v>62</v>
      </c>
      <c r="T2548" s="11" t="str">
        <f>HYPERLINK("http://www.env.gov.bc.ca/esd/distdata/ecosystems/TEI_Scanned_Maps/R05/R05-1553","http://www.env.gov.bc.ca/esd/distdata/ecosystems/TEI_Scanned_Maps/R05/R05-1553")</f>
        <v>http://www.env.gov.bc.ca/esd/distdata/ecosystems/TEI_Scanned_Maps/R05/R05-1553</v>
      </c>
      <c r="U2548" t="s">
        <v>58</v>
      </c>
      <c r="V2548" t="s">
        <v>58</v>
      </c>
      <c r="W2548" t="s">
        <v>58</v>
      </c>
      <c r="X2548" t="s">
        <v>58</v>
      </c>
      <c r="Y2548" t="s">
        <v>58</v>
      </c>
      <c r="Z2548" t="s">
        <v>58</v>
      </c>
      <c r="AA2548" t="s">
        <v>58</v>
      </c>
      <c r="AC2548" t="s">
        <v>58</v>
      </c>
      <c r="AE2548" t="s">
        <v>58</v>
      </c>
      <c r="AG2548" t="s">
        <v>63</v>
      </c>
      <c r="AH2548" s="11" t="str">
        <f t="shared" si="160"/>
        <v>mailto: soilterrain@victoria1.gov.bc.ca</v>
      </c>
    </row>
    <row r="2549" spans="1:34">
      <c r="A2549" t="s">
        <v>5749</v>
      </c>
      <c r="B2549" t="s">
        <v>56</v>
      </c>
      <c r="C2549" s="10" t="s">
        <v>5506</v>
      </c>
      <c r="D2549" t="s">
        <v>58</v>
      </c>
      <c r="E2549" t="s">
        <v>2952</v>
      </c>
      <c r="F2549" t="s">
        <v>5750</v>
      </c>
      <c r="G2549">
        <v>25000</v>
      </c>
      <c r="H2549">
        <v>1975</v>
      </c>
      <c r="I2549" t="s">
        <v>58</v>
      </c>
      <c r="J2549" t="s">
        <v>58</v>
      </c>
      <c r="K2549" t="s">
        <v>58</v>
      </c>
      <c r="L2549" t="s">
        <v>58</v>
      </c>
      <c r="M2549" t="s">
        <v>58</v>
      </c>
      <c r="P2549" t="s">
        <v>61</v>
      </c>
      <c r="Q2549" t="s">
        <v>58</v>
      </c>
      <c r="R2549" s="11" t="str">
        <f>HYPERLINK("\\imagefiles.bcgov\imagery\scanned_maps\moe_terrain_maps\Scanned_T_maps_all\R05\R05-1558","\\imagefiles.bcgov\imagery\scanned_maps\moe_terrain_maps\Scanned_T_maps_all\R05\R05-1558")</f>
        <v>\\imagefiles.bcgov\imagery\scanned_maps\moe_terrain_maps\Scanned_T_maps_all\R05\R05-1558</v>
      </c>
      <c r="S2549" t="s">
        <v>62</v>
      </c>
      <c r="T2549" s="11" t="str">
        <f>HYPERLINK("http://www.env.gov.bc.ca/esd/distdata/ecosystems/TEI_Scanned_Maps/R05/R05-1558","http://www.env.gov.bc.ca/esd/distdata/ecosystems/TEI_Scanned_Maps/R05/R05-1558")</f>
        <v>http://www.env.gov.bc.ca/esd/distdata/ecosystems/TEI_Scanned_Maps/R05/R05-1558</v>
      </c>
      <c r="U2549" t="s">
        <v>58</v>
      </c>
      <c r="V2549" t="s">
        <v>58</v>
      </c>
      <c r="W2549" t="s">
        <v>58</v>
      </c>
      <c r="X2549" t="s">
        <v>58</v>
      </c>
      <c r="Y2549" t="s">
        <v>58</v>
      </c>
      <c r="Z2549" t="s">
        <v>58</v>
      </c>
      <c r="AA2549" t="s">
        <v>58</v>
      </c>
      <c r="AC2549" t="s">
        <v>58</v>
      </c>
      <c r="AE2549" t="s">
        <v>58</v>
      </c>
      <c r="AG2549" t="s">
        <v>63</v>
      </c>
      <c r="AH2549" s="11" t="str">
        <f t="shared" si="160"/>
        <v>mailto: soilterrain@victoria1.gov.bc.ca</v>
      </c>
    </row>
    <row r="2550" spans="1:34">
      <c r="A2550" t="s">
        <v>5751</v>
      </c>
      <c r="B2550" t="s">
        <v>56</v>
      </c>
      <c r="C2550" s="10" t="s">
        <v>5509</v>
      </c>
      <c r="D2550" t="s">
        <v>58</v>
      </c>
      <c r="E2550" t="s">
        <v>2952</v>
      </c>
      <c r="F2550" t="s">
        <v>5752</v>
      </c>
      <c r="G2550">
        <v>25000</v>
      </c>
      <c r="H2550">
        <v>1974</v>
      </c>
      <c r="I2550" t="s">
        <v>58</v>
      </c>
      <c r="J2550" t="s">
        <v>58</v>
      </c>
      <c r="K2550" t="s">
        <v>58</v>
      </c>
      <c r="L2550" t="s">
        <v>58</v>
      </c>
      <c r="M2550" t="s">
        <v>58</v>
      </c>
      <c r="P2550" t="s">
        <v>61</v>
      </c>
      <c r="Q2550" t="s">
        <v>58</v>
      </c>
      <c r="R2550" s="11" t="str">
        <f>HYPERLINK("\\imagefiles.bcgov\imagery\scanned_maps\moe_terrain_maps\Scanned_T_maps_all\R05\R05-1563","\\imagefiles.bcgov\imagery\scanned_maps\moe_terrain_maps\Scanned_T_maps_all\R05\R05-1563")</f>
        <v>\\imagefiles.bcgov\imagery\scanned_maps\moe_terrain_maps\Scanned_T_maps_all\R05\R05-1563</v>
      </c>
      <c r="S2550" t="s">
        <v>62</v>
      </c>
      <c r="T2550" s="11" t="str">
        <f>HYPERLINK("http://www.env.gov.bc.ca/esd/distdata/ecosystems/TEI_Scanned_Maps/R05/R05-1563","http://www.env.gov.bc.ca/esd/distdata/ecosystems/TEI_Scanned_Maps/R05/R05-1563")</f>
        <v>http://www.env.gov.bc.ca/esd/distdata/ecosystems/TEI_Scanned_Maps/R05/R05-1563</v>
      </c>
      <c r="U2550" t="s">
        <v>58</v>
      </c>
      <c r="V2550" t="s">
        <v>58</v>
      </c>
      <c r="W2550" t="s">
        <v>58</v>
      </c>
      <c r="X2550" t="s">
        <v>58</v>
      </c>
      <c r="Y2550" t="s">
        <v>58</v>
      </c>
      <c r="Z2550" t="s">
        <v>58</v>
      </c>
      <c r="AA2550" t="s">
        <v>58</v>
      </c>
      <c r="AC2550" t="s">
        <v>58</v>
      </c>
      <c r="AE2550" t="s">
        <v>58</v>
      </c>
      <c r="AG2550" t="s">
        <v>63</v>
      </c>
      <c r="AH2550" s="11" t="str">
        <f t="shared" si="160"/>
        <v>mailto: soilterrain@victoria1.gov.bc.ca</v>
      </c>
    </row>
    <row r="2551" spans="1:34">
      <c r="A2551" t="s">
        <v>5753</v>
      </c>
      <c r="B2551" t="s">
        <v>56</v>
      </c>
      <c r="C2551" s="10" t="s">
        <v>5512</v>
      </c>
      <c r="D2551" t="s">
        <v>58</v>
      </c>
      <c r="E2551" t="s">
        <v>2952</v>
      </c>
      <c r="F2551" t="s">
        <v>5754</v>
      </c>
      <c r="G2551">
        <v>25000</v>
      </c>
      <c r="H2551">
        <v>1976</v>
      </c>
      <c r="I2551" t="s">
        <v>58</v>
      </c>
      <c r="J2551" t="s">
        <v>58</v>
      </c>
      <c r="K2551" t="s">
        <v>58</v>
      </c>
      <c r="L2551" t="s">
        <v>58</v>
      </c>
      <c r="M2551" t="s">
        <v>58</v>
      </c>
      <c r="P2551" t="s">
        <v>61</v>
      </c>
      <c r="Q2551" t="s">
        <v>58</v>
      </c>
      <c r="R2551" s="11" t="str">
        <f>HYPERLINK("\\imagefiles.bcgov\imagery\scanned_maps\moe_terrain_maps\Scanned_T_maps_all\R05\R05-1568","\\imagefiles.bcgov\imagery\scanned_maps\moe_terrain_maps\Scanned_T_maps_all\R05\R05-1568")</f>
        <v>\\imagefiles.bcgov\imagery\scanned_maps\moe_terrain_maps\Scanned_T_maps_all\R05\R05-1568</v>
      </c>
      <c r="S2551" t="s">
        <v>62</v>
      </c>
      <c r="T2551" s="11" t="str">
        <f>HYPERLINK("http://www.env.gov.bc.ca/esd/distdata/ecosystems/TEI_Scanned_Maps/R05/R05-1568","http://www.env.gov.bc.ca/esd/distdata/ecosystems/TEI_Scanned_Maps/R05/R05-1568")</f>
        <v>http://www.env.gov.bc.ca/esd/distdata/ecosystems/TEI_Scanned_Maps/R05/R05-1568</v>
      </c>
      <c r="U2551" t="s">
        <v>58</v>
      </c>
      <c r="V2551" t="s">
        <v>58</v>
      </c>
      <c r="W2551" t="s">
        <v>58</v>
      </c>
      <c r="X2551" t="s">
        <v>58</v>
      </c>
      <c r="Y2551" t="s">
        <v>58</v>
      </c>
      <c r="Z2551" t="s">
        <v>58</v>
      </c>
      <c r="AA2551" t="s">
        <v>58</v>
      </c>
      <c r="AC2551" t="s">
        <v>58</v>
      </c>
      <c r="AE2551" t="s">
        <v>58</v>
      </c>
      <c r="AG2551" t="s">
        <v>63</v>
      </c>
      <c r="AH2551" s="11" t="str">
        <f t="shared" si="160"/>
        <v>mailto: soilterrain@victoria1.gov.bc.ca</v>
      </c>
    </row>
    <row r="2552" spans="1:34">
      <c r="A2552" t="s">
        <v>5755</v>
      </c>
      <c r="B2552" t="s">
        <v>56</v>
      </c>
      <c r="C2552" s="10" t="s">
        <v>5515</v>
      </c>
      <c r="D2552" t="s">
        <v>58</v>
      </c>
      <c r="E2552" t="s">
        <v>2952</v>
      </c>
      <c r="F2552" t="s">
        <v>5756</v>
      </c>
      <c r="G2552">
        <v>25000</v>
      </c>
      <c r="H2552">
        <v>1974</v>
      </c>
      <c r="I2552" t="s">
        <v>58</v>
      </c>
      <c r="J2552" t="s">
        <v>58</v>
      </c>
      <c r="K2552" t="s">
        <v>58</v>
      </c>
      <c r="L2552" t="s">
        <v>58</v>
      </c>
      <c r="M2552" t="s">
        <v>58</v>
      </c>
      <c r="P2552" t="s">
        <v>61</v>
      </c>
      <c r="Q2552" t="s">
        <v>58</v>
      </c>
      <c r="R2552" s="11" t="str">
        <f>HYPERLINK("\\imagefiles.bcgov\imagery\scanned_maps\moe_terrain_maps\Scanned_T_maps_all\R05\R05-1573","\\imagefiles.bcgov\imagery\scanned_maps\moe_terrain_maps\Scanned_T_maps_all\R05\R05-1573")</f>
        <v>\\imagefiles.bcgov\imagery\scanned_maps\moe_terrain_maps\Scanned_T_maps_all\R05\R05-1573</v>
      </c>
      <c r="S2552" t="s">
        <v>62</v>
      </c>
      <c r="T2552" s="11" t="str">
        <f>HYPERLINK("http://www.env.gov.bc.ca/esd/distdata/ecosystems/TEI_Scanned_Maps/R05/R05-1573","http://www.env.gov.bc.ca/esd/distdata/ecosystems/TEI_Scanned_Maps/R05/R05-1573")</f>
        <v>http://www.env.gov.bc.ca/esd/distdata/ecosystems/TEI_Scanned_Maps/R05/R05-1573</v>
      </c>
      <c r="U2552" t="s">
        <v>58</v>
      </c>
      <c r="V2552" t="s">
        <v>58</v>
      </c>
      <c r="W2552" t="s">
        <v>58</v>
      </c>
      <c r="X2552" t="s">
        <v>58</v>
      </c>
      <c r="Y2552" t="s">
        <v>58</v>
      </c>
      <c r="Z2552" t="s">
        <v>58</v>
      </c>
      <c r="AA2552" t="s">
        <v>58</v>
      </c>
      <c r="AC2552" t="s">
        <v>58</v>
      </c>
      <c r="AE2552" t="s">
        <v>58</v>
      </c>
      <c r="AG2552" t="s">
        <v>63</v>
      </c>
      <c r="AH2552" s="11" t="str">
        <f t="shared" si="160"/>
        <v>mailto: soilterrain@victoria1.gov.bc.ca</v>
      </c>
    </row>
    <row r="2553" spans="1:34">
      <c r="A2553" t="s">
        <v>5757</v>
      </c>
      <c r="B2553" t="s">
        <v>56</v>
      </c>
      <c r="C2553" s="10" t="s">
        <v>5518</v>
      </c>
      <c r="D2553" t="s">
        <v>58</v>
      </c>
      <c r="E2553" t="s">
        <v>2952</v>
      </c>
      <c r="F2553" t="s">
        <v>5758</v>
      </c>
      <c r="G2553">
        <v>25000</v>
      </c>
      <c r="H2553">
        <v>1976</v>
      </c>
      <c r="I2553" t="s">
        <v>58</v>
      </c>
      <c r="J2553" t="s">
        <v>58</v>
      </c>
      <c r="K2553" t="s">
        <v>58</v>
      </c>
      <c r="L2553" t="s">
        <v>58</v>
      </c>
      <c r="M2553" t="s">
        <v>58</v>
      </c>
      <c r="P2553" t="s">
        <v>61</v>
      </c>
      <c r="Q2553" t="s">
        <v>58</v>
      </c>
      <c r="R2553" s="11" t="str">
        <f>HYPERLINK("\\imagefiles.bcgov\imagery\scanned_maps\moe_terrain_maps\Scanned_T_maps_all\R05\R05-1578","\\imagefiles.bcgov\imagery\scanned_maps\moe_terrain_maps\Scanned_T_maps_all\R05\R05-1578")</f>
        <v>\\imagefiles.bcgov\imagery\scanned_maps\moe_terrain_maps\Scanned_T_maps_all\R05\R05-1578</v>
      </c>
      <c r="S2553" t="s">
        <v>62</v>
      </c>
      <c r="T2553" s="11" t="str">
        <f>HYPERLINK("http://www.env.gov.bc.ca/esd/distdata/ecosystems/TEI_Scanned_Maps/R05/R05-1578","http://www.env.gov.bc.ca/esd/distdata/ecosystems/TEI_Scanned_Maps/R05/R05-1578")</f>
        <v>http://www.env.gov.bc.ca/esd/distdata/ecosystems/TEI_Scanned_Maps/R05/R05-1578</v>
      </c>
      <c r="U2553" t="s">
        <v>58</v>
      </c>
      <c r="V2553" t="s">
        <v>58</v>
      </c>
      <c r="W2553" t="s">
        <v>58</v>
      </c>
      <c r="X2553" t="s">
        <v>58</v>
      </c>
      <c r="Y2553" t="s">
        <v>58</v>
      </c>
      <c r="Z2553" t="s">
        <v>58</v>
      </c>
      <c r="AA2553" t="s">
        <v>58</v>
      </c>
      <c r="AC2553" t="s">
        <v>58</v>
      </c>
      <c r="AE2553" t="s">
        <v>58</v>
      </c>
      <c r="AG2553" t="s">
        <v>63</v>
      </c>
      <c r="AH2553" s="11" t="str">
        <f t="shared" si="160"/>
        <v>mailto: soilterrain@victoria1.gov.bc.ca</v>
      </c>
    </row>
    <row r="2554" spans="1:34">
      <c r="A2554" t="s">
        <v>5759</v>
      </c>
      <c r="B2554" t="s">
        <v>56</v>
      </c>
      <c r="C2554" s="10" t="s">
        <v>5521</v>
      </c>
      <c r="D2554" t="s">
        <v>58</v>
      </c>
      <c r="E2554" t="s">
        <v>2952</v>
      </c>
      <c r="F2554" t="s">
        <v>5760</v>
      </c>
      <c r="G2554">
        <v>25000</v>
      </c>
      <c r="H2554">
        <v>1974</v>
      </c>
      <c r="I2554" t="s">
        <v>58</v>
      </c>
      <c r="J2554" t="s">
        <v>58</v>
      </c>
      <c r="K2554" t="s">
        <v>58</v>
      </c>
      <c r="L2554" t="s">
        <v>58</v>
      </c>
      <c r="M2554" t="s">
        <v>58</v>
      </c>
      <c r="P2554" t="s">
        <v>61</v>
      </c>
      <c r="Q2554" t="s">
        <v>58</v>
      </c>
      <c r="R2554" s="11" t="str">
        <f>HYPERLINK("\\imagefiles.bcgov\imagery\scanned_maps\moe_terrain_maps\Scanned_T_maps_all\R05\R05-1583","\\imagefiles.bcgov\imagery\scanned_maps\moe_terrain_maps\Scanned_T_maps_all\R05\R05-1583")</f>
        <v>\\imagefiles.bcgov\imagery\scanned_maps\moe_terrain_maps\Scanned_T_maps_all\R05\R05-1583</v>
      </c>
      <c r="S2554" t="s">
        <v>62</v>
      </c>
      <c r="T2554" s="11" t="str">
        <f>HYPERLINK("http://www.env.gov.bc.ca/esd/distdata/ecosystems/TEI_Scanned_Maps/R05/R05-1583","http://www.env.gov.bc.ca/esd/distdata/ecosystems/TEI_Scanned_Maps/R05/R05-1583")</f>
        <v>http://www.env.gov.bc.ca/esd/distdata/ecosystems/TEI_Scanned_Maps/R05/R05-1583</v>
      </c>
      <c r="U2554" t="s">
        <v>58</v>
      </c>
      <c r="V2554" t="s">
        <v>58</v>
      </c>
      <c r="W2554" t="s">
        <v>58</v>
      </c>
      <c r="X2554" t="s">
        <v>58</v>
      </c>
      <c r="Y2554" t="s">
        <v>58</v>
      </c>
      <c r="Z2554" t="s">
        <v>58</v>
      </c>
      <c r="AA2554" t="s">
        <v>58</v>
      </c>
      <c r="AC2554" t="s">
        <v>58</v>
      </c>
      <c r="AE2554" t="s">
        <v>58</v>
      </c>
      <c r="AG2554" t="s">
        <v>63</v>
      </c>
      <c r="AH2554" s="11" t="str">
        <f t="shared" si="160"/>
        <v>mailto: soilterrain@victoria1.gov.bc.ca</v>
      </c>
    </row>
    <row r="2555" spans="1:34">
      <c r="A2555" t="s">
        <v>5761</v>
      </c>
      <c r="B2555" t="s">
        <v>56</v>
      </c>
      <c r="C2555" s="10" t="s">
        <v>5524</v>
      </c>
      <c r="D2555" t="s">
        <v>58</v>
      </c>
      <c r="E2555" t="s">
        <v>2952</v>
      </c>
      <c r="F2555" t="s">
        <v>5762</v>
      </c>
      <c r="G2555">
        <v>25000</v>
      </c>
      <c r="H2555">
        <v>1977</v>
      </c>
      <c r="I2555" t="s">
        <v>58</v>
      </c>
      <c r="J2555" t="s">
        <v>58</v>
      </c>
      <c r="K2555" t="s">
        <v>58</v>
      </c>
      <c r="L2555" t="s">
        <v>58</v>
      </c>
      <c r="M2555" t="s">
        <v>58</v>
      </c>
      <c r="P2555" t="s">
        <v>61</v>
      </c>
      <c r="Q2555" t="s">
        <v>58</v>
      </c>
      <c r="R2555" s="11" t="str">
        <f>HYPERLINK("\\imagefiles.bcgov\imagery\scanned_maps\moe_terrain_maps\Scanned_T_maps_all\R05\R05-1588","\\imagefiles.bcgov\imagery\scanned_maps\moe_terrain_maps\Scanned_T_maps_all\R05\R05-1588")</f>
        <v>\\imagefiles.bcgov\imagery\scanned_maps\moe_terrain_maps\Scanned_T_maps_all\R05\R05-1588</v>
      </c>
      <c r="S2555" t="s">
        <v>62</v>
      </c>
      <c r="T2555" s="11" t="str">
        <f>HYPERLINK("http://www.env.gov.bc.ca/esd/distdata/ecosystems/TEI_Scanned_Maps/R05/R05-1588","http://www.env.gov.bc.ca/esd/distdata/ecosystems/TEI_Scanned_Maps/R05/R05-1588")</f>
        <v>http://www.env.gov.bc.ca/esd/distdata/ecosystems/TEI_Scanned_Maps/R05/R05-1588</v>
      </c>
      <c r="U2555" t="s">
        <v>58</v>
      </c>
      <c r="V2555" t="s">
        <v>58</v>
      </c>
      <c r="W2555" t="s">
        <v>58</v>
      </c>
      <c r="X2555" t="s">
        <v>58</v>
      </c>
      <c r="Y2555" t="s">
        <v>58</v>
      </c>
      <c r="Z2555" t="s">
        <v>58</v>
      </c>
      <c r="AA2555" t="s">
        <v>58</v>
      </c>
      <c r="AC2555" t="s">
        <v>58</v>
      </c>
      <c r="AE2555" t="s">
        <v>58</v>
      </c>
      <c r="AG2555" t="s">
        <v>63</v>
      </c>
      <c r="AH2555" s="11" t="str">
        <f t="shared" si="160"/>
        <v>mailto: soilterrain@victoria1.gov.bc.ca</v>
      </c>
    </row>
    <row r="2556" spans="1:34">
      <c r="A2556" t="s">
        <v>5763</v>
      </c>
      <c r="B2556" t="s">
        <v>56</v>
      </c>
      <c r="C2556" s="10" t="s">
        <v>5527</v>
      </c>
      <c r="D2556" t="s">
        <v>58</v>
      </c>
      <c r="E2556" t="s">
        <v>2952</v>
      </c>
      <c r="F2556" t="s">
        <v>5764</v>
      </c>
      <c r="G2556">
        <v>25000</v>
      </c>
      <c r="H2556">
        <v>1974</v>
      </c>
      <c r="I2556" t="s">
        <v>58</v>
      </c>
      <c r="J2556" t="s">
        <v>58</v>
      </c>
      <c r="K2556" t="s">
        <v>58</v>
      </c>
      <c r="L2556" t="s">
        <v>58</v>
      </c>
      <c r="M2556" t="s">
        <v>58</v>
      </c>
      <c r="P2556" t="s">
        <v>61</v>
      </c>
      <c r="Q2556" t="s">
        <v>58</v>
      </c>
      <c r="R2556" s="11" t="str">
        <f>HYPERLINK("\\imagefiles.bcgov\imagery\scanned_maps\moe_terrain_maps\Scanned_T_maps_all\R05\R05-1593","\\imagefiles.bcgov\imagery\scanned_maps\moe_terrain_maps\Scanned_T_maps_all\R05\R05-1593")</f>
        <v>\\imagefiles.bcgov\imagery\scanned_maps\moe_terrain_maps\Scanned_T_maps_all\R05\R05-1593</v>
      </c>
      <c r="S2556" t="s">
        <v>62</v>
      </c>
      <c r="T2556" s="11" t="str">
        <f>HYPERLINK("http://www.env.gov.bc.ca/esd/distdata/ecosystems/TEI_Scanned_Maps/R05/R05-1593","http://www.env.gov.bc.ca/esd/distdata/ecosystems/TEI_Scanned_Maps/R05/R05-1593")</f>
        <v>http://www.env.gov.bc.ca/esd/distdata/ecosystems/TEI_Scanned_Maps/R05/R05-1593</v>
      </c>
      <c r="U2556" t="s">
        <v>58</v>
      </c>
      <c r="V2556" t="s">
        <v>58</v>
      </c>
      <c r="W2556" t="s">
        <v>58</v>
      </c>
      <c r="X2556" t="s">
        <v>58</v>
      </c>
      <c r="Y2556" t="s">
        <v>58</v>
      </c>
      <c r="Z2556" t="s">
        <v>58</v>
      </c>
      <c r="AA2556" t="s">
        <v>58</v>
      </c>
      <c r="AC2556" t="s">
        <v>58</v>
      </c>
      <c r="AE2556" t="s">
        <v>58</v>
      </c>
      <c r="AG2556" t="s">
        <v>63</v>
      </c>
      <c r="AH2556" s="11" t="str">
        <f t="shared" si="160"/>
        <v>mailto: soilterrain@victoria1.gov.bc.ca</v>
      </c>
    </row>
    <row r="2557" spans="1:34">
      <c r="A2557" t="s">
        <v>5765</v>
      </c>
      <c r="B2557" t="s">
        <v>56</v>
      </c>
      <c r="C2557" s="10" t="s">
        <v>5530</v>
      </c>
      <c r="D2557" t="s">
        <v>58</v>
      </c>
      <c r="E2557" t="s">
        <v>2952</v>
      </c>
      <c r="F2557" t="s">
        <v>5766</v>
      </c>
      <c r="G2557">
        <v>25000</v>
      </c>
      <c r="H2557">
        <v>1977</v>
      </c>
      <c r="I2557" t="s">
        <v>58</v>
      </c>
      <c r="J2557" t="s">
        <v>58</v>
      </c>
      <c r="K2557" t="s">
        <v>58</v>
      </c>
      <c r="L2557" t="s">
        <v>58</v>
      </c>
      <c r="M2557" t="s">
        <v>58</v>
      </c>
      <c r="P2557" t="s">
        <v>61</v>
      </c>
      <c r="Q2557" t="s">
        <v>58</v>
      </c>
      <c r="R2557" s="11" t="str">
        <f>HYPERLINK("\\imagefiles.bcgov\imagery\scanned_maps\moe_terrain_maps\Scanned_T_maps_all\R05\R05-1598","\\imagefiles.bcgov\imagery\scanned_maps\moe_terrain_maps\Scanned_T_maps_all\R05\R05-1598")</f>
        <v>\\imagefiles.bcgov\imagery\scanned_maps\moe_terrain_maps\Scanned_T_maps_all\R05\R05-1598</v>
      </c>
      <c r="S2557" t="s">
        <v>62</v>
      </c>
      <c r="T2557" s="11" t="str">
        <f>HYPERLINK("http://www.env.gov.bc.ca/esd/distdata/ecosystems/TEI_Scanned_Maps/R05/R05-1598","http://www.env.gov.bc.ca/esd/distdata/ecosystems/TEI_Scanned_Maps/R05/R05-1598")</f>
        <v>http://www.env.gov.bc.ca/esd/distdata/ecosystems/TEI_Scanned_Maps/R05/R05-1598</v>
      </c>
      <c r="U2557" t="s">
        <v>58</v>
      </c>
      <c r="V2557" t="s">
        <v>58</v>
      </c>
      <c r="W2557" t="s">
        <v>58</v>
      </c>
      <c r="X2557" t="s">
        <v>58</v>
      </c>
      <c r="Y2557" t="s">
        <v>58</v>
      </c>
      <c r="Z2557" t="s">
        <v>58</v>
      </c>
      <c r="AA2557" t="s">
        <v>58</v>
      </c>
      <c r="AC2557" t="s">
        <v>58</v>
      </c>
      <c r="AE2557" t="s">
        <v>58</v>
      </c>
      <c r="AG2557" t="s">
        <v>63</v>
      </c>
      <c r="AH2557" s="11" t="str">
        <f t="shared" si="160"/>
        <v>mailto: soilterrain@victoria1.gov.bc.ca</v>
      </c>
    </row>
    <row r="2558" spans="1:34">
      <c r="A2558" t="s">
        <v>5767</v>
      </c>
      <c r="B2558" t="s">
        <v>56</v>
      </c>
      <c r="C2558" s="10" t="s">
        <v>170</v>
      </c>
      <c r="D2558" t="s">
        <v>58</v>
      </c>
      <c r="E2558" t="s">
        <v>2952</v>
      </c>
      <c r="F2558" t="s">
        <v>5669</v>
      </c>
      <c r="G2558">
        <v>50000</v>
      </c>
      <c r="H2558" t="s">
        <v>187</v>
      </c>
      <c r="I2558" t="s">
        <v>58</v>
      </c>
      <c r="J2558" t="s">
        <v>58</v>
      </c>
      <c r="K2558" t="s">
        <v>58</v>
      </c>
      <c r="L2558" t="s">
        <v>58</v>
      </c>
      <c r="M2558" t="s">
        <v>58</v>
      </c>
      <c r="P2558" t="s">
        <v>61</v>
      </c>
      <c r="Q2558" t="s">
        <v>58</v>
      </c>
      <c r="R2558" s="11" t="str">
        <f>HYPERLINK("\\imagefiles.bcgov\imagery\scanned_maps\moe_terrain_maps\Scanned_T_maps_all\R05\R05-1602","\\imagefiles.bcgov\imagery\scanned_maps\moe_terrain_maps\Scanned_T_maps_all\R05\R05-1602")</f>
        <v>\\imagefiles.bcgov\imagery\scanned_maps\moe_terrain_maps\Scanned_T_maps_all\R05\R05-1602</v>
      </c>
      <c r="S2558" t="s">
        <v>62</v>
      </c>
      <c r="T2558" s="11" t="str">
        <f>HYPERLINK("http://www.env.gov.bc.ca/esd/distdata/ecosystems/TEI_Scanned_Maps/R05/R05-1602","http://www.env.gov.bc.ca/esd/distdata/ecosystems/TEI_Scanned_Maps/R05/R05-1602")</f>
        <v>http://www.env.gov.bc.ca/esd/distdata/ecosystems/TEI_Scanned_Maps/R05/R05-1602</v>
      </c>
      <c r="U2558" t="s">
        <v>58</v>
      </c>
      <c r="V2558" t="s">
        <v>58</v>
      </c>
      <c r="W2558" t="s">
        <v>58</v>
      </c>
      <c r="X2558" t="s">
        <v>58</v>
      </c>
      <c r="Y2558" t="s">
        <v>58</v>
      </c>
      <c r="Z2558" t="s">
        <v>58</v>
      </c>
      <c r="AA2558" t="s">
        <v>58</v>
      </c>
      <c r="AC2558" t="s">
        <v>58</v>
      </c>
      <c r="AE2558" t="s">
        <v>58</v>
      </c>
      <c r="AG2558" t="s">
        <v>63</v>
      </c>
      <c r="AH2558" s="11" t="str">
        <f t="shared" si="160"/>
        <v>mailto: soilterrain@victoria1.gov.bc.ca</v>
      </c>
    </row>
    <row r="2559" spans="1:34">
      <c r="A2559" t="s">
        <v>5768</v>
      </c>
      <c r="B2559" t="s">
        <v>56</v>
      </c>
      <c r="C2559" s="10" t="s">
        <v>635</v>
      </c>
      <c r="D2559" t="s">
        <v>58</v>
      </c>
      <c r="E2559" t="s">
        <v>2952</v>
      </c>
      <c r="F2559" t="s">
        <v>5769</v>
      </c>
      <c r="G2559">
        <v>50000</v>
      </c>
      <c r="H2559" t="s">
        <v>187</v>
      </c>
      <c r="I2559" t="s">
        <v>58</v>
      </c>
      <c r="J2559" t="s">
        <v>58</v>
      </c>
      <c r="K2559" t="s">
        <v>58</v>
      </c>
      <c r="L2559" t="s">
        <v>58</v>
      </c>
      <c r="M2559" t="s">
        <v>58</v>
      </c>
      <c r="P2559" t="s">
        <v>61</v>
      </c>
      <c r="Q2559" t="s">
        <v>58</v>
      </c>
      <c r="R2559" s="11" t="str">
        <f>HYPERLINK("\\imagefiles.bcgov\imagery\scanned_maps\moe_terrain_maps\Scanned_T_maps_all\R05\R05-1605","\\imagefiles.bcgov\imagery\scanned_maps\moe_terrain_maps\Scanned_T_maps_all\R05\R05-1605")</f>
        <v>\\imagefiles.bcgov\imagery\scanned_maps\moe_terrain_maps\Scanned_T_maps_all\R05\R05-1605</v>
      </c>
      <c r="S2559" t="s">
        <v>62</v>
      </c>
      <c r="T2559" s="11" t="str">
        <f>HYPERLINK("http://www.env.gov.bc.ca/esd/distdata/ecosystems/TEI_Scanned_Maps/R05/R05-1605","http://www.env.gov.bc.ca/esd/distdata/ecosystems/TEI_Scanned_Maps/R05/R05-1605")</f>
        <v>http://www.env.gov.bc.ca/esd/distdata/ecosystems/TEI_Scanned_Maps/R05/R05-1605</v>
      </c>
      <c r="U2559" t="s">
        <v>58</v>
      </c>
      <c r="V2559" t="s">
        <v>58</v>
      </c>
      <c r="W2559" t="s">
        <v>58</v>
      </c>
      <c r="X2559" t="s">
        <v>58</v>
      </c>
      <c r="Y2559" t="s">
        <v>58</v>
      </c>
      <c r="Z2559" t="s">
        <v>58</v>
      </c>
      <c r="AA2559" t="s">
        <v>58</v>
      </c>
      <c r="AC2559" t="s">
        <v>58</v>
      </c>
      <c r="AE2559" t="s">
        <v>58</v>
      </c>
      <c r="AG2559" t="s">
        <v>63</v>
      </c>
      <c r="AH2559" s="11" t="str">
        <f t="shared" si="160"/>
        <v>mailto: soilterrain@victoria1.gov.bc.ca</v>
      </c>
    </row>
    <row r="2560" spans="1:34">
      <c r="A2560" t="s">
        <v>5770</v>
      </c>
      <c r="B2560" t="s">
        <v>56</v>
      </c>
      <c r="C2560" s="10" t="s">
        <v>185</v>
      </c>
      <c r="D2560" t="s">
        <v>58</v>
      </c>
      <c r="E2560" t="s">
        <v>2952</v>
      </c>
      <c r="F2560" t="s">
        <v>5771</v>
      </c>
      <c r="G2560">
        <v>50000</v>
      </c>
      <c r="H2560" t="s">
        <v>187</v>
      </c>
      <c r="I2560" t="s">
        <v>58</v>
      </c>
      <c r="J2560" t="s">
        <v>58</v>
      </c>
      <c r="K2560" t="s">
        <v>58</v>
      </c>
      <c r="L2560" t="s">
        <v>58</v>
      </c>
      <c r="M2560" t="s">
        <v>58</v>
      </c>
      <c r="P2560" t="s">
        <v>61</v>
      </c>
      <c r="Q2560" t="s">
        <v>58</v>
      </c>
      <c r="R2560" s="11" t="str">
        <f>HYPERLINK("\\imagefiles.bcgov\imagery\scanned_maps\moe_terrain_maps\Scanned_T_maps_all\R05\R05-1608","\\imagefiles.bcgov\imagery\scanned_maps\moe_terrain_maps\Scanned_T_maps_all\R05\R05-1608")</f>
        <v>\\imagefiles.bcgov\imagery\scanned_maps\moe_terrain_maps\Scanned_T_maps_all\R05\R05-1608</v>
      </c>
      <c r="S2560" t="s">
        <v>62</v>
      </c>
      <c r="T2560" s="11" t="str">
        <f>HYPERLINK("http://www.env.gov.bc.ca/esd/distdata/ecosystems/TEI_Scanned_Maps/R05/R05-1608","http://www.env.gov.bc.ca/esd/distdata/ecosystems/TEI_Scanned_Maps/R05/R05-1608")</f>
        <v>http://www.env.gov.bc.ca/esd/distdata/ecosystems/TEI_Scanned_Maps/R05/R05-1608</v>
      </c>
      <c r="U2560" t="s">
        <v>58</v>
      </c>
      <c r="V2560" t="s">
        <v>58</v>
      </c>
      <c r="W2560" t="s">
        <v>58</v>
      </c>
      <c r="X2560" t="s">
        <v>58</v>
      </c>
      <c r="Y2560" t="s">
        <v>58</v>
      </c>
      <c r="Z2560" t="s">
        <v>58</v>
      </c>
      <c r="AA2560" t="s">
        <v>58</v>
      </c>
      <c r="AC2560" t="s">
        <v>58</v>
      </c>
      <c r="AE2560" t="s">
        <v>58</v>
      </c>
      <c r="AG2560" t="s">
        <v>63</v>
      </c>
      <c r="AH2560" s="11" t="str">
        <f t="shared" si="160"/>
        <v>mailto: soilterrain@victoria1.gov.bc.ca</v>
      </c>
    </row>
    <row r="2561" spans="1:34">
      <c r="A2561" t="s">
        <v>5772</v>
      </c>
      <c r="B2561" t="s">
        <v>56</v>
      </c>
      <c r="C2561" s="10" t="s">
        <v>5533</v>
      </c>
      <c r="D2561" t="s">
        <v>58</v>
      </c>
      <c r="E2561" t="s">
        <v>2952</v>
      </c>
      <c r="F2561" t="s">
        <v>5773</v>
      </c>
      <c r="G2561">
        <v>25000</v>
      </c>
      <c r="H2561">
        <v>1974</v>
      </c>
      <c r="I2561" t="s">
        <v>58</v>
      </c>
      <c r="J2561" t="s">
        <v>58</v>
      </c>
      <c r="K2561" t="s">
        <v>58</v>
      </c>
      <c r="L2561" t="s">
        <v>58</v>
      </c>
      <c r="M2561" t="s">
        <v>58</v>
      </c>
      <c r="P2561" t="s">
        <v>61</v>
      </c>
      <c r="Q2561" t="s">
        <v>58</v>
      </c>
      <c r="R2561" s="11" t="str">
        <f>HYPERLINK("\\imagefiles.bcgov\imagery\scanned_maps\moe_terrain_maps\Scanned_T_maps_all\R05\R05-1613","\\imagefiles.bcgov\imagery\scanned_maps\moe_terrain_maps\Scanned_T_maps_all\R05\R05-1613")</f>
        <v>\\imagefiles.bcgov\imagery\scanned_maps\moe_terrain_maps\Scanned_T_maps_all\R05\R05-1613</v>
      </c>
      <c r="S2561" t="s">
        <v>62</v>
      </c>
      <c r="T2561" s="11" t="str">
        <f>HYPERLINK("http://www.env.gov.bc.ca/esd/distdata/ecosystems/TEI_Scanned_Maps/R05/R05-1613","http://www.env.gov.bc.ca/esd/distdata/ecosystems/TEI_Scanned_Maps/R05/R05-1613")</f>
        <v>http://www.env.gov.bc.ca/esd/distdata/ecosystems/TEI_Scanned_Maps/R05/R05-1613</v>
      </c>
      <c r="U2561" t="s">
        <v>58</v>
      </c>
      <c r="V2561" t="s">
        <v>58</v>
      </c>
      <c r="W2561" t="s">
        <v>58</v>
      </c>
      <c r="X2561" t="s">
        <v>58</v>
      </c>
      <c r="Y2561" t="s">
        <v>58</v>
      </c>
      <c r="Z2561" t="s">
        <v>58</v>
      </c>
      <c r="AA2561" t="s">
        <v>58</v>
      </c>
      <c r="AC2561" t="s">
        <v>58</v>
      </c>
      <c r="AE2561" t="s">
        <v>58</v>
      </c>
      <c r="AG2561" t="s">
        <v>63</v>
      </c>
      <c r="AH2561" s="11" t="str">
        <f t="shared" si="160"/>
        <v>mailto: soilterrain@victoria1.gov.bc.ca</v>
      </c>
    </row>
    <row r="2562" spans="1:34">
      <c r="A2562" t="s">
        <v>5774</v>
      </c>
      <c r="B2562" t="s">
        <v>56</v>
      </c>
      <c r="C2562" s="10" t="s">
        <v>5536</v>
      </c>
      <c r="D2562" t="s">
        <v>58</v>
      </c>
      <c r="E2562" t="s">
        <v>2952</v>
      </c>
      <c r="F2562" t="s">
        <v>5775</v>
      </c>
      <c r="G2562">
        <v>25000</v>
      </c>
      <c r="H2562">
        <v>1980</v>
      </c>
      <c r="I2562" t="s">
        <v>58</v>
      </c>
      <c r="J2562" t="s">
        <v>58</v>
      </c>
      <c r="K2562" t="s">
        <v>58</v>
      </c>
      <c r="L2562" t="s">
        <v>58</v>
      </c>
      <c r="M2562" t="s">
        <v>58</v>
      </c>
      <c r="P2562" t="s">
        <v>61</v>
      </c>
      <c r="Q2562" t="s">
        <v>58</v>
      </c>
      <c r="R2562" s="11" t="str">
        <f>HYPERLINK("\\imagefiles.bcgov\imagery\scanned_maps\moe_terrain_maps\Scanned_T_maps_all\R05\R05-1618","\\imagefiles.bcgov\imagery\scanned_maps\moe_terrain_maps\Scanned_T_maps_all\R05\R05-1618")</f>
        <v>\\imagefiles.bcgov\imagery\scanned_maps\moe_terrain_maps\Scanned_T_maps_all\R05\R05-1618</v>
      </c>
      <c r="S2562" t="s">
        <v>62</v>
      </c>
      <c r="T2562" s="11" t="str">
        <f>HYPERLINK("http://www.env.gov.bc.ca/esd/distdata/ecosystems/TEI_Scanned_Maps/R05/R05-1618","http://www.env.gov.bc.ca/esd/distdata/ecosystems/TEI_Scanned_Maps/R05/R05-1618")</f>
        <v>http://www.env.gov.bc.ca/esd/distdata/ecosystems/TEI_Scanned_Maps/R05/R05-1618</v>
      </c>
      <c r="U2562" t="s">
        <v>58</v>
      </c>
      <c r="V2562" t="s">
        <v>58</v>
      </c>
      <c r="W2562" t="s">
        <v>58</v>
      </c>
      <c r="X2562" t="s">
        <v>58</v>
      </c>
      <c r="Y2562" t="s">
        <v>58</v>
      </c>
      <c r="Z2562" t="s">
        <v>58</v>
      </c>
      <c r="AA2562" t="s">
        <v>58</v>
      </c>
      <c r="AC2562" t="s">
        <v>58</v>
      </c>
      <c r="AE2562" t="s">
        <v>58</v>
      </c>
      <c r="AG2562" t="s">
        <v>63</v>
      </c>
      <c r="AH2562" s="11" t="str">
        <f t="shared" ref="AH2562:AH2625" si="161">HYPERLINK("mailto: soilterrain@victoria1.gov.bc.ca","mailto: soilterrain@victoria1.gov.bc.ca")</f>
        <v>mailto: soilterrain@victoria1.gov.bc.ca</v>
      </c>
    </row>
    <row r="2563" spans="1:34">
      <c r="A2563" t="s">
        <v>5776</v>
      </c>
      <c r="B2563" t="s">
        <v>56</v>
      </c>
      <c r="C2563" s="10" t="s">
        <v>192</v>
      </c>
      <c r="D2563" t="s">
        <v>58</v>
      </c>
      <c r="E2563" t="s">
        <v>2952</v>
      </c>
      <c r="F2563" t="s">
        <v>5777</v>
      </c>
      <c r="G2563">
        <v>50000</v>
      </c>
      <c r="H2563">
        <v>1979</v>
      </c>
      <c r="I2563" t="s">
        <v>58</v>
      </c>
      <c r="J2563" t="s">
        <v>58</v>
      </c>
      <c r="K2563" t="s">
        <v>58</v>
      </c>
      <c r="L2563" t="s">
        <v>58</v>
      </c>
      <c r="M2563" t="s">
        <v>58</v>
      </c>
      <c r="P2563" t="s">
        <v>61</v>
      </c>
      <c r="Q2563" t="s">
        <v>58</v>
      </c>
      <c r="R2563" s="11" t="str">
        <f>HYPERLINK("\\imagefiles.bcgov\imagery\scanned_maps\moe_terrain_maps\Scanned_T_maps_all\R05\R05-1621","\\imagefiles.bcgov\imagery\scanned_maps\moe_terrain_maps\Scanned_T_maps_all\R05\R05-1621")</f>
        <v>\\imagefiles.bcgov\imagery\scanned_maps\moe_terrain_maps\Scanned_T_maps_all\R05\R05-1621</v>
      </c>
      <c r="S2563" t="s">
        <v>62</v>
      </c>
      <c r="T2563" s="11" t="str">
        <f>HYPERLINK("http://www.env.gov.bc.ca/esd/distdata/ecosystems/TEI_Scanned_Maps/R05/R05-1621","http://www.env.gov.bc.ca/esd/distdata/ecosystems/TEI_Scanned_Maps/R05/R05-1621")</f>
        <v>http://www.env.gov.bc.ca/esd/distdata/ecosystems/TEI_Scanned_Maps/R05/R05-1621</v>
      </c>
      <c r="U2563" t="s">
        <v>58</v>
      </c>
      <c r="V2563" t="s">
        <v>58</v>
      </c>
      <c r="W2563" t="s">
        <v>58</v>
      </c>
      <c r="X2563" t="s">
        <v>58</v>
      </c>
      <c r="Y2563" t="s">
        <v>58</v>
      </c>
      <c r="Z2563" t="s">
        <v>58</v>
      </c>
      <c r="AA2563" t="s">
        <v>58</v>
      </c>
      <c r="AC2563" t="s">
        <v>58</v>
      </c>
      <c r="AE2563" t="s">
        <v>58</v>
      </c>
      <c r="AG2563" t="s">
        <v>63</v>
      </c>
      <c r="AH2563" s="11" t="str">
        <f t="shared" si="161"/>
        <v>mailto: soilterrain@victoria1.gov.bc.ca</v>
      </c>
    </row>
    <row r="2564" spans="1:34">
      <c r="A2564" t="s">
        <v>5778</v>
      </c>
      <c r="B2564" t="s">
        <v>56</v>
      </c>
      <c r="C2564" s="10" t="s">
        <v>192</v>
      </c>
      <c r="D2564" t="s">
        <v>58</v>
      </c>
      <c r="E2564" t="s">
        <v>2952</v>
      </c>
      <c r="F2564" t="s">
        <v>5777</v>
      </c>
      <c r="G2564">
        <v>50000</v>
      </c>
      <c r="H2564">
        <v>1978</v>
      </c>
      <c r="I2564" t="s">
        <v>58</v>
      </c>
      <c r="J2564" t="s">
        <v>58</v>
      </c>
      <c r="K2564" t="s">
        <v>58</v>
      </c>
      <c r="L2564" t="s">
        <v>58</v>
      </c>
      <c r="M2564" t="s">
        <v>58</v>
      </c>
      <c r="P2564" t="s">
        <v>61</v>
      </c>
      <c r="Q2564" t="s">
        <v>58</v>
      </c>
      <c r="R2564" s="11" t="str">
        <f>HYPERLINK("\\imagefiles.bcgov\imagery\scanned_maps\moe_terrain_maps\Scanned_T_maps_all\R05\R05-1625","\\imagefiles.bcgov\imagery\scanned_maps\moe_terrain_maps\Scanned_T_maps_all\R05\R05-1625")</f>
        <v>\\imagefiles.bcgov\imagery\scanned_maps\moe_terrain_maps\Scanned_T_maps_all\R05\R05-1625</v>
      </c>
      <c r="S2564" t="s">
        <v>62</v>
      </c>
      <c r="T2564" s="11" t="str">
        <f>HYPERLINK("http://www.env.gov.bc.ca/esd/distdata/ecosystems/TEI_Scanned_Maps/R05/R05-1625","http://www.env.gov.bc.ca/esd/distdata/ecosystems/TEI_Scanned_Maps/R05/R05-1625")</f>
        <v>http://www.env.gov.bc.ca/esd/distdata/ecosystems/TEI_Scanned_Maps/R05/R05-1625</v>
      </c>
      <c r="U2564" t="s">
        <v>58</v>
      </c>
      <c r="V2564" t="s">
        <v>58</v>
      </c>
      <c r="W2564" t="s">
        <v>58</v>
      </c>
      <c r="X2564" t="s">
        <v>58</v>
      </c>
      <c r="Y2564" t="s">
        <v>58</v>
      </c>
      <c r="Z2564" t="s">
        <v>58</v>
      </c>
      <c r="AA2564" t="s">
        <v>58</v>
      </c>
      <c r="AC2564" t="s">
        <v>58</v>
      </c>
      <c r="AE2564" t="s">
        <v>58</v>
      </c>
      <c r="AG2564" t="s">
        <v>63</v>
      </c>
      <c r="AH2564" s="11" t="str">
        <f t="shared" si="161"/>
        <v>mailto: soilterrain@victoria1.gov.bc.ca</v>
      </c>
    </row>
    <row r="2565" spans="1:34">
      <c r="A2565" t="s">
        <v>5779</v>
      </c>
      <c r="B2565" t="s">
        <v>56</v>
      </c>
      <c r="C2565" s="10" t="s">
        <v>5780</v>
      </c>
      <c r="D2565" t="s">
        <v>58</v>
      </c>
      <c r="E2565" t="s">
        <v>2952</v>
      </c>
      <c r="F2565" t="s">
        <v>5669</v>
      </c>
      <c r="G2565">
        <v>25000</v>
      </c>
      <c r="H2565">
        <v>1980</v>
      </c>
      <c r="I2565" t="s">
        <v>58</v>
      </c>
      <c r="J2565" t="s">
        <v>58</v>
      </c>
      <c r="K2565" t="s">
        <v>58</v>
      </c>
      <c r="L2565" t="s">
        <v>58</v>
      </c>
      <c r="M2565" t="s">
        <v>58</v>
      </c>
      <c r="P2565" t="s">
        <v>61</v>
      </c>
      <c r="Q2565" t="s">
        <v>58</v>
      </c>
      <c r="R2565" s="11" t="str">
        <f>HYPERLINK("\\imagefiles.bcgov\imagery\scanned_maps\moe_terrain_maps\Scanned_T_maps_all\R05\R05-1671","\\imagefiles.bcgov\imagery\scanned_maps\moe_terrain_maps\Scanned_T_maps_all\R05\R05-1671")</f>
        <v>\\imagefiles.bcgov\imagery\scanned_maps\moe_terrain_maps\Scanned_T_maps_all\R05\R05-1671</v>
      </c>
      <c r="S2565" t="s">
        <v>62</v>
      </c>
      <c r="T2565" s="11" t="str">
        <f>HYPERLINK("http://www.env.gov.bc.ca/esd/distdata/ecosystems/TEI_Scanned_Maps/R05/R05-1671","http://www.env.gov.bc.ca/esd/distdata/ecosystems/TEI_Scanned_Maps/R05/R05-1671")</f>
        <v>http://www.env.gov.bc.ca/esd/distdata/ecosystems/TEI_Scanned_Maps/R05/R05-1671</v>
      </c>
      <c r="U2565" t="s">
        <v>58</v>
      </c>
      <c r="V2565" t="s">
        <v>58</v>
      </c>
      <c r="W2565" t="s">
        <v>58</v>
      </c>
      <c r="X2565" t="s">
        <v>58</v>
      </c>
      <c r="Y2565" t="s">
        <v>58</v>
      </c>
      <c r="Z2565" t="s">
        <v>58</v>
      </c>
      <c r="AA2565" t="s">
        <v>58</v>
      </c>
      <c r="AC2565" t="s">
        <v>58</v>
      </c>
      <c r="AE2565" t="s">
        <v>58</v>
      </c>
      <c r="AG2565" t="s">
        <v>63</v>
      </c>
      <c r="AH2565" s="11" t="str">
        <f t="shared" si="161"/>
        <v>mailto: soilterrain@victoria1.gov.bc.ca</v>
      </c>
    </row>
    <row r="2566" spans="1:34">
      <c r="A2566" t="s">
        <v>5781</v>
      </c>
      <c r="B2566" t="s">
        <v>56</v>
      </c>
      <c r="C2566" s="10" t="s">
        <v>5539</v>
      </c>
      <c r="D2566" t="s">
        <v>58</v>
      </c>
      <c r="E2566" t="s">
        <v>2952</v>
      </c>
      <c r="F2566" t="s">
        <v>5782</v>
      </c>
      <c r="G2566">
        <v>25000</v>
      </c>
      <c r="H2566">
        <v>1973</v>
      </c>
      <c r="I2566" t="s">
        <v>58</v>
      </c>
      <c r="J2566" t="s">
        <v>58</v>
      </c>
      <c r="K2566" t="s">
        <v>58</v>
      </c>
      <c r="L2566" t="s">
        <v>58</v>
      </c>
      <c r="M2566" t="s">
        <v>58</v>
      </c>
      <c r="P2566" t="s">
        <v>61</v>
      </c>
      <c r="Q2566" t="s">
        <v>58</v>
      </c>
      <c r="R2566" s="11" t="str">
        <f>HYPERLINK("\\imagefiles.bcgov\imagery\scanned_maps\moe_terrain_maps\Scanned_T_maps_all\R05\R05-1675","\\imagefiles.bcgov\imagery\scanned_maps\moe_terrain_maps\Scanned_T_maps_all\R05\R05-1675")</f>
        <v>\\imagefiles.bcgov\imagery\scanned_maps\moe_terrain_maps\Scanned_T_maps_all\R05\R05-1675</v>
      </c>
      <c r="S2566" t="s">
        <v>62</v>
      </c>
      <c r="T2566" s="11" t="str">
        <f>HYPERLINK("http://www.env.gov.bc.ca/esd/distdata/ecosystems/TEI_Scanned_Maps/R05/R05-1675","http://www.env.gov.bc.ca/esd/distdata/ecosystems/TEI_Scanned_Maps/R05/R05-1675")</f>
        <v>http://www.env.gov.bc.ca/esd/distdata/ecosystems/TEI_Scanned_Maps/R05/R05-1675</v>
      </c>
      <c r="U2566" t="s">
        <v>58</v>
      </c>
      <c r="V2566" t="s">
        <v>58</v>
      </c>
      <c r="W2566" t="s">
        <v>58</v>
      </c>
      <c r="X2566" t="s">
        <v>58</v>
      </c>
      <c r="Y2566" t="s">
        <v>58</v>
      </c>
      <c r="Z2566" t="s">
        <v>58</v>
      </c>
      <c r="AA2566" t="s">
        <v>58</v>
      </c>
      <c r="AC2566" t="s">
        <v>58</v>
      </c>
      <c r="AE2566" t="s">
        <v>58</v>
      </c>
      <c r="AG2566" t="s">
        <v>63</v>
      </c>
      <c r="AH2566" s="11" t="str">
        <f t="shared" si="161"/>
        <v>mailto: soilterrain@victoria1.gov.bc.ca</v>
      </c>
    </row>
    <row r="2567" spans="1:34">
      <c r="A2567" t="s">
        <v>5783</v>
      </c>
      <c r="B2567" t="s">
        <v>56</v>
      </c>
      <c r="C2567" s="10" t="s">
        <v>5542</v>
      </c>
      <c r="D2567" t="s">
        <v>58</v>
      </c>
      <c r="E2567" t="s">
        <v>2952</v>
      </c>
      <c r="F2567" t="s">
        <v>5784</v>
      </c>
      <c r="G2567">
        <v>25000</v>
      </c>
      <c r="H2567" t="s">
        <v>187</v>
      </c>
      <c r="I2567" t="s">
        <v>58</v>
      </c>
      <c r="J2567" t="s">
        <v>58</v>
      </c>
      <c r="K2567" t="s">
        <v>58</v>
      </c>
      <c r="L2567" t="s">
        <v>58</v>
      </c>
      <c r="M2567" t="s">
        <v>58</v>
      </c>
      <c r="P2567" t="s">
        <v>61</v>
      </c>
      <c r="Q2567" t="s">
        <v>58</v>
      </c>
      <c r="R2567" s="11" t="str">
        <f>HYPERLINK("\\imagefiles.bcgov\imagery\scanned_maps\moe_terrain_maps\Scanned_T_maps_all\R05\R05-1679","\\imagefiles.bcgov\imagery\scanned_maps\moe_terrain_maps\Scanned_T_maps_all\R05\R05-1679")</f>
        <v>\\imagefiles.bcgov\imagery\scanned_maps\moe_terrain_maps\Scanned_T_maps_all\R05\R05-1679</v>
      </c>
      <c r="S2567" t="s">
        <v>62</v>
      </c>
      <c r="T2567" s="11" t="str">
        <f>HYPERLINK("http://www.env.gov.bc.ca/esd/distdata/ecosystems/TEI_Scanned_Maps/R05/R05-1679","http://www.env.gov.bc.ca/esd/distdata/ecosystems/TEI_Scanned_Maps/R05/R05-1679")</f>
        <v>http://www.env.gov.bc.ca/esd/distdata/ecosystems/TEI_Scanned_Maps/R05/R05-1679</v>
      </c>
      <c r="U2567" t="s">
        <v>58</v>
      </c>
      <c r="V2567" t="s">
        <v>58</v>
      </c>
      <c r="W2567" t="s">
        <v>58</v>
      </c>
      <c r="X2567" t="s">
        <v>58</v>
      </c>
      <c r="Y2567" t="s">
        <v>58</v>
      </c>
      <c r="Z2567" t="s">
        <v>58</v>
      </c>
      <c r="AA2567" t="s">
        <v>58</v>
      </c>
      <c r="AC2567" t="s">
        <v>58</v>
      </c>
      <c r="AE2567" t="s">
        <v>58</v>
      </c>
      <c r="AG2567" t="s">
        <v>63</v>
      </c>
      <c r="AH2567" s="11" t="str">
        <f t="shared" si="161"/>
        <v>mailto: soilterrain@victoria1.gov.bc.ca</v>
      </c>
    </row>
    <row r="2568" spans="1:34">
      <c r="A2568" t="s">
        <v>5785</v>
      </c>
      <c r="B2568" t="s">
        <v>56</v>
      </c>
      <c r="C2568" s="10" t="s">
        <v>5545</v>
      </c>
      <c r="D2568" t="s">
        <v>58</v>
      </c>
      <c r="E2568" t="s">
        <v>2952</v>
      </c>
      <c r="F2568" t="s">
        <v>5786</v>
      </c>
      <c r="G2568">
        <v>25000</v>
      </c>
      <c r="H2568" t="s">
        <v>187</v>
      </c>
      <c r="I2568" t="s">
        <v>58</v>
      </c>
      <c r="J2568" t="s">
        <v>58</v>
      </c>
      <c r="K2568" t="s">
        <v>58</v>
      </c>
      <c r="L2568" t="s">
        <v>58</v>
      </c>
      <c r="M2568" t="s">
        <v>58</v>
      </c>
      <c r="P2568" t="s">
        <v>61</v>
      </c>
      <c r="Q2568" t="s">
        <v>58</v>
      </c>
      <c r="R2568" s="11" t="str">
        <f>HYPERLINK("\\imagefiles.bcgov\imagery\scanned_maps\moe_terrain_maps\Scanned_T_maps_all\R05\R05-1683","\\imagefiles.bcgov\imagery\scanned_maps\moe_terrain_maps\Scanned_T_maps_all\R05\R05-1683")</f>
        <v>\\imagefiles.bcgov\imagery\scanned_maps\moe_terrain_maps\Scanned_T_maps_all\R05\R05-1683</v>
      </c>
      <c r="S2568" t="s">
        <v>62</v>
      </c>
      <c r="T2568" s="11" t="str">
        <f>HYPERLINK("http://www.env.gov.bc.ca/esd/distdata/ecosystems/TEI_Scanned_Maps/R05/R05-1683","http://www.env.gov.bc.ca/esd/distdata/ecosystems/TEI_Scanned_Maps/R05/R05-1683")</f>
        <v>http://www.env.gov.bc.ca/esd/distdata/ecosystems/TEI_Scanned_Maps/R05/R05-1683</v>
      </c>
      <c r="U2568" t="s">
        <v>58</v>
      </c>
      <c r="V2568" t="s">
        <v>58</v>
      </c>
      <c r="W2568" t="s">
        <v>58</v>
      </c>
      <c r="X2568" t="s">
        <v>58</v>
      </c>
      <c r="Y2568" t="s">
        <v>58</v>
      </c>
      <c r="Z2568" t="s">
        <v>58</v>
      </c>
      <c r="AA2568" t="s">
        <v>58</v>
      </c>
      <c r="AC2568" t="s">
        <v>58</v>
      </c>
      <c r="AE2568" t="s">
        <v>58</v>
      </c>
      <c r="AG2568" t="s">
        <v>63</v>
      </c>
      <c r="AH2568" s="11" t="str">
        <f t="shared" si="161"/>
        <v>mailto: soilterrain@victoria1.gov.bc.ca</v>
      </c>
    </row>
    <row r="2569" spans="1:34">
      <c r="A2569" t="s">
        <v>5787</v>
      </c>
      <c r="B2569" t="s">
        <v>56</v>
      </c>
      <c r="C2569" s="10" t="s">
        <v>5548</v>
      </c>
      <c r="D2569" t="s">
        <v>58</v>
      </c>
      <c r="E2569" t="s">
        <v>2952</v>
      </c>
      <c r="F2569" t="s">
        <v>5788</v>
      </c>
      <c r="G2569">
        <v>25000</v>
      </c>
      <c r="H2569">
        <v>1971</v>
      </c>
      <c r="I2569" t="s">
        <v>58</v>
      </c>
      <c r="J2569" t="s">
        <v>58</v>
      </c>
      <c r="K2569" t="s">
        <v>58</v>
      </c>
      <c r="L2569" t="s">
        <v>58</v>
      </c>
      <c r="M2569" t="s">
        <v>58</v>
      </c>
      <c r="P2569" t="s">
        <v>61</v>
      </c>
      <c r="Q2569" t="s">
        <v>58</v>
      </c>
      <c r="R2569" s="11" t="str">
        <f>HYPERLINK("\\imagefiles.bcgov\imagery\scanned_maps\moe_terrain_maps\Scanned_T_maps_all\R05\R05-1687","\\imagefiles.bcgov\imagery\scanned_maps\moe_terrain_maps\Scanned_T_maps_all\R05\R05-1687")</f>
        <v>\\imagefiles.bcgov\imagery\scanned_maps\moe_terrain_maps\Scanned_T_maps_all\R05\R05-1687</v>
      </c>
      <c r="S2569" t="s">
        <v>62</v>
      </c>
      <c r="T2569" s="11" t="str">
        <f>HYPERLINK("http://www.env.gov.bc.ca/esd/distdata/ecosystems/TEI_Scanned_Maps/R05/R05-1687","http://www.env.gov.bc.ca/esd/distdata/ecosystems/TEI_Scanned_Maps/R05/R05-1687")</f>
        <v>http://www.env.gov.bc.ca/esd/distdata/ecosystems/TEI_Scanned_Maps/R05/R05-1687</v>
      </c>
      <c r="U2569" t="s">
        <v>58</v>
      </c>
      <c r="V2569" t="s">
        <v>58</v>
      </c>
      <c r="W2569" t="s">
        <v>58</v>
      </c>
      <c r="X2569" t="s">
        <v>58</v>
      </c>
      <c r="Y2569" t="s">
        <v>58</v>
      </c>
      <c r="Z2569" t="s">
        <v>58</v>
      </c>
      <c r="AA2569" t="s">
        <v>58</v>
      </c>
      <c r="AC2569" t="s">
        <v>58</v>
      </c>
      <c r="AE2569" t="s">
        <v>58</v>
      </c>
      <c r="AG2569" t="s">
        <v>63</v>
      </c>
      <c r="AH2569" s="11" t="str">
        <f t="shared" si="161"/>
        <v>mailto: soilterrain@victoria1.gov.bc.ca</v>
      </c>
    </row>
    <row r="2570" spans="1:34">
      <c r="A2570" t="s">
        <v>5789</v>
      </c>
      <c r="B2570" t="s">
        <v>56</v>
      </c>
      <c r="C2570" s="10" t="s">
        <v>5551</v>
      </c>
      <c r="D2570" t="s">
        <v>58</v>
      </c>
      <c r="E2570" t="s">
        <v>2952</v>
      </c>
      <c r="F2570" t="s">
        <v>5669</v>
      </c>
      <c r="G2570">
        <v>25000</v>
      </c>
      <c r="H2570">
        <v>1977</v>
      </c>
      <c r="I2570" t="s">
        <v>58</v>
      </c>
      <c r="J2570" t="s">
        <v>58</v>
      </c>
      <c r="K2570" t="s">
        <v>58</v>
      </c>
      <c r="L2570" t="s">
        <v>58</v>
      </c>
      <c r="M2570" t="s">
        <v>58</v>
      </c>
      <c r="P2570" t="s">
        <v>61</v>
      </c>
      <c r="Q2570" t="s">
        <v>58</v>
      </c>
      <c r="R2570" s="11" t="str">
        <f>HYPERLINK("\\imagefiles.bcgov\imagery\scanned_maps\moe_terrain_maps\Scanned_T_maps_all\R05\R05-1691","\\imagefiles.bcgov\imagery\scanned_maps\moe_terrain_maps\Scanned_T_maps_all\R05\R05-1691")</f>
        <v>\\imagefiles.bcgov\imagery\scanned_maps\moe_terrain_maps\Scanned_T_maps_all\R05\R05-1691</v>
      </c>
      <c r="S2570" t="s">
        <v>62</v>
      </c>
      <c r="T2570" s="11" t="str">
        <f>HYPERLINK("http://www.env.gov.bc.ca/esd/distdata/ecosystems/TEI_Scanned_Maps/R05/R05-1691","http://www.env.gov.bc.ca/esd/distdata/ecosystems/TEI_Scanned_Maps/R05/R05-1691")</f>
        <v>http://www.env.gov.bc.ca/esd/distdata/ecosystems/TEI_Scanned_Maps/R05/R05-1691</v>
      </c>
      <c r="U2570" t="s">
        <v>58</v>
      </c>
      <c r="V2570" t="s">
        <v>58</v>
      </c>
      <c r="W2570" t="s">
        <v>58</v>
      </c>
      <c r="X2570" t="s">
        <v>58</v>
      </c>
      <c r="Y2570" t="s">
        <v>58</v>
      </c>
      <c r="Z2570" t="s">
        <v>58</v>
      </c>
      <c r="AA2570" t="s">
        <v>58</v>
      </c>
      <c r="AC2570" t="s">
        <v>58</v>
      </c>
      <c r="AE2570" t="s">
        <v>58</v>
      </c>
      <c r="AG2570" t="s">
        <v>63</v>
      </c>
      <c r="AH2570" s="11" t="str">
        <f t="shared" si="161"/>
        <v>mailto: soilterrain@victoria1.gov.bc.ca</v>
      </c>
    </row>
    <row r="2571" spans="1:34">
      <c r="A2571" t="s">
        <v>5790</v>
      </c>
      <c r="B2571" t="s">
        <v>56</v>
      </c>
      <c r="C2571" s="10" t="s">
        <v>5553</v>
      </c>
      <c r="D2571" t="s">
        <v>58</v>
      </c>
      <c r="E2571" t="s">
        <v>2952</v>
      </c>
      <c r="F2571" t="s">
        <v>5669</v>
      </c>
      <c r="G2571">
        <v>25000</v>
      </c>
      <c r="H2571" t="s">
        <v>187</v>
      </c>
      <c r="I2571" t="s">
        <v>58</v>
      </c>
      <c r="J2571" t="s">
        <v>58</v>
      </c>
      <c r="K2571" t="s">
        <v>58</v>
      </c>
      <c r="L2571" t="s">
        <v>58</v>
      </c>
      <c r="M2571" t="s">
        <v>58</v>
      </c>
      <c r="P2571" t="s">
        <v>61</v>
      </c>
      <c r="Q2571" t="s">
        <v>58</v>
      </c>
      <c r="R2571" s="11" t="str">
        <f>HYPERLINK("\\imagefiles.bcgov\imagery\scanned_maps\moe_terrain_maps\Scanned_T_maps_all\R05\R05-1695","\\imagefiles.bcgov\imagery\scanned_maps\moe_terrain_maps\Scanned_T_maps_all\R05\R05-1695")</f>
        <v>\\imagefiles.bcgov\imagery\scanned_maps\moe_terrain_maps\Scanned_T_maps_all\R05\R05-1695</v>
      </c>
      <c r="S2571" t="s">
        <v>62</v>
      </c>
      <c r="T2571" s="11" t="str">
        <f>HYPERLINK("http://www.env.gov.bc.ca/esd/distdata/ecosystems/TEI_Scanned_Maps/R05/R05-1695","http://www.env.gov.bc.ca/esd/distdata/ecosystems/TEI_Scanned_Maps/R05/R05-1695")</f>
        <v>http://www.env.gov.bc.ca/esd/distdata/ecosystems/TEI_Scanned_Maps/R05/R05-1695</v>
      </c>
      <c r="U2571" t="s">
        <v>58</v>
      </c>
      <c r="V2571" t="s">
        <v>58</v>
      </c>
      <c r="W2571" t="s">
        <v>58</v>
      </c>
      <c r="X2571" t="s">
        <v>58</v>
      </c>
      <c r="Y2571" t="s">
        <v>58</v>
      </c>
      <c r="Z2571" t="s">
        <v>58</v>
      </c>
      <c r="AA2571" t="s">
        <v>58</v>
      </c>
      <c r="AC2571" t="s">
        <v>58</v>
      </c>
      <c r="AE2571" t="s">
        <v>58</v>
      </c>
      <c r="AG2571" t="s">
        <v>63</v>
      </c>
      <c r="AH2571" s="11" t="str">
        <f t="shared" si="161"/>
        <v>mailto: soilterrain@victoria1.gov.bc.ca</v>
      </c>
    </row>
    <row r="2572" spans="1:34">
      <c r="A2572" t="s">
        <v>5791</v>
      </c>
      <c r="B2572" t="s">
        <v>56</v>
      </c>
      <c r="C2572" s="10" t="s">
        <v>5555</v>
      </c>
      <c r="D2572" t="s">
        <v>58</v>
      </c>
      <c r="E2572" t="s">
        <v>2952</v>
      </c>
      <c r="F2572" t="s">
        <v>5669</v>
      </c>
      <c r="G2572">
        <v>25000</v>
      </c>
      <c r="H2572" t="s">
        <v>187</v>
      </c>
      <c r="I2572" t="s">
        <v>58</v>
      </c>
      <c r="J2572" t="s">
        <v>58</v>
      </c>
      <c r="K2572" t="s">
        <v>58</v>
      </c>
      <c r="L2572" t="s">
        <v>58</v>
      </c>
      <c r="M2572" t="s">
        <v>58</v>
      </c>
      <c r="P2572" t="s">
        <v>61</v>
      </c>
      <c r="Q2572" t="s">
        <v>58</v>
      </c>
      <c r="R2572" s="11" t="str">
        <f>HYPERLINK("\\imagefiles.bcgov\imagery\scanned_maps\moe_terrain_maps\Scanned_T_maps_all\R05\R05-1699","\\imagefiles.bcgov\imagery\scanned_maps\moe_terrain_maps\Scanned_T_maps_all\R05\R05-1699")</f>
        <v>\\imagefiles.bcgov\imagery\scanned_maps\moe_terrain_maps\Scanned_T_maps_all\R05\R05-1699</v>
      </c>
      <c r="S2572" t="s">
        <v>62</v>
      </c>
      <c r="T2572" s="11" t="str">
        <f>HYPERLINK("http://www.env.gov.bc.ca/esd/distdata/ecosystems/TEI_Scanned_Maps/R05/R05-1699","http://www.env.gov.bc.ca/esd/distdata/ecosystems/TEI_Scanned_Maps/R05/R05-1699")</f>
        <v>http://www.env.gov.bc.ca/esd/distdata/ecosystems/TEI_Scanned_Maps/R05/R05-1699</v>
      </c>
      <c r="U2572" t="s">
        <v>58</v>
      </c>
      <c r="V2572" t="s">
        <v>58</v>
      </c>
      <c r="W2572" t="s">
        <v>58</v>
      </c>
      <c r="X2572" t="s">
        <v>58</v>
      </c>
      <c r="Y2572" t="s">
        <v>58</v>
      </c>
      <c r="Z2572" t="s">
        <v>58</v>
      </c>
      <c r="AA2572" t="s">
        <v>58</v>
      </c>
      <c r="AC2572" t="s">
        <v>58</v>
      </c>
      <c r="AE2572" t="s">
        <v>58</v>
      </c>
      <c r="AG2572" t="s">
        <v>63</v>
      </c>
      <c r="AH2572" s="11" t="str">
        <f t="shared" si="161"/>
        <v>mailto: soilterrain@victoria1.gov.bc.ca</v>
      </c>
    </row>
    <row r="2573" spans="1:34">
      <c r="A2573" t="s">
        <v>5792</v>
      </c>
      <c r="B2573" t="s">
        <v>56</v>
      </c>
      <c r="C2573" s="10" t="s">
        <v>5557</v>
      </c>
      <c r="D2573" t="s">
        <v>58</v>
      </c>
      <c r="E2573" t="s">
        <v>2952</v>
      </c>
      <c r="F2573" t="s">
        <v>5669</v>
      </c>
      <c r="G2573">
        <v>25000</v>
      </c>
      <c r="H2573" t="s">
        <v>187</v>
      </c>
      <c r="I2573" t="s">
        <v>58</v>
      </c>
      <c r="J2573" t="s">
        <v>58</v>
      </c>
      <c r="K2573" t="s">
        <v>58</v>
      </c>
      <c r="L2573" t="s">
        <v>58</v>
      </c>
      <c r="M2573" t="s">
        <v>58</v>
      </c>
      <c r="P2573" t="s">
        <v>61</v>
      </c>
      <c r="Q2573" t="s">
        <v>58</v>
      </c>
      <c r="R2573" s="11" t="str">
        <f>HYPERLINK("\\imagefiles.bcgov\imagery\scanned_maps\moe_terrain_maps\Scanned_T_maps_all\R05\R05-1703","\\imagefiles.bcgov\imagery\scanned_maps\moe_terrain_maps\Scanned_T_maps_all\R05\R05-1703")</f>
        <v>\\imagefiles.bcgov\imagery\scanned_maps\moe_terrain_maps\Scanned_T_maps_all\R05\R05-1703</v>
      </c>
      <c r="S2573" t="s">
        <v>62</v>
      </c>
      <c r="T2573" s="11" t="str">
        <f>HYPERLINK("http://www.env.gov.bc.ca/esd/distdata/ecosystems/TEI_Scanned_Maps/R05/R05-1703","http://www.env.gov.bc.ca/esd/distdata/ecosystems/TEI_Scanned_Maps/R05/R05-1703")</f>
        <v>http://www.env.gov.bc.ca/esd/distdata/ecosystems/TEI_Scanned_Maps/R05/R05-1703</v>
      </c>
      <c r="U2573" t="s">
        <v>58</v>
      </c>
      <c r="V2573" t="s">
        <v>58</v>
      </c>
      <c r="W2573" t="s">
        <v>58</v>
      </c>
      <c r="X2573" t="s">
        <v>58</v>
      </c>
      <c r="Y2573" t="s">
        <v>58</v>
      </c>
      <c r="Z2573" t="s">
        <v>58</v>
      </c>
      <c r="AA2573" t="s">
        <v>58</v>
      </c>
      <c r="AC2573" t="s">
        <v>58</v>
      </c>
      <c r="AE2573" t="s">
        <v>58</v>
      </c>
      <c r="AG2573" t="s">
        <v>63</v>
      </c>
      <c r="AH2573" s="11" t="str">
        <f t="shared" si="161"/>
        <v>mailto: soilterrain@victoria1.gov.bc.ca</v>
      </c>
    </row>
    <row r="2574" spans="1:34">
      <c r="A2574" t="s">
        <v>5793</v>
      </c>
      <c r="B2574" t="s">
        <v>56</v>
      </c>
      <c r="C2574" s="10" t="s">
        <v>5559</v>
      </c>
      <c r="D2574" t="s">
        <v>58</v>
      </c>
      <c r="E2574" t="s">
        <v>2952</v>
      </c>
      <c r="F2574" t="s">
        <v>5669</v>
      </c>
      <c r="G2574">
        <v>25000</v>
      </c>
      <c r="H2574" t="s">
        <v>187</v>
      </c>
      <c r="I2574" t="s">
        <v>58</v>
      </c>
      <c r="J2574" t="s">
        <v>58</v>
      </c>
      <c r="K2574" t="s">
        <v>58</v>
      </c>
      <c r="L2574" t="s">
        <v>58</v>
      </c>
      <c r="M2574" t="s">
        <v>58</v>
      </c>
      <c r="P2574" t="s">
        <v>61</v>
      </c>
      <c r="Q2574" t="s">
        <v>58</v>
      </c>
      <c r="R2574" s="11" t="str">
        <f>HYPERLINK("\\imagefiles.bcgov\imagery\scanned_maps\moe_terrain_maps\Scanned_T_maps_all\R05\R05-1707","\\imagefiles.bcgov\imagery\scanned_maps\moe_terrain_maps\Scanned_T_maps_all\R05\R05-1707")</f>
        <v>\\imagefiles.bcgov\imagery\scanned_maps\moe_terrain_maps\Scanned_T_maps_all\R05\R05-1707</v>
      </c>
      <c r="S2574" t="s">
        <v>62</v>
      </c>
      <c r="T2574" s="11" t="str">
        <f>HYPERLINK("http://www.env.gov.bc.ca/esd/distdata/ecosystems/TEI_Scanned_Maps/R05/R05-1707","http://www.env.gov.bc.ca/esd/distdata/ecosystems/TEI_Scanned_Maps/R05/R05-1707")</f>
        <v>http://www.env.gov.bc.ca/esd/distdata/ecosystems/TEI_Scanned_Maps/R05/R05-1707</v>
      </c>
      <c r="U2574" t="s">
        <v>58</v>
      </c>
      <c r="V2574" t="s">
        <v>58</v>
      </c>
      <c r="W2574" t="s">
        <v>58</v>
      </c>
      <c r="X2574" t="s">
        <v>58</v>
      </c>
      <c r="Y2574" t="s">
        <v>58</v>
      </c>
      <c r="Z2574" t="s">
        <v>58</v>
      </c>
      <c r="AA2574" t="s">
        <v>58</v>
      </c>
      <c r="AC2574" t="s">
        <v>58</v>
      </c>
      <c r="AE2574" t="s">
        <v>58</v>
      </c>
      <c r="AG2574" t="s">
        <v>63</v>
      </c>
      <c r="AH2574" s="11" t="str">
        <f t="shared" si="161"/>
        <v>mailto: soilterrain@victoria1.gov.bc.ca</v>
      </c>
    </row>
    <row r="2575" spans="1:34">
      <c r="A2575" t="s">
        <v>5794</v>
      </c>
      <c r="B2575" t="s">
        <v>56</v>
      </c>
      <c r="C2575" s="10" t="s">
        <v>5561</v>
      </c>
      <c r="D2575" t="s">
        <v>58</v>
      </c>
      <c r="E2575" t="s">
        <v>2952</v>
      </c>
      <c r="F2575" t="s">
        <v>5669</v>
      </c>
      <c r="G2575">
        <v>25000</v>
      </c>
      <c r="H2575">
        <v>1971</v>
      </c>
      <c r="I2575" t="s">
        <v>58</v>
      </c>
      <c r="J2575" t="s">
        <v>58</v>
      </c>
      <c r="K2575" t="s">
        <v>58</v>
      </c>
      <c r="L2575" t="s">
        <v>58</v>
      </c>
      <c r="M2575" t="s">
        <v>58</v>
      </c>
      <c r="P2575" t="s">
        <v>61</v>
      </c>
      <c r="Q2575" t="s">
        <v>58</v>
      </c>
      <c r="R2575" s="11" t="str">
        <f>HYPERLINK("\\imagefiles.bcgov\imagery\scanned_maps\moe_terrain_maps\Scanned_T_maps_all\R05\R05-1711","\\imagefiles.bcgov\imagery\scanned_maps\moe_terrain_maps\Scanned_T_maps_all\R05\R05-1711")</f>
        <v>\\imagefiles.bcgov\imagery\scanned_maps\moe_terrain_maps\Scanned_T_maps_all\R05\R05-1711</v>
      </c>
      <c r="S2575" t="s">
        <v>62</v>
      </c>
      <c r="T2575" s="11" t="str">
        <f>HYPERLINK("http://www.env.gov.bc.ca/esd/distdata/ecosystems/TEI_Scanned_Maps/R05/R05-1711","http://www.env.gov.bc.ca/esd/distdata/ecosystems/TEI_Scanned_Maps/R05/R05-1711")</f>
        <v>http://www.env.gov.bc.ca/esd/distdata/ecosystems/TEI_Scanned_Maps/R05/R05-1711</v>
      </c>
      <c r="U2575" t="s">
        <v>58</v>
      </c>
      <c r="V2575" t="s">
        <v>58</v>
      </c>
      <c r="W2575" t="s">
        <v>58</v>
      </c>
      <c r="X2575" t="s">
        <v>58</v>
      </c>
      <c r="Y2575" t="s">
        <v>58</v>
      </c>
      <c r="Z2575" t="s">
        <v>58</v>
      </c>
      <c r="AA2575" t="s">
        <v>58</v>
      </c>
      <c r="AC2575" t="s">
        <v>58</v>
      </c>
      <c r="AE2575" t="s">
        <v>58</v>
      </c>
      <c r="AG2575" t="s">
        <v>63</v>
      </c>
      <c r="AH2575" s="11" t="str">
        <f t="shared" si="161"/>
        <v>mailto: soilterrain@victoria1.gov.bc.ca</v>
      </c>
    </row>
    <row r="2576" spans="1:34">
      <c r="A2576" t="s">
        <v>5795</v>
      </c>
      <c r="B2576" t="s">
        <v>56</v>
      </c>
      <c r="C2576" s="10" t="s">
        <v>5563</v>
      </c>
      <c r="D2576" t="s">
        <v>58</v>
      </c>
      <c r="E2576" t="s">
        <v>2952</v>
      </c>
      <c r="F2576" t="s">
        <v>5669</v>
      </c>
      <c r="G2576">
        <v>25000</v>
      </c>
      <c r="H2576">
        <v>1980</v>
      </c>
      <c r="I2576" t="s">
        <v>58</v>
      </c>
      <c r="J2576" t="s">
        <v>58</v>
      </c>
      <c r="K2576" t="s">
        <v>58</v>
      </c>
      <c r="L2576" t="s">
        <v>58</v>
      </c>
      <c r="M2576" t="s">
        <v>58</v>
      </c>
      <c r="P2576" t="s">
        <v>61</v>
      </c>
      <c r="Q2576" t="s">
        <v>58</v>
      </c>
      <c r="R2576" s="11" t="str">
        <f>HYPERLINK("\\imagefiles.bcgov\imagery\scanned_maps\moe_terrain_maps\Scanned_T_maps_all\R05\R05-1715","\\imagefiles.bcgov\imagery\scanned_maps\moe_terrain_maps\Scanned_T_maps_all\R05\R05-1715")</f>
        <v>\\imagefiles.bcgov\imagery\scanned_maps\moe_terrain_maps\Scanned_T_maps_all\R05\R05-1715</v>
      </c>
      <c r="S2576" t="s">
        <v>62</v>
      </c>
      <c r="T2576" s="11" t="str">
        <f>HYPERLINK("http://www.env.gov.bc.ca/esd/distdata/ecosystems/TEI_Scanned_Maps/R05/R05-1715","http://www.env.gov.bc.ca/esd/distdata/ecosystems/TEI_Scanned_Maps/R05/R05-1715")</f>
        <v>http://www.env.gov.bc.ca/esd/distdata/ecosystems/TEI_Scanned_Maps/R05/R05-1715</v>
      </c>
      <c r="U2576" t="s">
        <v>58</v>
      </c>
      <c r="V2576" t="s">
        <v>58</v>
      </c>
      <c r="W2576" t="s">
        <v>58</v>
      </c>
      <c r="X2576" t="s">
        <v>58</v>
      </c>
      <c r="Y2576" t="s">
        <v>58</v>
      </c>
      <c r="Z2576" t="s">
        <v>58</v>
      </c>
      <c r="AA2576" t="s">
        <v>58</v>
      </c>
      <c r="AC2576" t="s">
        <v>58</v>
      </c>
      <c r="AE2576" t="s">
        <v>58</v>
      </c>
      <c r="AG2576" t="s">
        <v>63</v>
      </c>
      <c r="AH2576" s="11" t="str">
        <f t="shared" si="161"/>
        <v>mailto: soilterrain@victoria1.gov.bc.ca</v>
      </c>
    </row>
    <row r="2577" spans="1:34">
      <c r="A2577" t="s">
        <v>5796</v>
      </c>
      <c r="B2577" t="s">
        <v>56</v>
      </c>
      <c r="C2577" s="10" t="s">
        <v>5565</v>
      </c>
      <c r="D2577" t="s">
        <v>58</v>
      </c>
      <c r="E2577" t="s">
        <v>2952</v>
      </c>
      <c r="F2577" t="s">
        <v>5669</v>
      </c>
      <c r="G2577">
        <v>25000</v>
      </c>
      <c r="H2577">
        <v>1979</v>
      </c>
      <c r="I2577" t="s">
        <v>58</v>
      </c>
      <c r="J2577" t="s">
        <v>58</v>
      </c>
      <c r="K2577" t="s">
        <v>58</v>
      </c>
      <c r="L2577" t="s">
        <v>58</v>
      </c>
      <c r="M2577" t="s">
        <v>58</v>
      </c>
      <c r="P2577" t="s">
        <v>61</v>
      </c>
      <c r="Q2577" t="s">
        <v>58</v>
      </c>
      <c r="R2577" s="11" t="str">
        <f>HYPERLINK("\\imagefiles.bcgov\imagery\scanned_maps\moe_terrain_maps\Scanned_T_maps_all\R05\R05-1719","\\imagefiles.bcgov\imagery\scanned_maps\moe_terrain_maps\Scanned_T_maps_all\R05\R05-1719")</f>
        <v>\\imagefiles.bcgov\imagery\scanned_maps\moe_terrain_maps\Scanned_T_maps_all\R05\R05-1719</v>
      </c>
      <c r="S2577" t="s">
        <v>62</v>
      </c>
      <c r="T2577" s="11" t="str">
        <f>HYPERLINK("http://www.env.gov.bc.ca/esd/distdata/ecosystems/TEI_Scanned_Maps/R05/R05-1719","http://www.env.gov.bc.ca/esd/distdata/ecosystems/TEI_Scanned_Maps/R05/R05-1719")</f>
        <v>http://www.env.gov.bc.ca/esd/distdata/ecosystems/TEI_Scanned_Maps/R05/R05-1719</v>
      </c>
      <c r="U2577" t="s">
        <v>58</v>
      </c>
      <c r="V2577" t="s">
        <v>58</v>
      </c>
      <c r="W2577" t="s">
        <v>58</v>
      </c>
      <c r="X2577" t="s">
        <v>58</v>
      </c>
      <c r="Y2577" t="s">
        <v>58</v>
      </c>
      <c r="Z2577" t="s">
        <v>58</v>
      </c>
      <c r="AA2577" t="s">
        <v>58</v>
      </c>
      <c r="AC2577" t="s">
        <v>58</v>
      </c>
      <c r="AE2577" t="s">
        <v>58</v>
      </c>
      <c r="AG2577" t="s">
        <v>63</v>
      </c>
      <c r="AH2577" s="11" t="str">
        <f t="shared" si="161"/>
        <v>mailto: soilterrain@victoria1.gov.bc.ca</v>
      </c>
    </row>
    <row r="2578" spans="1:34">
      <c r="A2578" t="s">
        <v>5797</v>
      </c>
      <c r="B2578" t="s">
        <v>56</v>
      </c>
      <c r="C2578" s="10" t="s">
        <v>5567</v>
      </c>
      <c r="D2578" t="s">
        <v>58</v>
      </c>
      <c r="E2578" t="s">
        <v>2952</v>
      </c>
      <c r="F2578" t="s">
        <v>5777</v>
      </c>
      <c r="G2578">
        <v>25000</v>
      </c>
      <c r="H2578" t="s">
        <v>187</v>
      </c>
      <c r="I2578" t="s">
        <v>58</v>
      </c>
      <c r="J2578" t="s">
        <v>58</v>
      </c>
      <c r="K2578" t="s">
        <v>58</v>
      </c>
      <c r="L2578" t="s">
        <v>58</v>
      </c>
      <c r="M2578" t="s">
        <v>58</v>
      </c>
      <c r="P2578" t="s">
        <v>61</v>
      </c>
      <c r="Q2578" t="s">
        <v>58</v>
      </c>
      <c r="R2578" s="11" t="str">
        <f>HYPERLINK("\\imagefiles.bcgov\imagery\scanned_maps\moe_terrain_maps\Scanned_T_maps_all\R05\R05-5055","\\imagefiles.bcgov\imagery\scanned_maps\moe_terrain_maps\Scanned_T_maps_all\R05\R05-5055")</f>
        <v>\\imagefiles.bcgov\imagery\scanned_maps\moe_terrain_maps\Scanned_T_maps_all\R05\R05-5055</v>
      </c>
      <c r="S2578" t="s">
        <v>62</v>
      </c>
      <c r="T2578" s="11" t="str">
        <f>HYPERLINK("http://www.env.gov.bc.ca/esd/distdata/ecosystems/TEI_Scanned_Maps/R05/R05-5055","http://www.env.gov.bc.ca/esd/distdata/ecosystems/TEI_Scanned_Maps/R05/R05-5055")</f>
        <v>http://www.env.gov.bc.ca/esd/distdata/ecosystems/TEI_Scanned_Maps/R05/R05-5055</v>
      </c>
      <c r="U2578" t="s">
        <v>58</v>
      </c>
      <c r="V2578" t="s">
        <v>58</v>
      </c>
      <c r="W2578" t="s">
        <v>58</v>
      </c>
      <c r="X2578" t="s">
        <v>58</v>
      </c>
      <c r="Y2578" t="s">
        <v>58</v>
      </c>
      <c r="Z2578" t="s">
        <v>58</v>
      </c>
      <c r="AA2578" t="s">
        <v>58</v>
      </c>
      <c r="AC2578" t="s">
        <v>58</v>
      </c>
      <c r="AE2578" t="s">
        <v>58</v>
      </c>
      <c r="AG2578" t="s">
        <v>63</v>
      </c>
      <c r="AH2578" s="11" t="str">
        <f t="shared" si="161"/>
        <v>mailto: soilterrain@victoria1.gov.bc.ca</v>
      </c>
    </row>
    <row r="2579" spans="1:34">
      <c r="A2579" t="s">
        <v>5798</v>
      </c>
      <c r="B2579" t="s">
        <v>56</v>
      </c>
      <c r="C2579" s="10" t="s">
        <v>5471</v>
      </c>
      <c r="D2579" t="s">
        <v>58</v>
      </c>
      <c r="E2579" t="s">
        <v>2952</v>
      </c>
      <c r="F2579" t="s">
        <v>5799</v>
      </c>
      <c r="G2579">
        <v>20000</v>
      </c>
      <c r="H2579">
        <v>1978</v>
      </c>
      <c r="I2579" t="s">
        <v>58</v>
      </c>
      <c r="J2579" t="s">
        <v>58</v>
      </c>
      <c r="K2579" t="s">
        <v>58</v>
      </c>
      <c r="L2579" t="s">
        <v>58</v>
      </c>
      <c r="M2579" t="s">
        <v>58</v>
      </c>
      <c r="P2579" t="s">
        <v>61</v>
      </c>
      <c r="Q2579" t="s">
        <v>58</v>
      </c>
      <c r="R2579" s="11" t="str">
        <f>HYPERLINK("\\imagefiles.bcgov\imagery\scanned_maps\moe_terrain_maps\Scanned_T_maps_all\R06\R06-1003","\\imagefiles.bcgov\imagery\scanned_maps\moe_terrain_maps\Scanned_T_maps_all\R06\R06-1003")</f>
        <v>\\imagefiles.bcgov\imagery\scanned_maps\moe_terrain_maps\Scanned_T_maps_all\R06\R06-1003</v>
      </c>
      <c r="S2579" t="s">
        <v>62</v>
      </c>
      <c r="T2579" s="11" t="str">
        <f>HYPERLINK("http://www.env.gov.bc.ca/esd/distdata/ecosystems/TEI_Scanned_Maps/R06/R06-1003","http://www.env.gov.bc.ca/esd/distdata/ecosystems/TEI_Scanned_Maps/R06/R06-1003")</f>
        <v>http://www.env.gov.bc.ca/esd/distdata/ecosystems/TEI_Scanned_Maps/R06/R06-1003</v>
      </c>
      <c r="U2579" t="s">
        <v>58</v>
      </c>
      <c r="V2579" t="s">
        <v>58</v>
      </c>
      <c r="W2579" t="s">
        <v>58</v>
      </c>
      <c r="X2579" t="s">
        <v>58</v>
      </c>
      <c r="Y2579" t="s">
        <v>58</v>
      </c>
      <c r="Z2579" t="s">
        <v>58</v>
      </c>
      <c r="AA2579" t="s">
        <v>58</v>
      </c>
      <c r="AC2579" t="s">
        <v>58</v>
      </c>
      <c r="AE2579" t="s">
        <v>58</v>
      </c>
      <c r="AG2579" t="s">
        <v>63</v>
      </c>
      <c r="AH2579" s="11" t="str">
        <f t="shared" si="161"/>
        <v>mailto: soilterrain@victoria1.gov.bc.ca</v>
      </c>
    </row>
    <row r="2580" spans="1:34">
      <c r="A2580" t="s">
        <v>5800</v>
      </c>
      <c r="B2580" t="s">
        <v>56</v>
      </c>
      <c r="C2580" s="10" t="s">
        <v>2987</v>
      </c>
      <c r="D2580" t="s">
        <v>58</v>
      </c>
      <c r="E2580" t="s">
        <v>2952</v>
      </c>
      <c r="F2580" t="s">
        <v>5799</v>
      </c>
      <c r="G2580">
        <v>20000</v>
      </c>
      <c r="H2580">
        <v>1980</v>
      </c>
      <c r="I2580" t="s">
        <v>58</v>
      </c>
      <c r="J2580" t="s">
        <v>58</v>
      </c>
      <c r="K2580" t="s">
        <v>58</v>
      </c>
      <c r="L2580" t="s">
        <v>58</v>
      </c>
      <c r="M2580" t="s">
        <v>58</v>
      </c>
      <c r="P2580" t="s">
        <v>61</v>
      </c>
      <c r="Q2580" t="s">
        <v>58</v>
      </c>
      <c r="R2580" s="11" t="str">
        <f>HYPERLINK("\\imagefiles.bcgov\imagery\scanned_maps\moe_terrain_maps\Scanned_T_maps_all\R06\R06-1012","\\imagefiles.bcgov\imagery\scanned_maps\moe_terrain_maps\Scanned_T_maps_all\R06\R06-1012")</f>
        <v>\\imagefiles.bcgov\imagery\scanned_maps\moe_terrain_maps\Scanned_T_maps_all\R06\R06-1012</v>
      </c>
      <c r="S2580" t="s">
        <v>62</v>
      </c>
      <c r="T2580" s="11" t="str">
        <f>HYPERLINK("http://www.env.gov.bc.ca/esd/distdata/ecosystems/TEI_Scanned_Maps/R06/R06-1012","http://www.env.gov.bc.ca/esd/distdata/ecosystems/TEI_Scanned_Maps/R06/R06-1012")</f>
        <v>http://www.env.gov.bc.ca/esd/distdata/ecosystems/TEI_Scanned_Maps/R06/R06-1012</v>
      </c>
      <c r="U2580" t="s">
        <v>58</v>
      </c>
      <c r="V2580" t="s">
        <v>58</v>
      </c>
      <c r="W2580" t="s">
        <v>58</v>
      </c>
      <c r="X2580" t="s">
        <v>58</v>
      </c>
      <c r="Y2580" t="s">
        <v>58</v>
      </c>
      <c r="Z2580" t="s">
        <v>58</v>
      </c>
      <c r="AA2580" t="s">
        <v>58</v>
      </c>
      <c r="AC2580" t="s">
        <v>58</v>
      </c>
      <c r="AE2580" t="s">
        <v>58</v>
      </c>
      <c r="AG2580" t="s">
        <v>63</v>
      </c>
      <c r="AH2580" s="11" t="str">
        <f t="shared" si="161"/>
        <v>mailto: soilterrain@victoria1.gov.bc.ca</v>
      </c>
    </row>
    <row r="2581" spans="1:34">
      <c r="A2581" t="s">
        <v>5801</v>
      </c>
      <c r="B2581" t="s">
        <v>56</v>
      </c>
      <c r="C2581" s="10" t="s">
        <v>5330</v>
      </c>
      <c r="D2581" t="s">
        <v>58</v>
      </c>
      <c r="E2581" t="s">
        <v>2952</v>
      </c>
      <c r="F2581" t="s">
        <v>5799</v>
      </c>
      <c r="G2581">
        <v>20000</v>
      </c>
      <c r="H2581">
        <v>1973</v>
      </c>
      <c r="I2581" t="s">
        <v>58</v>
      </c>
      <c r="J2581" t="s">
        <v>58</v>
      </c>
      <c r="K2581" t="s">
        <v>58</v>
      </c>
      <c r="L2581" t="s">
        <v>58</v>
      </c>
      <c r="M2581" t="s">
        <v>58</v>
      </c>
      <c r="P2581" t="s">
        <v>61</v>
      </c>
      <c r="Q2581" t="s">
        <v>58</v>
      </c>
      <c r="R2581" s="11" t="str">
        <f>HYPERLINK("\\imagefiles.bcgov\imagery\scanned_maps\moe_terrain_maps\Scanned_T_maps_all\R06\R06-1021","\\imagefiles.bcgov\imagery\scanned_maps\moe_terrain_maps\Scanned_T_maps_all\R06\R06-1021")</f>
        <v>\\imagefiles.bcgov\imagery\scanned_maps\moe_terrain_maps\Scanned_T_maps_all\R06\R06-1021</v>
      </c>
      <c r="S2581" t="s">
        <v>62</v>
      </c>
      <c r="T2581" s="11" t="str">
        <f>HYPERLINK("http://www.env.gov.bc.ca/esd/distdata/ecosystems/TEI_Scanned_Maps/R06/R06-1021","http://www.env.gov.bc.ca/esd/distdata/ecosystems/TEI_Scanned_Maps/R06/R06-1021")</f>
        <v>http://www.env.gov.bc.ca/esd/distdata/ecosystems/TEI_Scanned_Maps/R06/R06-1021</v>
      </c>
      <c r="U2581" t="s">
        <v>58</v>
      </c>
      <c r="V2581" t="s">
        <v>58</v>
      </c>
      <c r="W2581" t="s">
        <v>58</v>
      </c>
      <c r="X2581" t="s">
        <v>58</v>
      </c>
      <c r="Y2581" t="s">
        <v>58</v>
      </c>
      <c r="Z2581" t="s">
        <v>58</v>
      </c>
      <c r="AA2581" t="s">
        <v>58</v>
      </c>
      <c r="AC2581" t="s">
        <v>58</v>
      </c>
      <c r="AE2581" t="s">
        <v>58</v>
      </c>
      <c r="AG2581" t="s">
        <v>63</v>
      </c>
      <c r="AH2581" s="11" t="str">
        <f t="shared" si="161"/>
        <v>mailto: soilterrain@victoria1.gov.bc.ca</v>
      </c>
    </row>
    <row r="2582" spans="1:34">
      <c r="A2582" t="s">
        <v>5802</v>
      </c>
      <c r="B2582" t="s">
        <v>56</v>
      </c>
      <c r="C2582" s="10" t="s">
        <v>5332</v>
      </c>
      <c r="D2582" t="s">
        <v>58</v>
      </c>
      <c r="E2582" t="s">
        <v>2952</v>
      </c>
      <c r="F2582" t="s">
        <v>5799</v>
      </c>
      <c r="G2582">
        <v>20000</v>
      </c>
      <c r="H2582" t="s">
        <v>187</v>
      </c>
      <c r="I2582" t="s">
        <v>58</v>
      </c>
      <c r="J2582" t="s">
        <v>58</v>
      </c>
      <c r="K2582" t="s">
        <v>58</v>
      </c>
      <c r="L2582" t="s">
        <v>58</v>
      </c>
      <c r="M2582" t="s">
        <v>58</v>
      </c>
      <c r="P2582" t="s">
        <v>61</v>
      </c>
      <c r="Q2582" t="s">
        <v>58</v>
      </c>
      <c r="R2582" s="11" t="str">
        <f>HYPERLINK("\\imagefiles.bcgov\imagery\scanned_maps\moe_terrain_maps\Scanned_T_maps_all\R06\R06-1030","\\imagefiles.bcgov\imagery\scanned_maps\moe_terrain_maps\Scanned_T_maps_all\R06\R06-1030")</f>
        <v>\\imagefiles.bcgov\imagery\scanned_maps\moe_terrain_maps\Scanned_T_maps_all\R06\R06-1030</v>
      </c>
      <c r="S2582" t="s">
        <v>62</v>
      </c>
      <c r="T2582" s="11" t="str">
        <f>HYPERLINK("http://www.env.gov.bc.ca/esd/distdata/ecosystems/TEI_Scanned_Maps/R06/R06-1030","http://www.env.gov.bc.ca/esd/distdata/ecosystems/TEI_Scanned_Maps/R06/R06-1030")</f>
        <v>http://www.env.gov.bc.ca/esd/distdata/ecosystems/TEI_Scanned_Maps/R06/R06-1030</v>
      </c>
      <c r="U2582" t="s">
        <v>58</v>
      </c>
      <c r="V2582" t="s">
        <v>58</v>
      </c>
      <c r="W2582" t="s">
        <v>58</v>
      </c>
      <c r="X2582" t="s">
        <v>58</v>
      </c>
      <c r="Y2582" t="s">
        <v>58</v>
      </c>
      <c r="Z2582" t="s">
        <v>58</v>
      </c>
      <c r="AA2582" t="s">
        <v>58</v>
      </c>
      <c r="AC2582" t="s">
        <v>58</v>
      </c>
      <c r="AE2582" t="s">
        <v>58</v>
      </c>
      <c r="AG2582" t="s">
        <v>63</v>
      </c>
      <c r="AH2582" s="11" t="str">
        <f t="shared" si="161"/>
        <v>mailto: soilterrain@victoria1.gov.bc.ca</v>
      </c>
    </row>
    <row r="2583" spans="1:34">
      <c r="A2583" t="s">
        <v>5803</v>
      </c>
      <c r="B2583" t="s">
        <v>56</v>
      </c>
      <c r="C2583" s="10" t="s">
        <v>5342</v>
      </c>
      <c r="D2583" t="s">
        <v>58</v>
      </c>
      <c r="E2583" t="s">
        <v>2952</v>
      </c>
      <c r="F2583" t="s">
        <v>5799</v>
      </c>
      <c r="G2583">
        <v>20000</v>
      </c>
      <c r="H2583" t="s">
        <v>187</v>
      </c>
      <c r="I2583" t="s">
        <v>58</v>
      </c>
      <c r="J2583" t="s">
        <v>58</v>
      </c>
      <c r="K2583" t="s">
        <v>58</v>
      </c>
      <c r="L2583" t="s">
        <v>58</v>
      </c>
      <c r="M2583" t="s">
        <v>58</v>
      </c>
      <c r="P2583" t="s">
        <v>61</v>
      </c>
      <c r="Q2583" t="s">
        <v>58</v>
      </c>
      <c r="R2583" s="11" t="str">
        <f>HYPERLINK("\\imagefiles.bcgov\imagery\scanned_maps\moe_terrain_maps\Scanned_T_maps_all\R06\R06-1140","\\imagefiles.bcgov\imagery\scanned_maps\moe_terrain_maps\Scanned_T_maps_all\R06\R06-1140")</f>
        <v>\\imagefiles.bcgov\imagery\scanned_maps\moe_terrain_maps\Scanned_T_maps_all\R06\R06-1140</v>
      </c>
      <c r="S2583" t="s">
        <v>62</v>
      </c>
      <c r="T2583" s="11" t="str">
        <f>HYPERLINK("http://www.env.gov.bc.ca/esd/distdata/ecosystems/TEI_Scanned_Maps/R06/R06-1140","http://www.env.gov.bc.ca/esd/distdata/ecosystems/TEI_Scanned_Maps/R06/R06-1140")</f>
        <v>http://www.env.gov.bc.ca/esd/distdata/ecosystems/TEI_Scanned_Maps/R06/R06-1140</v>
      </c>
      <c r="U2583" t="s">
        <v>58</v>
      </c>
      <c r="V2583" t="s">
        <v>58</v>
      </c>
      <c r="W2583" t="s">
        <v>58</v>
      </c>
      <c r="X2583" t="s">
        <v>58</v>
      </c>
      <c r="Y2583" t="s">
        <v>58</v>
      </c>
      <c r="Z2583" t="s">
        <v>58</v>
      </c>
      <c r="AA2583" t="s">
        <v>58</v>
      </c>
      <c r="AC2583" t="s">
        <v>58</v>
      </c>
      <c r="AE2583" t="s">
        <v>58</v>
      </c>
      <c r="AG2583" t="s">
        <v>63</v>
      </c>
      <c r="AH2583" s="11" t="str">
        <f t="shared" si="161"/>
        <v>mailto: soilterrain@victoria1.gov.bc.ca</v>
      </c>
    </row>
    <row r="2584" spans="1:34">
      <c r="A2584" t="s">
        <v>5804</v>
      </c>
      <c r="B2584" t="s">
        <v>56</v>
      </c>
      <c r="C2584" s="10" t="s">
        <v>5022</v>
      </c>
      <c r="D2584" t="s">
        <v>58</v>
      </c>
      <c r="E2584" t="s">
        <v>2952</v>
      </c>
      <c r="F2584" t="s">
        <v>5799</v>
      </c>
      <c r="G2584">
        <v>20000</v>
      </c>
      <c r="H2584">
        <v>1971</v>
      </c>
      <c r="I2584" t="s">
        <v>58</v>
      </c>
      <c r="J2584" t="s">
        <v>58</v>
      </c>
      <c r="K2584" t="s">
        <v>58</v>
      </c>
      <c r="L2584" t="s">
        <v>58</v>
      </c>
      <c r="M2584" t="s">
        <v>58</v>
      </c>
      <c r="P2584" t="s">
        <v>61</v>
      </c>
      <c r="Q2584" t="s">
        <v>58</v>
      </c>
      <c r="R2584" s="11" t="str">
        <f>HYPERLINK("\\imagefiles.bcgov\imagery\scanned_maps\moe_terrain_maps\Scanned_T_maps_all\R06\R06-1467","\\imagefiles.bcgov\imagery\scanned_maps\moe_terrain_maps\Scanned_T_maps_all\R06\R06-1467")</f>
        <v>\\imagefiles.bcgov\imagery\scanned_maps\moe_terrain_maps\Scanned_T_maps_all\R06\R06-1467</v>
      </c>
      <c r="S2584" t="s">
        <v>62</v>
      </c>
      <c r="T2584" s="11" t="str">
        <f>HYPERLINK("http://www.env.gov.bc.ca/esd/distdata/ecosystems/TEI_Scanned_Maps/R06/R06-1467","http://www.env.gov.bc.ca/esd/distdata/ecosystems/TEI_Scanned_Maps/R06/R06-1467")</f>
        <v>http://www.env.gov.bc.ca/esd/distdata/ecosystems/TEI_Scanned_Maps/R06/R06-1467</v>
      </c>
      <c r="U2584" t="s">
        <v>58</v>
      </c>
      <c r="V2584" t="s">
        <v>58</v>
      </c>
      <c r="W2584" t="s">
        <v>58</v>
      </c>
      <c r="X2584" t="s">
        <v>58</v>
      </c>
      <c r="Y2584" t="s">
        <v>58</v>
      </c>
      <c r="Z2584" t="s">
        <v>58</v>
      </c>
      <c r="AA2584" t="s">
        <v>58</v>
      </c>
      <c r="AC2584" t="s">
        <v>58</v>
      </c>
      <c r="AE2584" t="s">
        <v>58</v>
      </c>
      <c r="AG2584" t="s">
        <v>63</v>
      </c>
      <c r="AH2584" s="11" t="str">
        <f t="shared" si="161"/>
        <v>mailto: soilterrain@victoria1.gov.bc.ca</v>
      </c>
    </row>
    <row r="2585" spans="1:34">
      <c r="A2585" t="s">
        <v>5805</v>
      </c>
      <c r="B2585" t="s">
        <v>56</v>
      </c>
      <c r="C2585" s="10" t="s">
        <v>5233</v>
      </c>
      <c r="D2585" t="s">
        <v>58</v>
      </c>
      <c r="E2585" t="s">
        <v>2952</v>
      </c>
      <c r="F2585" t="s">
        <v>5799</v>
      </c>
      <c r="G2585">
        <v>20000</v>
      </c>
      <c r="H2585">
        <v>1977</v>
      </c>
      <c r="I2585" t="s">
        <v>58</v>
      </c>
      <c r="J2585" t="s">
        <v>58</v>
      </c>
      <c r="K2585" t="s">
        <v>58</v>
      </c>
      <c r="L2585" t="s">
        <v>58</v>
      </c>
      <c r="M2585" t="s">
        <v>58</v>
      </c>
      <c r="P2585" t="s">
        <v>61</v>
      </c>
      <c r="Q2585" t="s">
        <v>58</v>
      </c>
      <c r="R2585" s="11" t="str">
        <f>HYPERLINK("\\imagefiles.bcgov\imagery\scanned_maps\moe_terrain_maps\Scanned_T_maps_all\R06\R06-1477","\\imagefiles.bcgov\imagery\scanned_maps\moe_terrain_maps\Scanned_T_maps_all\R06\R06-1477")</f>
        <v>\\imagefiles.bcgov\imagery\scanned_maps\moe_terrain_maps\Scanned_T_maps_all\R06\R06-1477</v>
      </c>
      <c r="S2585" t="s">
        <v>62</v>
      </c>
      <c r="T2585" s="11" t="str">
        <f>HYPERLINK("http://www.env.gov.bc.ca/esd/distdata/ecosystems/TEI_Scanned_Maps/R06/R06-1477","http://www.env.gov.bc.ca/esd/distdata/ecosystems/TEI_Scanned_Maps/R06/R06-1477")</f>
        <v>http://www.env.gov.bc.ca/esd/distdata/ecosystems/TEI_Scanned_Maps/R06/R06-1477</v>
      </c>
      <c r="U2585" t="s">
        <v>58</v>
      </c>
      <c r="V2585" t="s">
        <v>58</v>
      </c>
      <c r="W2585" t="s">
        <v>58</v>
      </c>
      <c r="X2585" t="s">
        <v>58</v>
      </c>
      <c r="Y2585" t="s">
        <v>58</v>
      </c>
      <c r="Z2585" t="s">
        <v>58</v>
      </c>
      <c r="AA2585" t="s">
        <v>58</v>
      </c>
      <c r="AC2585" t="s">
        <v>58</v>
      </c>
      <c r="AE2585" t="s">
        <v>58</v>
      </c>
      <c r="AG2585" t="s">
        <v>63</v>
      </c>
      <c r="AH2585" s="11" t="str">
        <f t="shared" si="161"/>
        <v>mailto: soilterrain@victoria1.gov.bc.ca</v>
      </c>
    </row>
    <row r="2586" spans="1:34">
      <c r="A2586" t="s">
        <v>5806</v>
      </c>
      <c r="B2586" t="s">
        <v>56</v>
      </c>
      <c r="C2586" s="10" t="s">
        <v>5464</v>
      </c>
      <c r="D2586" t="s">
        <v>58</v>
      </c>
      <c r="E2586" t="s">
        <v>2952</v>
      </c>
      <c r="F2586" t="s">
        <v>5799</v>
      </c>
      <c r="G2586">
        <v>20000</v>
      </c>
      <c r="H2586" t="s">
        <v>187</v>
      </c>
      <c r="I2586" t="s">
        <v>58</v>
      </c>
      <c r="J2586" t="s">
        <v>58</v>
      </c>
      <c r="K2586" t="s">
        <v>58</v>
      </c>
      <c r="L2586" t="s">
        <v>58</v>
      </c>
      <c r="M2586" t="s">
        <v>58</v>
      </c>
      <c r="P2586" t="s">
        <v>61</v>
      </c>
      <c r="Q2586" t="s">
        <v>58</v>
      </c>
      <c r="R2586" s="11" t="str">
        <f>HYPERLINK("\\imagefiles.bcgov\imagery\scanned_maps\moe_terrain_maps\Scanned_T_maps_all\R06\R06-976","\\imagefiles.bcgov\imagery\scanned_maps\moe_terrain_maps\Scanned_T_maps_all\R06\R06-976")</f>
        <v>\\imagefiles.bcgov\imagery\scanned_maps\moe_terrain_maps\Scanned_T_maps_all\R06\R06-976</v>
      </c>
      <c r="S2586" t="s">
        <v>62</v>
      </c>
      <c r="T2586" s="11" t="str">
        <f>HYPERLINK("http://www.env.gov.bc.ca/esd/distdata/ecosystems/TEI_Scanned_Maps/R06/R06-976","http://www.env.gov.bc.ca/esd/distdata/ecosystems/TEI_Scanned_Maps/R06/R06-976")</f>
        <v>http://www.env.gov.bc.ca/esd/distdata/ecosystems/TEI_Scanned_Maps/R06/R06-976</v>
      </c>
      <c r="U2586" t="s">
        <v>58</v>
      </c>
      <c r="V2586" t="s">
        <v>58</v>
      </c>
      <c r="W2586" t="s">
        <v>58</v>
      </c>
      <c r="X2586" t="s">
        <v>58</v>
      </c>
      <c r="Y2586" t="s">
        <v>58</v>
      </c>
      <c r="Z2586" t="s">
        <v>58</v>
      </c>
      <c r="AA2586" t="s">
        <v>58</v>
      </c>
      <c r="AC2586" t="s">
        <v>58</v>
      </c>
      <c r="AE2586" t="s">
        <v>58</v>
      </c>
      <c r="AG2586" t="s">
        <v>63</v>
      </c>
      <c r="AH2586" s="11" t="str">
        <f t="shared" si="161"/>
        <v>mailto: soilterrain@victoria1.gov.bc.ca</v>
      </c>
    </row>
    <row r="2587" spans="1:34">
      <c r="A2587" t="s">
        <v>5807</v>
      </c>
      <c r="B2587" t="s">
        <v>56</v>
      </c>
      <c r="C2587" s="10" t="s">
        <v>5466</v>
      </c>
      <c r="D2587" t="s">
        <v>58</v>
      </c>
      <c r="E2587" t="s">
        <v>2952</v>
      </c>
      <c r="F2587" t="s">
        <v>5799</v>
      </c>
      <c r="G2587">
        <v>20000</v>
      </c>
      <c r="H2587">
        <v>1976</v>
      </c>
      <c r="I2587" t="s">
        <v>58</v>
      </c>
      <c r="J2587" t="s">
        <v>58</v>
      </c>
      <c r="K2587" t="s">
        <v>58</v>
      </c>
      <c r="L2587" t="s">
        <v>58</v>
      </c>
      <c r="M2587" t="s">
        <v>58</v>
      </c>
      <c r="P2587" t="s">
        <v>61</v>
      </c>
      <c r="Q2587" t="s">
        <v>58</v>
      </c>
      <c r="R2587" s="11" t="str">
        <f>HYPERLINK("\\imagefiles.bcgov\imagery\scanned_maps\moe_terrain_maps\Scanned_T_maps_all\R06\R06-985","\\imagefiles.bcgov\imagery\scanned_maps\moe_terrain_maps\Scanned_T_maps_all\R06\R06-985")</f>
        <v>\\imagefiles.bcgov\imagery\scanned_maps\moe_terrain_maps\Scanned_T_maps_all\R06\R06-985</v>
      </c>
      <c r="S2587" t="s">
        <v>62</v>
      </c>
      <c r="T2587" s="11" t="str">
        <f>HYPERLINK("http://www.env.gov.bc.ca/esd/distdata/ecosystems/TEI_Scanned_Maps/R06/R06-985","http://www.env.gov.bc.ca/esd/distdata/ecosystems/TEI_Scanned_Maps/R06/R06-985")</f>
        <v>http://www.env.gov.bc.ca/esd/distdata/ecosystems/TEI_Scanned_Maps/R06/R06-985</v>
      </c>
      <c r="U2587" t="s">
        <v>58</v>
      </c>
      <c r="V2587" t="s">
        <v>58</v>
      </c>
      <c r="W2587" t="s">
        <v>58</v>
      </c>
      <c r="X2587" t="s">
        <v>58</v>
      </c>
      <c r="Y2587" t="s">
        <v>58</v>
      </c>
      <c r="Z2587" t="s">
        <v>58</v>
      </c>
      <c r="AA2587" t="s">
        <v>58</v>
      </c>
      <c r="AC2587" t="s">
        <v>58</v>
      </c>
      <c r="AE2587" t="s">
        <v>58</v>
      </c>
      <c r="AG2587" t="s">
        <v>63</v>
      </c>
      <c r="AH2587" s="11" t="str">
        <f t="shared" si="161"/>
        <v>mailto: soilterrain@victoria1.gov.bc.ca</v>
      </c>
    </row>
    <row r="2588" spans="1:34">
      <c r="A2588" t="s">
        <v>5808</v>
      </c>
      <c r="B2588" t="s">
        <v>56</v>
      </c>
      <c r="C2588" s="10" t="s">
        <v>5469</v>
      </c>
      <c r="D2588" t="s">
        <v>58</v>
      </c>
      <c r="E2588" t="s">
        <v>2952</v>
      </c>
      <c r="F2588" t="s">
        <v>5799</v>
      </c>
      <c r="G2588">
        <v>20000</v>
      </c>
      <c r="H2588">
        <v>1976</v>
      </c>
      <c r="I2588" t="s">
        <v>58</v>
      </c>
      <c r="J2588" t="s">
        <v>58</v>
      </c>
      <c r="K2588" t="s">
        <v>58</v>
      </c>
      <c r="L2588" t="s">
        <v>58</v>
      </c>
      <c r="M2588" t="s">
        <v>58</v>
      </c>
      <c r="P2588" t="s">
        <v>61</v>
      </c>
      <c r="Q2588" t="s">
        <v>58</v>
      </c>
      <c r="R2588" s="11" t="str">
        <f>HYPERLINK("\\imagefiles.bcgov\imagery\scanned_maps\moe_terrain_maps\Scanned_T_maps_all\R06\R06-994","\\imagefiles.bcgov\imagery\scanned_maps\moe_terrain_maps\Scanned_T_maps_all\R06\R06-994")</f>
        <v>\\imagefiles.bcgov\imagery\scanned_maps\moe_terrain_maps\Scanned_T_maps_all\R06\R06-994</v>
      </c>
      <c r="S2588" t="s">
        <v>62</v>
      </c>
      <c r="T2588" s="11" t="str">
        <f>HYPERLINK("http://www.env.gov.bc.ca/esd/distdata/ecosystems/TEI_Scanned_Maps/R06/R06-994","http://www.env.gov.bc.ca/esd/distdata/ecosystems/TEI_Scanned_Maps/R06/R06-994")</f>
        <v>http://www.env.gov.bc.ca/esd/distdata/ecosystems/TEI_Scanned_Maps/R06/R06-994</v>
      </c>
      <c r="U2588" t="s">
        <v>58</v>
      </c>
      <c r="V2588" t="s">
        <v>58</v>
      </c>
      <c r="W2588" t="s">
        <v>58</v>
      </c>
      <c r="X2588" t="s">
        <v>58</v>
      </c>
      <c r="Y2588" t="s">
        <v>58</v>
      </c>
      <c r="Z2588" t="s">
        <v>58</v>
      </c>
      <c r="AA2588" t="s">
        <v>58</v>
      </c>
      <c r="AC2588" t="s">
        <v>58</v>
      </c>
      <c r="AE2588" t="s">
        <v>58</v>
      </c>
      <c r="AG2588" t="s">
        <v>63</v>
      </c>
      <c r="AH2588" s="11" t="str">
        <f t="shared" si="161"/>
        <v>mailto: soilterrain@victoria1.gov.bc.ca</v>
      </c>
    </row>
    <row r="2589" spans="1:34">
      <c r="A2589" t="s">
        <v>5809</v>
      </c>
      <c r="B2589" t="s">
        <v>56</v>
      </c>
      <c r="C2589" s="10" t="s">
        <v>5342</v>
      </c>
      <c r="D2589" t="s">
        <v>58</v>
      </c>
      <c r="E2589" t="s">
        <v>2952</v>
      </c>
      <c r="F2589" t="s">
        <v>5810</v>
      </c>
      <c r="G2589">
        <v>20000</v>
      </c>
      <c r="H2589">
        <v>1976</v>
      </c>
      <c r="I2589" t="s">
        <v>58</v>
      </c>
      <c r="J2589" t="s">
        <v>58</v>
      </c>
      <c r="K2589" t="s">
        <v>58</v>
      </c>
      <c r="L2589" t="s">
        <v>58</v>
      </c>
      <c r="M2589" t="s">
        <v>58</v>
      </c>
      <c r="P2589" t="s">
        <v>61</v>
      </c>
      <c r="Q2589" t="s">
        <v>58</v>
      </c>
      <c r="R2589" s="11" t="str">
        <f>HYPERLINK("\\imagefiles.bcgov\imagery\scanned_maps\moe_terrain_maps\Scanned_T_maps_all\R07\R07-1136","\\imagefiles.bcgov\imagery\scanned_maps\moe_terrain_maps\Scanned_T_maps_all\R07\R07-1136")</f>
        <v>\\imagefiles.bcgov\imagery\scanned_maps\moe_terrain_maps\Scanned_T_maps_all\R07\R07-1136</v>
      </c>
      <c r="S2589" t="s">
        <v>62</v>
      </c>
      <c r="T2589" s="11" t="str">
        <f>HYPERLINK("http://www.env.gov.bc.ca/esd/distdata/ecosystems/TEI_Scanned_Maps/R07/R07-1136","http://www.env.gov.bc.ca/esd/distdata/ecosystems/TEI_Scanned_Maps/R07/R07-1136")</f>
        <v>http://www.env.gov.bc.ca/esd/distdata/ecosystems/TEI_Scanned_Maps/R07/R07-1136</v>
      </c>
      <c r="U2589" t="s">
        <v>58</v>
      </c>
      <c r="V2589" t="s">
        <v>58</v>
      </c>
      <c r="W2589" t="s">
        <v>58</v>
      </c>
      <c r="X2589" t="s">
        <v>58</v>
      </c>
      <c r="Y2589" t="s">
        <v>58</v>
      </c>
      <c r="Z2589" t="s">
        <v>58</v>
      </c>
      <c r="AA2589" t="s">
        <v>58</v>
      </c>
      <c r="AC2589" t="s">
        <v>58</v>
      </c>
      <c r="AE2589" t="s">
        <v>58</v>
      </c>
      <c r="AG2589" t="s">
        <v>63</v>
      </c>
      <c r="AH2589" s="11" t="str">
        <f t="shared" si="161"/>
        <v>mailto: soilterrain@victoria1.gov.bc.ca</v>
      </c>
    </row>
    <row r="2590" spans="1:34">
      <c r="A2590" t="s">
        <v>5811</v>
      </c>
      <c r="B2590" t="s">
        <v>56</v>
      </c>
      <c r="C2590" s="10" t="s">
        <v>5022</v>
      </c>
      <c r="D2590" t="s">
        <v>58</v>
      </c>
      <c r="E2590" t="s">
        <v>2952</v>
      </c>
      <c r="F2590" t="s">
        <v>5810</v>
      </c>
      <c r="G2590">
        <v>20000</v>
      </c>
      <c r="H2590">
        <v>1976</v>
      </c>
      <c r="I2590" t="s">
        <v>58</v>
      </c>
      <c r="J2590" t="s">
        <v>58</v>
      </c>
      <c r="K2590" t="s">
        <v>58</v>
      </c>
      <c r="L2590" t="s">
        <v>58</v>
      </c>
      <c r="M2590" t="s">
        <v>58</v>
      </c>
      <c r="P2590" t="s">
        <v>61</v>
      </c>
      <c r="Q2590" t="s">
        <v>58</v>
      </c>
      <c r="R2590" s="11" t="str">
        <f>HYPERLINK("\\imagefiles.bcgov\imagery\scanned_maps\moe_terrain_maps\Scanned_T_maps_all\R07\R07-1463","\\imagefiles.bcgov\imagery\scanned_maps\moe_terrain_maps\Scanned_T_maps_all\R07\R07-1463")</f>
        <v>\\imagefiles.bcgov\imagery\scanned_maps\moe_terrain_maps\Scanned_T_maps_all\R07\R07-1463</v>
      </c>
      <c r="S2590" t="s">
        <v>62</v>
      </c>
      <c r="T2590" s="11" t="str">
        <f>HYPERLINK("http://www.env.gov.bc.ca/esd/distdata/ecosystems/TEI_Scanned_Maps/R07/R07-1463","http://www.env.gov.bc.ca/esd/distdata/ecosystems/TEI_Scanned_Maps/R07/R07-1463")</f>
        <v>http://www.env.gov.bc.ca/esd/distdata/ecosystems/TEI_Scanned_Maps/R07/R07-1463</v>
      </c>
      <c r="U2590" t="s">
        <v>58</v>
      </c>
      <c r="V2590" t="s">
        <v>58</v>
      </c>
      <c r="W2590" t="s">
        <v>58</v>
      </c>
      <c r="X2590" t="s">
        <v>58</v>
      </c>
      <c r="Y2590" t="s">
        <v>58</v>
      </c>
      <c r="Z2590" t="s">
        <v>58</v>
      </c>
      <c r="AA2590" t="s">
        <v>58</v>
      </c>
      <c r="AC2590" t="s">
        <v>58</v>
      </c>
      <c r="AE2590" t="s">
        <v>58</v>
      </c>
      <c r="AG2590" t="s">
        <v>63</v>
      </c>
      <c r="AH2590" s="11" t="str">
        <f t="shared" si="161"/>
        <v>mailto: soilterrain@victoria1.gov.bc.ca</v>
      </c>
    </row>
    <row r="2591" spans="1:34">
      <c r="A2591" t="s">
        <v>5812</v>
      </c>
      <c r="B2591" t="s">
        <v>56</v>
      </c>
      <c r="C2591" s="10" t="s">
        <v>5233</v>
      </c>
      <c r="D2591" t="s">
        <v>58</v>
      </c>
      <c r="E2591" t="s">
        <v>2952</v>
      </c>
      <c r="F2591" t="s">
        <v>5810</v>
      </c>
      <c r="G2591">
        <v>20000</v>
      </c>
      <c r="H2591">
        <v>1976</v>
      </c>
      <c r="I2591" t="s">
        <v>58</v>
      </c>
      <c r="J2591" t="s">
        <v>58</v>
      </c>
      <c r="K2591" t="s">
        <v>58</v>
      </c>
      <c r="L2591" t="s">
        <v>58</v>
      </c>
      <c r="M2591" t="s">
        <v>58</v>
      </c>
      <c r="P2591" t="s">
        <v>61</v>
      </c>
      <c r="Q2591" t="s">
        <v>58</v>
      </c>
      <c r="R2591" s="11" t="str">
        <f>HYPERLINK("\\imagefiles.bcgov\imagery\scanned_maps\moe_terrain_maps\Scanned_T_maps_all\R07\R07-1473","\\imagefiles.bcgov\imagery\scanned_maps\moe_terrain_maps\Scanned_T_maps_all\R07\R07-1473")</f>
        <v>\\imagefiles.bcgov\imagery\scanned_maps\moe_terrain_maps\Scanned_T_maps_all\R07\R07-1473</v>
      </c>
      <c r="S2591" t="s">
        <v>62</v>
      </c>
      <c r="T2591" s="11" t="str">
        <f>HYPERLINK("http://www.env.gov.bc.ca/esd/distdata/ecosystems/TEI_Scanned_Maps/R07/R07-1473","http://www.env.gov.bc.ca/esd/distdata/ecosystems/TEI_Scanned_Maps/R07/R07-1473")</f>
        <v>http://www.env.gov.bc.ca/esd/distdata/ecosystems/TEI_Scanned_Maps/R07/R07-1473</v>
      </c>
      <c r="U2591" t="s">
        <v>58</v>
      </c>
      <c r="V2591" t="s">
        <v>58</v>
      </c>
      <c r="W2591" t="s">
        <v>58</v>
      </c>
      <c r="X2591" t="s">
        <v>58</v>
      </c>
      <c r="Y2591" t="s">
        <v>58</v>
      </c>
      <c r="Z2591" t="s">
        <v>58</v>
      </c>
      <c r="AA2591" t="s">
        <v>58</v>
      </c>
      <c r="AC2591" t="s">
        <v>58</v>
      </c>
      <c r="AE2591" t="s">
        <v>58</v>
      </c>
      <c r="AG2591" t="s">
        <v>63</v>
      </c>
      <c r="AH2591" s="11" t="str">
        <f t="shared" si="161"/>
        <v>mailto: soilterrain@victoria1.gov.bc.ca</v>
      </c>
    </row>
    <row r="2592" spans="1:34">
      <c r="A2592" t="s">
        <v>5813</v>
      </c>
      <c r="B2592" t="s">
        <v>56</v>
      </c>
      <c r="C2592" s="10" t="s">
        <v>5473</v>
      </c>
      <c r="D2592" t="s">
        <v>58</v>
      </c>
      <c r="E2592" t="s">
        <v>2952</v>
      </c>
      <c r="F2592" t="s">
        <v>5814</v>
      </c>
      <c r="G2592">
        <v>25000</v>
      </c>
      <c r="H2592">
        <v>1976</v>
      </c>
      <c r="I2592" t="s">
        <v>5634</v>
      </c>
      <c r="J2592" t="s">
        <v>58</v>
      </c>
      <c r="K2592" t="s">
        <v>58</v>
      </c>
      <c r="L2592" t="s">
        <v>58</v>
      </c>
      <c r="M2592" t="s">
        <v>58</v>
      </c>
      <c r="P2592" t="s">
        <v>61</v>
      </c>
      <c r="Q2592" t="s">
        <v>58</v>
      </c>
      <c r="R2592" s="11" t="str">
        <f>HYPERLINK("\\imagefiles.bcgov\imagery\scanned_maps\moe_terrain_maps\Scanned_T_maps_all\R07\R07-1502","\\imagefiles.bcgov\imagery\scanned_maps\moe_terrain_maps\Scanned_T_maps_all\R07\R07-1502")</f>
        <v>\\imagefiles.bcgov\imagery\scanned_maps\moe_terrain_maps\Scanned_T_maps_all\R07\R07-1502</v>
      </c>
      <c r="S2592" t="s">
        <v>62</v>
      </c>
      <c r="T2592" s="11" t="str">
        <f>HYPERLINK("http://www.env.gov.bc.ca/esd/distdata/ecosystems/TEI_Scanned_Maps/R07/R07-1502","http://www.env.gov.bc.ca/esd/distdata/ecosystems/TEI_Scanned_Maps/R07/R07-1502")</f>
        <v>http://www.env.gov.bc.ca/esd/distdata/ecosystems/TEI_Scanned_Maps/R07/R07-1502</v>
      </c>
      <c r="U2592" t="s">
        <v>269</v>
      </c>
      <c r="V2592" s="11" t="str">
        <f t="shared" ref="V2592:V2621" si="162">HYPERLINK("http://www.library.for.gov.bc.ca/#focus","http://www.library.for.gov.bc.ca/#focus")</f>
        <v>http://www.library.for.gov.bc.ca/#focus</v>
      </c>
      <c r="W2592" t="s">
        <v>3053</v>
      </c>
      <c r="X2592" s="11" t="str">
        <f t="shared" ref="X2592:X2608" si="163">HYPERLINK("http://www.prsss.ca/","http://www.prsss.ca/")</f>
        <v>http://www.prsss.ca/</v>
      </c>
      <c r="Y2592" t="s">
        <v>58</v>
      </c>
      <c r="Z2592" t="s">
        <v>58</v>
      </c>
      <c r="AA2592" t="s">
        <v>58</v>
      </c>
      <c r="AC2592" t="s">
        <v>58</v>
      </c>
      <c r="AE2592" t="s">
        <v>58</v>
      </c>
      <c r="AG2592" t="s">
        <v>63</v>
      </c>
      <c r="AH2592" s="11" t="str">
        <f t="shared" si="161"/>
        <v>mailto: soilterrain@victoria1.gov.bc.ca</v>
      </c>
    </row>
    <row r="2593" spans="1:34">
      <c r="A2593" t="s">
        <v>5815</v>
      </c>
      <c r="B2593" t="s">
        <v>56</v>
      </c>
      <c r="C2593" s="10" t="s">
        <v>5476</v>
      </c>
      <c r="D2593" t="s">
        <v>58</v>
      </c>
      <c r="E2593" t="s">
        <v>2952</v>
      </c>
      <c r="F2593" t="s">
        <v>5816</v>
      </c>
      <c r="G2593">
        <v>25000</v>
      </c>
      <c r="H2593">
        <v>1976</v>
      </c>
      <c r="I2593" t="s">
        <v>5634</v>
      </c>
      <c r="J2593" t="s">
        <v>58</v>
      </c>
      <c r="K2593" t="s">
        <v>58</v>
      </c>
      <c r="L2593" t="s">
        <v>58</v>
      </c>
      <c r="M2593" t="s">
        <v>58</v>
      </c>
      <c r="P2593" t="s">
        <v>61</v>
      </c>
      <c r="Q2593" t="s">
        <v>58</v>
      </c>
      <c r="R2593" s="11" t="str">
        <f>HYPERLINK("\\imagefiles.bcgov\imagery\scanned_maps\moe_terrain_maps\Scanned_T_maps_all\R07\R07-1507","\\imagefiles.bcgov\imagery\scanned_maps\moe_terrain_maps\Scanned_T_maps_all\R07\R07-1507")</f>
        <v>\\imagefiles.bcgov\imagery\scanned_maps\moe_terrain_maps\Scanned_T_maps_all\R07\R07-1507</v>
      </c>
      <c r="S2593" t="s">
        <v>62</v>
      </c>
      <c r="T2593" s="11" t="str">
        <f>HYPERLINK("http://www.env.gov.bc.ca/esd/distdata/ecosystems/TEI_Scanned_Maps/R07/R07-1507","http://www.env.gov.bc.ca/esd/distdata/ecosystems/TEI_Scanned_Maps/R07/R07-1507")</f>
        <v>http://www.env.gov.bc.ca/esd/distdata/ecosystems/TEI_Scanned_Maps/R07/R07-1507</v>
      </c>
      <c r="U2593" t="s">
        <v>269</v>
      </c>
      <c r="V2593" s="11" t="str">
        <f t="shared" si="162"/>
        <v>http://www.library.for.gov.bc.ca/#focus</v>
      </c>
      <c r="W2593" t="s">
        <v>3053</v>
      </c>
      <c r="X2593" s="11" t="str">
        <f t="shared" si="163"/>
        <v>http://www.prsss.ca/</v>
      </c>
      <c r="Y2593" t="s">
        <v>58</v>
      </c>
      <c r="Z2593" t="s">
        <v>58</v>
      </c>
      <c r="AA2593" t="s">
        <v>58</v>
      </c>
      <c r="AC2593" t="s">
        <v>58</v>
      </c>
      <c r="AE2593" t="s">
        <v>58</v>
      </c>
      <c r="AG2593" t="s">
        <v>63</v>
      </c>
      <c r="AH2593" s="11" t="str">
        <f t="shared" si="161"/>
        <v>mailto: soilterrain@victoria1.gov.bc.ca</v>
      </c>
    </row>
    <row r="2594" spans="1:34">
      <c r="A2594" t="s">
        <v>5817</v>
      </c>
      <c r="B2594" t="s">
        <v>56</v>
      </c>
      <c r="C2594" s="10" t="s">
        <v>5479</v>
      </c>
      <c r="D2594" t="s">
        <v>58</v>
      </c>
      <c r="E2594" t="s">
        <v>2952</v>
      </c>
      <c r="F2594" t="s">
        <v>5818</v>
      </c>
      <c r="G2594">
        <v>25000</v>
      </c>
      <c r="H2594">
        <v>1976</v>
      </c>
      <c r="I2594" t="s">
        <v>5634</v>
      </c>
      <c r="J2594" t="s">
        <v>58</v>
      </c>
      <c r="K2594" t="s">
        <v>58</v>
      </c>
      <c r="L2594" t="s">
        <v>58</v>
      </c>
      <c r="M2594" t="s">
        <v>58</v>
      </c>
      <c r="P2594" t="s">
        <v>61</v>
      </c>
      <c r="Q2594" t="s">
        <v>58</v>
      </c>
      <c r="R2594" s="11" t="str">
        <f>HYPERLINK("\\imagefiles.bcgov\imagery\scanned_maps\moe_terrain_maps\Scanned_T_maps_all\R07\R07-1512","\\imagefiles.bcgov\imagery\scanned_maps\moe_terrain_maps\Scanned_T_maps_all\R07\R07-1512")</f>
        <v>\\imagefiles.bcgov\imagery\scanned_maps\moe_terrain_maps\Scanned_T_maps_all\R07\R07-1512</v>
      </c>
      <c r="S2594" t="s">
        <v>62</v>
      </c>
      <c r="T2594" s="11" t="str">
        <f>HYPERLINK("http://www.env.gov.bc.ca/esd/distdata/ecosystems/TEI_Scanned_Maps/R07/R07-1512","http://www.env.gov.bc.ca/esd/distdata/ecosystems/TEI_Scanned_Maps/R07/R07-1512")</f>
        <v>http://www.env.gov.bc.ca/esd/distdata/ecosystems/TEI_Scanned_Maps/R07/R07-1512</v>
      </c>
      <c r="U2594" t="s">
        <v>269</v>
      </c>
      <c r="V2594" s="11" t="str">
        <f t="shared" si="162"/>
        <v>http://www.library.for.gov.bc.ca/#focus</v>
      </c>
      <c r="W2594" t="s">
        <v>3053</v>
      </c>
      <c r="X2594" s="11" t="str">
        <f t="shared" si="163"/>
        <v>http://www.prsss.ca/</v>
      </c>
      <c r="Y2594" t="s">
        <v>58</v>
      </c>
      <c r="Z2594" t="s">
        <v>58</v>
      </c>
      <c r="AA2594" t="s">
        <v>58</v>
      </c>
      <c r="AC2594" t="s">
        <v>58</v>
      </c>
      <c r="AE2594" t="s">
        <v>58</v>
      </c>
      <c r="AG2594" t="s">
        <v>63</v>
      </c>
      <c r="AH2594" s="11" t="str">
        <f t="shared" si="161"/>
        <v>mailto: soilterrain@victoria1.gov.bc.ca</v>
      </c>
    </row>
    <row r="2595" spans="1:34">
      <c r="A2595" t="s">
        <v>5819</v>
      </c>
      <c r="B2595" t="s">
        <v>56</v>
      </c>
      <c r="C2595" s="10" t="s">
        <v>5482</v>
      </c>
      <c r="D2595" t="s">
        <v>58</v>
      </c>
      <c r="E2595" t="s">
        <v>2952</v>
      </c>
      <c r="F2595" t="s">
        <v>5820</v>
      </c>
      <c r="G2595">
        <v>25000</v>
      </c>
      <c r="H2595">
        <v>1976</v>
      </c>
      <c r="I2595" t="s">
        <v>5634</v>
      </c>
      <c r="J2595" t="s">
        <v>58</v>
      </c>
      <c r="K2595" t="s">
        <v>58</v>
      </c>
      <c r="L2595" t="s">
        <v>58</v>
      </c>
      <c r="M2595" t="s">
        <v>58</v>
      </c>
      <c r="P2595" t="s">
        <v>61</v>
      </c>
      <c r="Q2595" t="s">
        <v>58</v>
      </c>
      <c r="R2595" s="11" t="str">
        <f>HYPERLINK("\\imagefiles.bcgov\imagery\scanned_maps\moe_terrain_maps\Scanned_T_maps_all\R07\R07-1517","\\imagefiles.bcgov\imagery\scanned_maps\moe_terrain_maps\Scanned_T_maps_all\R07\R07-1517")</f>
        <v>\\imagefiles.bcgov\imagery\scanned_maps\moe_terrain_maps\Scanned_T_maps_all\R07\R07-1517</v>
      </c>
      <c r="S2595" t="s">
        <v>62</v>
      </c>
      <c r="T2595" s="11" t="str">
        <f>HYPERLINK("http://www.env.gov.bc.ca/esd/distdata/ecosystems/TEI_Scanned_Maps/R07/R07-1517","http://www.env.gov.bc.ca/esd/distdata/ecosystems/TEI_Scanned_Maps/R07/R07-1517")</f>
        <v>http://www.env.gov.bc.ca/esd/distdata/ecosystems/TEI_Scanned_Maps/R07/R07-1517</v>
      </c>
      <c r="U2595" t="s">
        <v>269</v>
      </c>
      <c r="V2595" s="11" t="str">
        <f t="shared" si="162"/>
        <v>http://www.library.for.gov.bc.ca/#focus</v>
      </c>
      <c r="W2595" t="s">
        <v>3053</v>
      </c>
      <c r="X2595" s="11" t="str">
        <f t="shared" si="163"/>
        <v>http://www.prsss.ca/</v>
      </c>
      <c r="Y2595" t="s">
        <v>58</v>
      </c>
      <c r="Z2595" t="s">
        <v>58</v>
      </c>
      <c r="AA2595" t="s">
        <v>58</v>
      </c>
      <c r="AC2595" t="s">
        <v>58</v>
      </c>
      <c r="AE2595" t="s">
        <v>58</v>
      </c>
      <c r="AG2595" t="s">
        <v>63</v>
      </c>
      <c r="AH2595" s="11" t="str">
        <f t="shared" si="161"/>
        <v>mailto: soilterrain@victoria1.gov.bc.ca</v>
      </c>
    </row>
    <row r="2596" spans="1:34">
      <c r="A2596" t="s">
        <v>5821</v>
      </c>
      <c r="B2596" t="s">
        <v>56</v>
      </c>
      <c r="C2596" s="10" t="s">
        <v>5485</v>
      </c>
      <c r="D2596" t="s">
        <v>58</v>
      </c>
      <c r="E2596" t="s">
        <v>2952</v>
      </c>
      <c r="F2596" t="s">
        <v>5822</v>
      </c>
      <c r="G2596">
        <v>25000</v>
      </c>
      <c r="H2596">
        <v>1976</v>
      </c>
      <c r="I2596" t="s">
        <v>5634</v>
      </c>
      <c r="J2596" t="s">
        <v>58</v>
      </c>
      <c r="K2596" t="s">
        <v>58</v>
      </c>
      <c r="L2596" t="s">
        <v>58</v>
      </c>
      <c r="M2596" t="s">
        <v>58</v>
      </c>
      <c r="P2596" t="s">
        <v>61</v>
      </c>
      <c r="Q2596" t="s">
        <v>58</v>
      </c>
      <c r="R2596" s="11" t="str">
        <f>HYPERLINK("\\imagefiles.bcgov\imagery\scanned_maps\moe_terrain_maps\Scanned_T_maps_all\R07\R07-1522","\\imagefiles.bcgov\imagery\scanned_maps\moe_terrain_maps\Scanned_T_maps_all\R07\R07-1522")</f>
        <v>\\imagefiles.bcgov\imagery\scanned_maps\moe_terrain_maps\Scanned_T_maps_all\R07\R07-1522</v>
      </c>
      <c r="S2596" t="s">
        <v>62</v>
      </c>
      <c r="T2596" s="11" t="str">
        <f>HYPERLINK("http://www.env.gov.bc.ca/esd/distdata/ecosystems/TEI_Scanned_Maps/R07/R07-1522","http://www.env.gov.bc.ca/esd/distdata/ecosystems/TEI_Scanned_Maps/R07/R07-1522")</f>
        <v>http://www.env.gov.bc.ca/esd/distdata/ecosystems/TEI_Scanned_Maps/R07/R07-1522</v>
      </c>
      <c r="U2596" t="s">
        <v>269</v>
      </c>
      <c r="V2596" s="11" t="str">
        <f t="shared" si="162"/>
        <v>http://www.library.for.gov.bc.ca/#focus</v>
      </c>
      <c r="W2596" t="s">
        <v>3053</v>
      </c>
      <c r="X2596" s="11" t="str">
        <f t="shared" si="163"/>
        <v>http://www.prsss.ca/</v>
      </c>
      <c r="Y2596" t="s">
        <v>58</v>
      </c>
      <c r="Z2596" t="s">
        <v>58</v>
      </c>
      <c r="AA2596" t="s">
        <v>58</v>
      </c>
      <c r="AC2596" t="s">
        <v>58</v>
      </c>
      <c r="AE2596" t="s">
        <v>58</v>
      </c>
      <c r="AG2596" t="s">
        <v>63</v>
      </c>
      <c r="AH2596" s="11" t="str">
        <f t="shared" si="161"/>
        <v>mailto: soilterrain@victoria1.gov.bc.ca</v>
      </c>
    </row>
    <row r="2597" spans="1:34">
      <c r="A2597" t="s">
        <v>5823</v>
      </c>
      <c r="B2597" t="s">
        <v>56</v>
      </c>
      <c r="C2597" s="10" t="s">
        <v>5488</v>
      </c>
      <c r="D2597" t="s">
        <v>58</v>
      </c>
      <c r="E2597" t="s">
        <v>2952</v>
      </c>
      <c r="F2597" t="s">
        <v>5824</v>
      </c>
      <c r="G2597">
        <v>25000</v>
      </c>
      <c r="H2597">
        <v>1976</v>
      </c>
      <c r="I2597" t="s">
        <v>5634</v>
      </c>
      <c r="J2597" t="s">
        <v>58</v>
      </c>
      <c r="K2597" t="s">
        <v>58</v>
      </c>
      <c r="L2597" t="s">
        <v>58</v>
      </c>
      <c r="M2597" t="s">
        <v>58</v>
      </c>
      <c r="P2597" t="s">
        <v>61</v>
      </c>
      <c r="Q2597" t="s">
        <v>58</v>
      </c>
      <c r="R2597" s="11" t="str">
        <f>HYPERLINK("\\imagefiles.bcgov\imagery\scanned_maps\moe_terrain_maps\Scanned_T_maps_all\R07\R07-1527","\\imagefiles.bcgov\imagery\scanned_maps\moe_terrain_maps\Scanned_T_maps_all\R07\R07-1527")</f>
        <v>\\imagefiles.bcgov\imagery\scanned_maps\moe_terrain_maps\Scanned_T_maps_all\R07\R07-1527</v>
      </c>
      <c r="S2597" t="s">
        <v>62</v>
      </c>
      <c r="T2597" s="11" t="str">
        <f>HYPERLINK("http://www.env.gov.bc.ca/esd/distdata/ecosystems/TEI_Scanned_Maps/R07/R07-1527","http://www.env.gov.bc.ca/esd/distdata/ecosystems/TEI_Scanned_Maps/R07/R07-1527")</f>
        <v>http://www.env.gov.bc.ca/esd/distdata/ecosystems/TEI_Scanned_Maps/R07/R07-1527</v>
      </c>
      <c r="U2597" t="s">
        <v>269</v>
      </c>
      <c r="V2597" s="11" t="str">
        <f t="shared" si="162"/>
        <v>http://www.library.for.gov.bc.ca/#focus</v>
      </c>
      <c r="W2597" t="s">
        <v>3053</v>
      </c>
      <c r="X2597" s="11" t="str">
        <f t="shared" si="163"/>
        <v>http://www.prsss.ca/</v>
      </c>
      <c r="Y2597" t="s">
        <v>58</v>
      </c>
      <c r="Z2597" t="s">
        <v>58</v>
      </c>
      <c r="AA2597" t="s">
        <v>58</v>
      </c>
      <c r="AC2597" t="s">
        <v>58</v>
      </c>
      <c r="AE2597" t="s">
        <v>58</v>
      </c>
      <c r="AG2597" t="s">
        <v>63</v>
      </c>
      <c r="AH2597" s="11" t="str">
        <f t="shared" si="161"/>
        <v>mailto: soilterrain@victoria1.gov.bc.ca</v>
      </c>
    </row>
    <row r="2598" spans="1:34">
      <c r="A2598" t="s">
        <v>5825</v>
      </c>
      <c r="B2598" t="s">
        <v>56</v>
      </c>
      <c r="C2598" s="10" t="s">
        <v>5491</v>
      </c>
      <c r="D2598" t="s">
        <v>58</v>
      </c>
      <c r="E2598" t="s">
        <v>2952</v>
      </c>
      <c r="F2598" t="s">
        <v>5826</v>
      </c>
      <c r="G2598">
        <v>25000</v>
      </c>
      <c r="H2598">
        <v>1976</v>
      </c>
      <c r="I2598" t="s">
        <v>5634</v>
      </c>
      <c r="J2598" t="s">
        <v>58</v>
      </c>
      <c r="K2598" t="s">
        <v>58</v>
      </c>
      <c r="L2598" t="s">
        <v>58</v>
      </c>
      <c r="M2598" t="s">
        <v>58</v>
      </c>
      <c r="P2598" t="s">
        <v>61</v>
      </c>
      <c r="Q2598" t="s">
        <v>58</v>
      </c>
      <c r="R2598" s="11" t="str">
        <f>HYPERLINK("\\imagefiles.bcgov\imagery\scanned_maps\moe_terrain_maps\Scanned_T_maps_all\R07\R07-1532","\\imagefiles.bcgov\imagery\scanned_maps\moe_terrain_maps\Scanned_T_maps_all\R07\R07-1532")</f>
        <v>\\imagefiles.bcgov\imagery\scanned_maps\moe_terrain_maps\Scanned_T_maps_all\R07\R07-1532</v>
      </c>
      <c r="S2598" t="s">
        <v>62</v>
      </c>
      <c r="T2598" s="11" t="str">
        <f>HYPERLINK("http://www.env.gov.bc.ca/esd/distdata/ecosystems/TEI_Scanned_Maps/R07/R07-1532","http://www.env.gov.bc.ca/esd/distdata/ecosystems/TEI_Scanned_Maps/R07/R07-1532")</f>
        <v>http://www.env.gov.bc.ca/esd/distdata/ecosystems/TEI_Scanned_Maps/R07/R07-1532</v>
      </c>
      <c r="U2598" t="s">
        <v>269</v>
      </c>
      <c r="V2598" s="11" t="str">
        <f t="shared" si="162"/>
        <v>http://www.library.for.gov.bc.ca/#focus</v>
      </c>
      <c r="W2598" t="s">
        <v>3053</v>
      </c>
      <c r="X2598" s="11" t="str">
        <f t="shared" si="163"/>
        <v>http://www.prsss.ca/</v>
      </c>
      <c r="Y2598" t="s">
        <v>58</v>
      </c>
      <c r="Z2598" t="s">
        <v>58</v>
      </c>
      <c r="AA2598" t="s">
        <v>58</v>
      </c>
      <c r="AC2598" t="s">
        <v>58</v>
      </c>
      <c r="AE2598" t="s">
        <v>58</v>
      </c>
      <c r="AG2598" t="s">
        <v>63</v>
      </c>
      <c r="AH2598" s="11" t="str">
        <f t="shared" si="161"/>
        <v>mailto: soilterrain@victoria1.gov.bc.ca</v>
      </c>
    </row>
    <row r="2599" spans="1:34">
      <c r="A2599" t="s">
        <v>5827</v>
      </c>
      <c r="B2599" t="s">
        <v>56</v>
      </c>
      <c r="C2599" s="10" t="s">
        <v>5494</v>
      </c>
      <c r="D2599" t="s">
        <v>58</v>
      </c>
      <c r="E2599" t="s">
        <v>2952</v>
      </c>
      <c r="F2599" t="s">
        <v>5828</v>
      </c>
      <c r="G2599">
        <v>25000</v>
      </c>
      <c r="H2599">
        <v>1976</v>
      </c>
      <c r="I2599" t="s">
        <v>5634</v>
      </c>
      <c r="J2599" t="s">
        <v>58</v>
      </c>
      <c r="K2599" t="s">
        <v>58</v>
      </c>
      <c r="L2599" t="s">
        <v>58</v>
      </c>
      <c r="M2599" t="s">
        <v>58</v>
      </c>
      <c r="P2599" t="s">
        <v>61</v>
      </c>
      <c r="Q2599" t="s">
        <v>58</v>
      </c>
      <c r="R2599" s="11" t="str">
        <f>HYPERLINK("\\imagefiles.bcgov\imagery\scanned_maps\moe_terrain_maps\Scanned_T_maps_all\R07\R07-1537","\\imagefiles.bcgov\imagery\scanned_maps\moe_terrain_maps\Scanned_T_maps_all\R07\R07-1537")</f>
        <v>\\imagefiles.bcgov\imagery\scanned_maps\moe_terrain_maps\Scanned_T_maps_all\R07\R07-1537</v>
      </c>
      <c r="S2599" t="s">
        <v>62</v>
      </c>
      <c r="T2599" s="11" t="str">
        <f>HYPERLINK("http://www.env.gov.bc.ca/esd/distdata/ecosystems/TEI_Scanned_Maps/R07/R07-1537","http://www.env.gov.bc.ca/esd/distdata/ecosystems/TEI_Scanned_Maps/R07/R07-1537")</f>
        <v>http://www.env.gov.bc.ca/esd/distdata/ecosystems/TEI_Scanned_Maps/R07/R07-1537</v>
      </c>
      <c r="U2599" t="s">
        <v>269</v>
      </c>
      <c r="V2599" s="11" t="str">
        <f t="shared" si="162"/>
        <v>http://www.library.for.gov.bc.ca/#focus</v>
      </c>
      <c r="W2599" t="s">
        <v>3053</v>
      </c>
      <c r="X2599" s="11" t="str">
        <f t="shared" si="163"/>
        <v>http://www.prsss.ca/</v>
      </c>
      <c r="Y2599" t="s">
        <v>58</v>
      </c>
      <c r="Z2599" t="s">
        <v>58</v>
      </c>
      <c r="AA2599" t="s">
        <v>58</v>
      </c>
      <c r="AC2599" t="s">
        <v>58</v>
      </c>
      <c r="AE2599" t="s">
        <v>58</v>
      </c>
      <c r="AG2599" t="s">
        <v>63</v>
      </c>
      <c r="AH2599" s="11" t="str">
        <f t="shared" si="161"/>
        <v>mailto: soilterrain@victoria1.gov.bc.ca</v>
      </c>
    </row>
    <row r="2600" spans="1:34">
      <c r="A2600" t="s">
        <v>5829</v>
      </c>
      <c r="B2600" t="s">
        <v>56</v>
      </c>
      <c r="C2600" s="10" t="s">
        <v>5515</v>
      </c>
      <c r="D2600" t="s">
        <v>58</v>
      </c>
      <c r="E2600" t="s">
        <v>2952</v>
      </c>
      <c r="F2600" t="s">
        <v>5830</v>
      </c>
      <c r="G2600">
        <v>25000</v>
      </c>
      <c r="H2600">
        <v>1979</v>
      </c>
      <c r="I2600" t="s">
        <v>5634</v>
      </c>
      <c r="J2600" t="s">
        <v>58</v>
      </c>
      <c r="K2600" t="s">
        <v>58</v>
      </c>
      <c r="L2600" t="s">
        <v>58</v>
      </c>
      <c r="M2600" t="s">
        <v>58</v>
      </c>
      <c r="P2600" t="s">
        <v>61</v>
      </c>
      <c r="Q2600" t="s">
        <v>58</v>
      </c>
      <c r="R2600" s="11" t="str">
        <f>HYPERLINK("\\imagefiles.bcgov\imagery\scanned_maps\moe_terrain_maps\Scanned_T_maps_all\R07\R07-1572","\\imagefiles.bcgov\imagery\scanned_maps\moe_terrain_maps\Scanned_T_maps_all\R07\R07-1572")</f>
        <v>\\imagefiles.bcgov\imagery\scanned_maps\moe_terrain_maps\Scanned_T_maps_all\R07\R07-1572</v>
      </c>
      <c r="S2600" t="s">
        <v>62</v>
      </c>
      <c r="T2600" s="11" t="str">
        <f>HYPERLINK("http://www.env.gov.bc.ca/esd/distdata/ecosystems/TEI_Scanned_Maps/R07/R07-1572","http://www.env.gov.bc.ca/esd/distdata/ecosystems/TEI_Scanned_Maps/R07/R07-1572")</f>
        <v>http://www.env.gov.bc.ca/esd/distdata/ecosystems/TEI_Scanned_Maps/R07/R07-1572</v>
      </c>
      <c r="U2600" t="s">
        <v>269</v>
      </c>
      <c r="V2600" s="11" t="str">
        <f t="shared" si="162"/>
        <v>http://www.library.for.gov.bc.ca/#focus</v>
      </c>
      <c r="W2600" t="s">
        <v>3053</v>
      </c>
      <c r="X2600" s="11" t="str">
        <f t="shared" si="163"/>
        <v>http://www.prsss.ca/</v>
      </c>
      <c r="Y2600" t="s">
        <v>58</v>
      </c>
      <c r="Z2600" t="s">
        <v>58</v>
      </c>
      <c r="AA2600" t="s">
        <v>58</v>
      </c>
      <c r="AC2600" t="s">
        <v>58</v>
      </c>
      <c r="AE2600" t="s">
        <v>58</v>
      </c>
      <c r="AG2600" t="s">
        <v>63</v>
      </c>
      <c r="AH2600" s="11" t="str">
        <f t="shared" si="161"/>
        <v>mailto: soilterrain@victoria1.gov.bc.ca</v>
      </c>
    </row>
    <row r="2601" spans="1:34">
      <c r="A2601" t="s">
        <v>5831</v>
      </c>
      <c r="B2601" t="s">
        <v>56</v>
      </c>
      <c r="C2601" s="10" t="s">
        <v>5518</v>
      </c>
      <c r="D2601" t="s">
        <v>58</v>
      </c>
      <c r="E2601" t="s">
        <v>2952</v>
      </c>
      <c r="F2601" t="s">
        <v>5832</v>
      </c>
      <c r="G2601">
        <v>25000</v>
      </c>
      <c r="H2601">
        <v>1979</v>
      </c>
      <c r="I2601" t="s">
        <v>5634</v>
      </c>
      <c r="J2601" t="s">
        <v>58</v>
      </c>
      <c r="K2601" t="s">
        <v>58</v>
      </c>
      <c r="L2601" t="s">
        <v>58</v>
      </c>
      <c r="M2601" t="s">
        <v>58</v>
      </c>
      <c r="P2601" t="s">
        <v>61</v>
      </c>
      <c r="Q2601" t="s">
        <v>58</v>
      </c>
      <c r="R2601" s="11" t="str">
        <f>HYPERLINK("\\imagefiles.bcgov\imagery\scanned_maps\moe_terrain_maps\Scanned_T_maps_all\R07\R07-1577","\\imagefiles.bcgov\imagery\scanned_maps\moe_terrain_maps\Scanned_T_maps_all\R07\R07-1577")</f>
        <v>\\imagefiles.bcgov\imagery\scanned_maps\moe_terrain_maps\Scanned_T_maps_all\R07\R07-1577</v>
      </c>
      <c r="S2601" t="s">
        <v>62</v>
      </c>
      <c r="T2601" s="11" t="str">
        <f>HYPERLINK("http://www.env.gov.bc.ca/esd/distdata/ecosystems/TEI_Scanned_Maps/R07/R07-1577","http://www.env.gov.bc.ca/esd/distdata/ecosystems/TEI_Scanned_Maps/R07/R07-1577")</f>
        <v>http://www.env.gov.bc.ca/esd/distdata/ecosystems/TEI_Scanned_Maps/R07/R07-1577</v>
      </c>
      <c r="U2601" t="s">
        <v>269</v>
      </c>
      <c r="V2601" s="11" t="str">
        <f t="shared" si="162"/>
        <v>http://www.library.for.gov.bc.ca/#focus</v>
      </c>
      <c r="W2601" t="s">
        <v>3053</v>
      </c>
      <c r="X2601" s="11" t="str">
        <f t="shared" si="163"/>
        <v>http://www.prsss.ca/</v>
      </c>
      <c r="Y2601" t="s">
        <v>58</v>
      </c>
      <c r="Z2601" t="s">
        <v>58</v>
      </c>
      <c r="AA2601" t="s">
        <v>58</v>
      </c>
      <c r="AC2601" t="s">
        <v>58</v>
      </c>
      <c r="AE2601" t="s">
        <v>58</v>
      </c>
      <c r="AG2601" t="s">
        <v>63</v>
      </c>
      <c r="AH2601" s="11" t="str">
        <f t="shared" si="161"/>
        <v>mailto: soilterrain@victoria1.gov.bc.ca</v>
      </c>
    </row>
    <row r="2602" spans="1:34">
      <c r="A2602" t="s">
        <v>5833</v>
      </c>
      <c r="B2602" t="s">
        <v>56</v>
      </c>
      <c r="C2602" s="10" t="s">
        <v>5521</v>
      </c>
      <c r="D2602" t="s">
        <v>58</v>
      </c>
      <c r="E2602" t="s">
        <v>2952</v>
      </c>
      <c r="F2602" t="s">
        <v>5834</v>
      </c>
      <c r="G2602">
        <v>25000</v>
      </c>
      <c r="H2602">
        <v>1979</v>
      </c>
      <c r="I2602" t="s">
        <v>5634</v>
      </c>
      <c r="J2602" t="s">
        <v>58</v>
      </c>
      <c r="K2602" t="s">
        <v>58</v>
      </c>
      <c r="L2602" t="s">
        <v>58</v>
      </c>
      <c r="M2602" t="s">
        <v>58</v>
      </c>
      <c r="P2602" t="s">
        <v>61</v>
      </c>
      <c r="Q2602" t="s">
        <v>58</v>
      </c>
      <c r="R2602" s="11" t="str">
        <f>HYPERLINK("\\imagefiles.bcgov\imagery\scanned_maps\moe_terrain_maps\Scanned_T_maps_all\R07\R07-1582","\\imagefiles.bcgov\imagery\scanned_maps\moe_terrain_maps\Scanned_T_maps_all\R07\R07-1582")</f>
        <v>\\imagefiles.bcgov\imagery\scanned_maps\moe_terrain_maps\Scanned_T_maps_all\R07\R07-1582</v>
      </c>
      <c r="S2602" t="s">
        <v>62</v>
      </c>
      <c r="T2602" s="11" t="str">
        <f>HYPERLINK("http://www.env.gov.bc.ca/esd/distdata/ecosystems/TEI_Scanned_Maps/R07/R07-1582","http://www.env.gov.bc.ca/esd/distdata/ecosystems/TEI_Scanned_Maps/R07/R07-1582")</f>
        <v>http://www.env.gov.bc.ca/esd/distdata/ecosystems/TEI_Scanned_Maps/R07/R07-1582</v>
      </c>
      <c r="U2602" t="s">
        <v>269</v>
      </c>
      <c r="V2602" s="11" t="str">
        <f t="shared" si="162"/>
        <v>http://www.library.for.gov.bc.ca/#focus</v>
      </c>
      <c r="W2602" t="s">
        <v>3053</v>
      </c>
      <c r="X2602" s="11" t="str">
        <f t="shared" si="163"/>
        <v>http://www.prsss.ca/</v>
      </c>
      <c r="Y2602" t="s">
        <v>58</v>
      </c>
      <c r="Z2602" t="s">
        <v>58</v>
      </c>
      <c r="AA2602" t="s">
        <v>58</v>
      </c>
      <c r="AC2602" t="s">
        <v>58</v>
      </c>
      <c r="AE2602" t="s">
        <v>58</v>
      </c>
      <c r="AG2602" t="s">
        <v>63</v>
      </c>
      <c r="AH2602" s="11" t="str">
        <f t="shared" si="161"/>
        <v>mailto: soilterrain@victoria1.gov.bc.ca</v>
      </c>
    </row>
    <row r="2603" spans="1:34">
      <c r="A2603" t="s">
        <v>5835</v>
      </c>
      <c r="B2603" t="s">
        <v>56</v>
      </c>
      <c r="C2603" s="10" t="s">
        <v>5524</v>
      </c>
      <c r="D2603" t="s">
        <v>58</v>
      </c>
      <c r="E2603" t="s">
        <v>2952</v>
      </c>
      <c r="F2603" t="s">
        <v>5836</v>
      </c>
      <c r="G2603">
        <v>25000</v>
      </c>
      <c r="H2603">
        <v>1979</v>
      </c>
      <c r="I2603" t="s">
        <v>5634</v>
      </c>
      <c r="J2603" t="s">
        <v>58</v>
      </c>
      <c r="K2603" t="s">
        <v>58</v>
      </c>
      <c r="L2603" t="s">
        <v>58</v>
      </c>
      <c r="M2603" t="s">
        <v>58</v>
      </c>
      <c r="P2603" t="s">
        <v>61</v>
      </c>
      <c r="Q2603" t="s">
        <v>58</v>
      </c>
      <c r="R2603" s="11" t="str">
        <f>HYPERLINK("\\imagefiles.bcgov\imagery\scanned_maps\moe_terrain_maps\Scanned_T_maps_all\R07\R07-1587","\\imagefiles.bcgov\imagery\scanned_maps\moe_terrain_maps\Scanned_T_maps_all\R07\R07-1587")</f>
        <v>\\imagefiles.bcgov\imagery\scanned_maps\moe_terrain_maps\Scanned_T_maps_all\R07\R07-1587</v>
      </c>
      <c r="S2603" t="s">
        <v>62</v>
      </c>
      <c r="T2603" s="11" t="str">
        <f>HYPERLINK("http://www.env.gov.bc.ca/esd/distdata/ecosystems/TEI_Scanned_Maps/R07/R07-1587","http://www.env.gov.bc.ca/esd/distdata/ecosystems/TEI_Scanned_Maps/R07/R07-1587")</f>
        <v>http://www.env.gov.bc.ca/esd/distdata/ecosystems/TEI_Scanned_Maps/R07/R07-1587</v>
      </c>
      <c r="U2603" t="s">
        <v>269</v>
      </c>
      <c r="V2603" s="11" t="str">
        <f t="shared" si="162"/>
        <v>http://www.library.for.gov.bc.ca/#focus</v>
      </c>
      <c r="W2603" t="s">
        <v>3053</v>
      </c>
      <c r="X2603" s="11" t="str">
        <f t="shared" si="163"/>
        <v>http://www.prsss.ca/</v>
      </c>
      <c r="Y2603" t="s">
        <v>58</v>
      </c>
      <c r="Z2603" t="s">
        <v>58</v>
      </c>
      <c r="AA2603" t="s">
        <v>58</v>
      </c>
      <c r="AC2603" t="s">
        <v>58</v>
      </c>
      <c r="AE2603" t="s">
        <v>58</v>
      </c>
      <c r="AG2603" t="s">
        <v>63</v>
      </c>
      <c r="AH2603" s="11" t="str">
        <f t="shared" si="161"/>
        <v>mailto: soilterrain@victoria1.gov.bc.ca</v>
      </c>
    </row>
    <row r="2604" spans="1:34">
      <c r="A2604" t="s">
        <v>5837</v>
      </c>
      <c r="B2604" t="s">
        <v>56</v>
      </c>
      <c r="C2604" s="10" t="s">
        <v>5527</v>
      </c>
      <c r="D2604" t="s">
        <v>58</v>
      </c>
      <c r="E2604" t="s">
        <v>2952</v>
      </c>
      <c r="F2604" t="s">
        <v>5838</v>
      </c>
      <c r="G2604">
        <v>25000</v>
      </c>
      <c r="H2604">
        <v>1979</v>
      </c>
      <c r="I2604" t="s">
        <v>5634</v>
      </c>
      <c r="J2604" t="s">
        <v>58</v>
      </c>
      <c r="K2604" t="s">
        <v>58</v>
      </c>
      <c r="L2604" t="s">
        <v>58</v>
      </c>
      <c r="M2604" t="s">
        <v>58</v>
      </c>
      <c r="P2604" t="s">
        <v>61</v>
      </c>
      <c r="Q2604" t="s">
        <v>58</v>
      </c>
      <c r="R2604" s="11" t="str">
        <f>HYPERLINK("\\imagefiles.bcgov\imagery\scanned_maps\moe_terrain_maps\Scanned_T_maps_all\R07\R07-1592","\\imagefiles.bcgov\imagery\scanned_maps\moe_terrain_maps\Scanned_T_maps_all\R07\R07-1592")</f>
        <v>\\imagefiles.bcgov\imagery\scanned_maps\moe_terrain_maps\Scanned_T_maps_all\R07\R07-1592</v>
      </c>
      <c r="S2604" t="s">
        <v>62</v>
      </c>
      <c r="T2604" s="11" t="str">
        <f>HYPERLINK("http://www.env.gov.bc.ca/esd/distdata/ecosystems/TEI_Scanned_Maps/R07/R07-1592","http://www.env.gov.bc.ca/esd/distdata/ecosystems/TEI_Scanned_Maps/R07/R07-1592")</f>
        <v>http://www.env.gov.bc.ca/esd/distdata/ecosystems/TEI_Scanned_Maps/R07/R07-1592</v>
      </c>
      <c r="U2604" t="s">
        <v>269</v>
      </c>
      <c r="V2604" s="11" t="str">
        <f t="shared" si="162"/>
        <v>http://www.library.for.gov.bc.ca/#focus</v>
      </c>
      <c r="W2604" t="s">
        <v>3053</v>
      </c>
      <c r="X2604" s="11" t="str">
        <f t="shared" si="163"/>
        <v>http://www.prsss.ca/</v>
      </c>
      <c r="Y2604" t="s">
        <v>58</v>
      </c>
      <c r="Z2604" t="s">
        <v>58</v>
      </c>
      <c r="AA2604" t="s">
        <v>58</v>
      </c>
      <c r="AC2604" t="s">
        <v>58</v>
      </c>
      <c r="AE2604" t="s">
        <v>58</v>
      </c>
      <c r="AG2604" t="s">
        <v>63</v>
      </c>
      <c r="AH2604" s="11" t="str">
        <f t="shared" si="161"/>
        <v>mailto: soilterrain@victoria1.gov.bc.ca</v>
      </c>
    </row>
    <row r="2605" spans="1:34">
      <c r="A2605" t="s">
        <v>5839</v>
      </c>
      <c r="B2605" t="s">
        <v>56</v>
      </c>
      <c r="C2605" s="10" t="s">
        <v>5530</v>
      </c>
      <c r="D2605" t="s">
        <v>58</v>
      </c>
      <c r="E2605" t="s">
        <v>2952</v>
      </c>
      <c r="F2605" t="s">
        <v>5840</v>
      </c>
      <c r="G2605">
        <v>25000</v>
      </c>
      <c r="H2605">
        <v>1979</v>
      </c>
      <c r="I2605" t="s">
        <v>5634</v>
      </c>
      <c r="J2605" t="s">
        <v>58</v>
      </c>
      <c r="K2605" t="s">
        <v>58</v>
      </c>
      <c r="L2605" t="s">
        <v>58</v>
      </c>
      <c r="M2605" t="s">
        <v>58</v>
      </c>
      <c r="P2605" t="s">
        <v>61</v>
      </c>
      <c r="Q2605" t="s">
        <v>58</v>
      </c>
      <c r="R2605" s="11" t="str">
        <f>HYPERLINK("\\imagefiles.bcgov\imagery\scanned_maps\moe_terrain_maps\Scanned_T_maps_all\R07\R07-1597","\\imagefiles.bcgov\imagery\scanned_maps\moe_terrain_maps\Scanned_T_maps_all\R07\R07-1597")</f>
        <v>\\imagefiles.bcgov\imagery\scanned_maps\moe_terrain_maps\Scanned_T_maps_all\R07\R07-1597</v>
      </c>
      <c r="S2605" t="s">
        <v>62</v>
      </c>
      <c r="T2605" s="11" t="str">
        <f>HYPERLINK("http://www.env.gov.bc.ca/esd/distdata/ecosystems/TEI_Scanned_Maps/R07/R07-1597","http://www.env.gov.bc.ca/esd/distdata/ecosystems/TEI_Scanned_Maps/R07/R07-1597")</f>
        <v>http://www.env.gov.bc.ca/esd/distdata/ecosystems/TEI_Scanned_Maps/R07/R07-1597</v>
      </c>
      <c r="U2605" t="s">
        <v>269</v>
      </c>
      <c r="V2605" s="11" t="str">
        <f t="shared" si="162"/>
        <v>http://www.library.for.gov.bc.ca/#focus</v>
      </c>
      <c r="W2605" t="s">
        <v>3053</v>
      </c>
      <c r="X2605" s="11" t="str">
        <f t="shared" si="163"/>
        <v>http://www.prsss.ca/</v>
      </c>
      <c r="Y2605" t="s">
        <v>58</v>
      </c>
      <c r="Z2605" t="s">
        <v>58</v>
      </c>
      <c r="AA2605" t="s">
        <v>58</v>
      </c>
      <c r="AC2605" t="s">
        <v>58</v>
      </c>
      <c r="AE2605" t="s">
        <v>58</v>
      </c>
      <c r="AG2605" t="s">
        <v>63</v>
      </c>
      <c r="AH2605" s="11" t="str">
        <f t="shared" si="161"/>
        <v>mailto: soilterrain@victoria1.gov.bc.ca</v>
      </c>
    </row>
    <row r="2606" spans="1:34">
      <c r="A2606" t="s">
        <v>5841</v>
      </c>
      <c r="B2606" t="s">
        <v>56</v>
      </c>
      <c r="C2606" s="10" t="s">
        <v>5533</v>
      </c>
      <c r="D2606" t="s">
        <v>58</v>
      </c>
      <c r="E2606" t="s">
        <v>2952</v>
      </c>
      <c r="F2606" t="s">
        <v>5842</v>
      </c>
      <c r="G2606">
        <v>25000</v>
      </c>
      <c r="H2606">
        <v>1979</v>
      </c>
      <c r="I2606" t="s">
        <v>5634</v>
      </c>
      <c r="J2606" t="s">
        <v>58</v>
      </c>
      <c r="K2606" t="s">
        <v>58</v>
      </c>
      <c r="L2606" t="s">
        <v>58</v>
      </c>
      <c r="M2606" t="s">
        <v>58</v>
      </c>
      <c r="P2606" t="s">
        <v>61</v>
      </c>
      <c r="Q2606" t="s">
        <v>58</v>
      </c>
      <c r="R2606" s="11" t="str">
        <f>HYPERLINK("\\imagefiles.bcgov\imagery\scanned_maps\moe_terrain_maps\Scanned_T_maps_all\R07\R07-1612","\\imagefiles.bcgov\imagery\scanned_maps\moe_terrain_maps\Scanned_T_maps_all\R07\R07-1612")</f>
        <v>\\imagefiles.bcgov\imagery\scanned_maps\moe_terrain_maps\Scanned_T_maps_all\R07\R07-1612</v>
      </c>
      <c r="S2606" t="s">
        <v>62</v>
      </c>
      <c r="T2606" s="11" t="str">
        <f>HYPERLINK("http://www.env.gov.bc.ca/esd/distdata/ecosystems/TEI_Scanned_Maps/R07/R07-1612","http://www.env.gov.bc.ca/esd/distdata/ecosystems/TEI_Scanned_Maps/R07/R07-1612")</f>
        <v>http://www.env.gov.bc.ca/esd/distdata/ecosystems/TEI_Scanned_Maps/R07/R07-1612</v>
      </c>
      <c r="U2606" t="s">
        <v>269</v>
      </c>
      <c r="V2606" s="11" t="str">
        <f t="shared" si="162"/>
        <v>http://www.library.for.gov.bc.ca/#focus</v>
      </c>
      <c r="W2606" t="s">
        <v>3053</v>
      </c>
      <c r="X2606" s="11" t="str">
        <f t="shared" si="163"/>
        <v>http://www.prsss.ca/</v>
      </c>
      <c r="Y2606" t="s">
        <v>58</v>
      </c>
      <c r="Z2606" t="s">
        <v>58</v>
      </c>
      <c r="AA2606" t="s">
        <v>58</v>
      </c>
      <c r="AC2606" t="s">
        <v>58</v>
      </c>
      <c r="AE2606" t="s">
        <v>58</v>
      </c>
      <c r="AG2606" t="s">
        <v>63</v>
      </c>
      <c r="AH2606" s="11" t="str">
        <f t="shared" si="161"/>
        <v>mailto: soilterrain@victoria1.gov.bc.ca</v>
      </c>
    </row>
    <row r="2607" spans="1:34">
      <c r="A2607" t="s">
        <v>5843</v>
      </c>
      <c r="B2607" t="s">
        <v>56</v>
      </c>
      <c r="C2607" s="10" t="s">
        <v>5536</v>
      </c>
      <c r="D2607" t="s">
        <v>58</v>
      </c>
      <c r="E2607" t="s">
        <v>2952</v>
      </c>
      <c r="F2607" t="s">
        <v>5844</v>
      </c>
      <c r="G2607">
        <v>25000</v>
      </c>
      <c r="H2607">
        <v>1981</v>
      </c>
      <c r="I2607" t="s">
        <v>5634</v>
      </c>
      <c r="J2607" t="s">
        <v>58</v>
      </c>
      <c r="K2607" t="s">
        <v>58</v>
      </c>
      <c r="L2607" t="s">
        <v>58</v>
      </c>
      <c r="M2607" t="s">
        <v>58</v>
      </c>
      <c r="P2607" t="s">
        <v>61</v>
      </c>
      <c r="Q2607" t="s">
        <v>58</v>
      </c>
      <c r="R2607" s="11" t="str">
        <f>HYPERLINK("\\imagefiles.bcgov\imagery\scanned_maps\moe_terrain_maps\Scanned_T_maps_all\R07\R07-1617","\\imagefiles.bcgov\imagery\scanned_maps\moe_terrain_maps\Scanned_T_maps_all\R07\R07-1617")</f>
        <v>\\imagefiles.bcgov\imagery\scanned_maps\moe_terrain_maps\Scanned_T_maps_all\R07\R07-1617</v>
      </c>
      <c r="S2607" t="s">
        <v>62</v>
      </c>
      <c r="T2607" s="11" t="str">
        <f>HYPERLINK("http://www.env.gov.bc.ca/esd/distdata/ecosystems/TEI_Scanned_Maps/R07/R07-1617","http://www.env.gov.bc.ca/esd/distdata/ecosystems/TEI_Scanned_Maps/R07/R07-1617")</f>
        <v>http://www.env.gov.bc.ca/esd/distdata/ecosystems/TEI_Scanned_Maps/R07/R07-1617</v>
      </c>
      <c r="U2607" t="s">
        <v>269</v>
      </c>
      <c r="V2607" s="11" t="str">
        <f t="shared" si="162"/>
        <v>http://www.library.for.gov.bc.ca/#focus</v>
      </c>
      <c r="W2607" t="s">
        <v>3053</v>
      </c>
      <c r="X2607" s="11" t="str">
        <f t="shared" si="163"/>
        <v>http://www.prsss.ca/</v>
      </c>
      <c r="Y2607" t="s">
        <v>58</v>
      </c>
      <c r="Z2607" t="s">
        <v>58</v>
      </c>
      <c r="AA2607" t="s">
        <v>58</v>
      </c>
      <c r="AC2607" t="s">
        <v>58</v>
      </c>
      <c r="AE2607" t="s">
        <v>58</v>
      </c>
      <c r="AG2607" t="s">
        <v>63</v>
      </c>
      <c r="AH2607" s="11" t="str">
        <f t="shared" si="161"/>
        <v>mailto: soilterrain@victoria1.gov.bc.ca</v>
      </c>
    </row>
    <row r="2608" spans="1:34">
      <c r="A2608" t="s">
        <v>5845</v>
      </c>
      <c r="B2608" t="s">
        <v>56</v>
      </c>
      <c r="C2608" s="10" t="s">
        <v>5567</v>
      </c>
      <c r="D2608" t="s">
        <v>58</v>
      </c>
      <c r="E2608" t="s">
        <v>2952</v>
      </c>
      <c r="F2608" t="s">
        <v>5810</v>
      </c>
      <c r="G2608">
        <v>25000</v>
      </c>
      <c r="H2608">
        <v>1974</v>
      </c>
      <c r="I2608" t="s">
        <v>5634</v>
      </c>
      <c r="J2608" t="s">
        <v>58</v>
      </c>
      <c r="K2608" t="s">
        <v>58</v>
      </c>
      <c r="L2608" t="s">
        <v>58</v>
      </c>
      <c r="M2608" t="s">
        <v>58</v>
      </c>
      <c r="P2608" t="s">
        <v>61</v>
      </c>
      <c r="Q2608" t="s">
        <v>58</v>
      </c>
      <c r="R2608" s="11" t="str">
        <f>HYPERLINK("\\imagefiles.bcgov\imagery\scanned_maps\moe_terrain_maps\Scanned_T_maps_all\R07\R07-1624","\\imagefiles.bcgov\imagery\scanned_maps\moe_terrain_maps\Scanned_T_maps_all\R07\R07-1624")</f>
        <v>\\imagefiles.bcgov\imagery\scanned_maps\moe_terrain_maps\Scanned_T_maps_all\R07\R07-1624</v>
      </c>
      <c r="S2608" t="s">
        <v>62</v>
      </c>
      <c r="T2608" s="11" t="str">
        <f>HYPERLINK("http://www.env.gov.bc.ca/esd/distdata/ecosystems/TEI_Scanned_Maps/R07/R07-1624","http://www.env.gov.bc.ca/esd/distdata/ecosystems/TEI_Scanned_Maps/R07/R07-1624")</f>
        <v>http://www.env.gov.bc.ca/esd/distdata/ecosystems/TEI_Scanned_Maps/R07/R07-1624</v>
      </c>
      <c r="U2608" t="s">
        <v>269</v>
      </c>
      <c r="V2608" s="11" t="str">
        <f t="shared" si="162"/>
        <v>http://www.library.for.gov.bc.ca/#focus</v>
      </c>
      <c r="W2608" t="s">
        <v>3053</v>
      </c>
      <c r="X2608" s="11" t="str">
        <f t="shared" si="163"/>
        <v>http://www.prsss.ca/</v>
      </c>
      <c r="Y2608" t="s">
        <v>58</v>
      </c>
      <c r="Z2608" t="s">
        <v>58</v>
      </c>
      <c r="AA2608" t="s">
        <v>58</v>
      </c>
      <c r="AC2608" t="s">
        <v>58</v>
      </c>
      <c r="AE2608" t="s">
        <v>58</v>
      </c>
      <c r="AG2608" t="s">
        <v>63</v>
      </c>
      <c r="AH2608" s="11" t="str">
        <f t="shared" si="161"/>
        <v>mailto: soilterrain@victoria1.gov.bc.ca</v>
      </c>
    </row>
    <row r="2609" spans="1:34">
      <c r="A2609" t="s">
        <v>5846</v>
      </c>
      <c r="B2609" t="s">
        <v>56</v>
      </c>
      <c r="C2609" s="10" t="s">
        <v>5780</v>
      </c>
      <c r="D2609" t="s">
        <v>58</v>
      </c>
      <c r="E2609" t="s">
        <v>2952</v>
      </c>
      <c r="F2609" t="s">
        <v>5810</v>
      </c>
      <c r="G2609">
        <v>25000</v>
      </c>
      <c r="H2609">
        <v>1974</v>
      </c>
      <c r="I2609" t="s">
        <v>5847</v>
      </c>
      <c r="J2609" t="s">
        <v>58</v>
      </c>
      <c r="K2609" t="s">
        <v>58</v>
      </c>
      <c r="L2609" t="s">
        <v>58</v>
      </c>
      <c r="M2609" t="s">
        <v>58</v>
      </c>
      <c r="P2609" t="s">
        <v>61</v>
      </c>
      <c r="Q2609" t="s">
        <v>58</v>
      </c>
      <c r="R2609" s="11" t="str">
        <f>HYPERLINK("\\imagefiles.bcgov\imagery\scanned_maps\moe_terrain_maps\Scanned_T_maps_all\R07\R07-1670","\\imagefiles.bcgov\imagery\scanned_maps\moe_terrain_maps\Scanned_T_maps_all\R07\R07-1670")</f>
        <v>\\imagefiles.bcgov\imagery\scanned_maps\moe_terrain_maps\Scanned_T_maps_all\R07\R07-1670</v>
      </c>
      <c r="S2609" t="s">
        <v>62</v>
      </c>
      <c r="T2609" s="11" t="str">
        <f>HYPERLINK("http://www.env.gov.bc.ca/esd/distdata/ecosystems/TEI_Scanned_Maps/R07/R07-1670","http://www.env.gov.bc.ca/esd/distdata/ecosystems/TEI_Scanned_Maps/R07/R07-1670")</f>
        <v>http://www.env.gov.bc.ca/esd/distdata/ecosystems/TEI_Scanned_Maps/R07/R07-1670</v>
      </c>
      <c r="U2609" t="s">
        <v>269</v>
      </c>
      <c r="V2609" s="11" t="str">
        <f t="shared" si="162"/>
        <v>http://www.library.for.gov.bc.ca/#focus</v>
      </c>
      <c r="W2609" t="s">
        <v>58</v>
      </c>
      <c r="X2609" t="s">
        <v>58</v>
      </c>
      <c r="Y2609" t="s">
        <v>58</v>
      </c>
      <c r="Z2609" t="s">
        <v>58</v>
      </c>
      <c r="AA2609" t="s">
        <v>58</v>
      </c>
      <c r="AC2609" t="s">
        <v>58</v>
      </c>
      <c r="AE2609" t="s">
        <v>58</v>
      </c>
      <c r="AG2609" t="s">
        <v>63</v>
      </c>
      <c r="AH2609" s="11" t="str">
        <f t="shared" si="161"/>
        <v>mailto: soilterrain@victoria1.gov.bc.ca</v>
      </c>
    </row>
    <row r="2610" spans="1:34">
      <c r="A2610" t="s">
        <v>5848</v>
      </c>
      <c r="B2610" t="s">
        <v>56</v>
      </c>
      <c r="C2610" s="10" t="s">
        <v>5539</v>
      </c>
      <c r="D2610" t="s">
        <v>58</v>
      </c>
      <c r="E2610" t="s">
        <v>2952</v>
      </c>
      <c r="F2610" t="s">
        <v>5849</v>
      </c>
      <c r="G2610">
        <v>25000</v>
      </c>
      <c r="H2610">
        <v>1976</v>
      </c>
      <c r="I2610" t="s">
        <v>5847</v>
      </c>
      <c r="J2610" t="s">
        <v>58</v>
      </c>
      <c r="K2610" t="s">
        <v>58</v>
      </c>
      <c r="L2610" t="s">
        <v>58</v>
      </c>
      <c r="M2610" t="s">
        <v>58</v>
      </c>
      <c r="P2610" t="s">
        <v>61</v>
      </c>
      <c r="Q2610" t="s">
        <v>58</v>
      </c>
      <c r="R2610" s="11" t="str">
        <f>HYPERLINK("\\imagefiles.bcgov\imagery\scanned_maps\moe_terrain_maps\Scanned_T_maps_all\R07\R07-1674","\\imagefiles.bcgov\imagery\scanned_maps\moe_terrain_maps\Scanned_T_maps_all\R07\R07-1674")</f>
        <v>\\imagefiles.bcgov\imagery\scanned_maps\moe_terrain_maps\Scanned_T_maps_all\R07\R07-1674</v>
      </c>
      <c r="S2610" t="s">
        <v>62</v>
      </c>
      <c r="T2610" s="11" t="str">
        <f>HYPERLINK("http://www.env.gov.bc.ca/esd/distdata/ecosystems/TEI_Scanned_Maps/R07/R07-1674","http://www.env.gov.bc.ca/esd/distdata/ecosystems/TEI_Scanned_Maps/R07/R07-1674")</f>
        <v>http://www.env.gov.bc.ca/esd/distdata/ecosystems/TEI_Scanned_Maps/R07/R07-1674</v>
      </c>
      <c r="U2610" t="s">
        <v>269</v>
      </c>
      <c r="V2610" s="11" t="str">
        <f t="shared" si="162"/>
        <v>http://www.library.for.gov.bc.ca/#focus</v>
      </c>
      <c r="W2610" t="s">
        <v>58</v>
      </c>
      <c r="X2610" t="s">
        <v>58</v>
      </c>
      <c r="Y2610" t="s">
        <v>58</v>
      </c>
      <c r="Z2610" t="s">
        <v>58</v>
      </c>
      <c r="AA2610" t="s">
        <v>58</v>
      </c>
      <c r="AC2610" t="s">
        <v>58</v>
      </c>
      <c r="AE2610" t="s">
        <v>58</v>
      </c>
      <c r="AG2610" t="s">
        <v>63</v>
      </c>
      <c r="AH2610" s="11" t="str">
        <f t="shared" si="161"/>
        <v>mailto: soilterrain@victoria1.gov.bc.ca</v>
      </c>
    </row>
    <row r="2611" spans="1:34">
      <c r="A2611" t="s">
        <v>5850</v>
      </c>
      <c r="B2611" t="s">
        <v>56</v>
      </c>
      <c r="C2611" s="10" t="s">
        <v>5542</v>
      </c>
      <c r="D2611" t="s">
        <v>58</v>
      </c>
      <c r="E2611" t="s">
        <v>2952</v>
      </c>
      <c r="F2611" t="s">
        <v>5851</v>
      </c>
      <c r="G2611">
        <v>25000</v>
      </c>
      <c r="H2611">
        <v>1970</v>
      </c>
      <c r="I2611" t="s">
        <v>5847</v>
      </c>
      <c r="J2611" t="s">
        <v>58</v>
      </c>
      <c r="K2611" t="s">
        <v>58</v>
      </c>
      <c r="L2611" t="s">
        <v>58</v>
      </c>
      <c r="M2611" t="s">
        <v>58</v>
      </c>
      <c r="P2611" t="s">
        <v>61</v>
      </c>
      <c r="Q2611" t="s">
        <v>58</v>
      </c>
      <c r="R2611" s="11" t="str">
        <f>HYPERLINK("\\imagefiles.bcgov\imagery\scanned_maps\moe_terrain_maps\Scanned_T_maps_all\R07\R07-1678","\\imagefiles.bcgov\imagery\scanned_maps\moe_terrain_maps\Scanned_T_maps_all\R07\R07-1678")</f>
        <v>\\imagefiles.bcgov\imagery\scanned_maps\moe_terrain_maps\Scanned_T_maps_all\R07\R07-1678</v>
      </c>
      <c r="S2611" t="s">
        <v>62</v>
      </c>
      <c r="T2611" s="11" t="str">
        <f>HYPERLINK("http://www.env.gov.bc.ca/esd/distdata/ecosystems/TEI_Scanned_Maps/R07/R07-1678","http://www.env.gov.bc.ca/esd/distdata/ecosystems/TEI_Scanned_Maps/R07/R07-1678")</f>
        <v>http://www.env.gov.bc.ca/esd/distdata/ecosystems/TEI_Scanned_Maps/R07/R07-1678</v>
      </c>
      <c r="U2611" t="s">
        <v>269</v>
      </c>
      <c r="V2611" s="11" t="str">
        <f t="shared" si="162"/>
        <v>http://www.library.for.gov.bc.ca/#focus</v>
      </c>
      <c r="W2611" t="s">
        <v>58</v>
      </c>
      <c r="X2611" t="s">
        <v>58</v>
      </c>
      <c r="Y2611" t="s">
        <v>58</v>
      </c>
      <c r="Z2611" t="s">
        <v>58</v>
      </c>
      <c r="AA2611" t="s">
        <v>58</v>
      </c>
      <c r="AC2611" t="s">
        <v>58</v>
      </c>
      <c r="AE2611" t="s">
        <v>58</v>
      </c>
      <c r="AG2611" t="s">
        <v>63</v>
      </c>
      <c r="AH2611" s="11" t="str">
        <f t="shared" si="161"/>
        <v>mailto: soilterrain@victoria1.gov.bc.ca</v>
      </c>
    </row>
    <row r="2612" spans="1:34">
      <c r="A2612" t="s">
        <v>5852</v>
      </c>
      <c r="B2612" t="s">
        <v>56</v>
      </c>
      <c r="C2612" s="10" t="s">
        <v>5545</v>
      </c>
      <c r="D2612" t="s">
        <v>58</v>
      </c>
      <c r="E2612" t="s">
        <v>2952</v>
      </c>
      <c r="F2612" t="s">
        <v>5853</v>
      </c>
      <c r="G2612">
        <v>25000</v>
      </c>
      <c r="H2612">
        <v>1980</v>
      </c>
      <c r="I2612" t="s">
        <v>5847</v>
      </c>
      <c r="J2612" t="s">
        <v>58</v>
      </c>
      <c r="K2612" t="s">
        <v>58</v>
      </c>
      <c r="L2612" t="s">
        <v>58</v>
      </c>
      <c r="M2612" t="s">
        <v>58</v>
      </c>
      <c r="P2612" t="s">
        <v>61</v>
      </c>
      <c r="Q2612" t="s">
        <v>58</v>
      </c>
      <c r="R2612" s="11" t="str">
        <f>HYPERLINK("\\imagefiles.bcgov\imagery\scanned_maps\moe_terrain_maps\Scanned_T_maps_all\R07\R07-1682","\\imagefiles.bcgov\imagery\scanned_maps\moe_terrain_maps\Scanned_T_maps_all\R07\R07-1682")</f>
        <v>\\imagefiles.bcgov\imagery\scanned_maps\moe_terrain_maps\Scanned_T_maps_all\R07\R07-1682</v>
      </c>
      <c r="S2612" t="s">
        <v>62</v>
      </c>
      <c r="T2612" s="11" t="str">
        <f>HYPERLINK("http://www.env.gov.bc.ca/esd/distdata/ecosystems/TEI_Scanned_Maps/R07/R07-1682","http://www.env.gov.bc.ca/esd/distdata/ecosystems/TEI_Scanned_Maps/R07/R07-1682")</f>
        <v>http://www.env.gov.bc.ca/esd/distdata/ecosystems/TEI_Scanned_Maps/R07/R07-1682</v>
      </c>
      <c r="U2612" t="s">
        <v>269</v>
      </c>
      <c r="V2612" s="11" t="str">
        <f t="shared" si="162"/>
        <v>http://www.library.for.gov.bc.ca/#focus</v>
      </c>
      <c r="W2612" t="s">
        <v>58</v>
      </c>
      <c r="X2612" t="s">
        <v>58</v>
      </c>
      <c r="Y2612" t="s">
        <v>58</v>
      </c>
      <c r="Z2612" t="s">
        <v>58</v>
      </c>
      <c r="AA2612" t="s">
        <v>58</v>
      </c>
      <c r="AC2612" t="s">
        <v>58</v>
      </c>
      <c r="AE2612" t="s">
        <v>58</v>
      </c>
      <c r="AG2612" t="s">
        <v>63</v>
      </c>
      <c r="AH2612" s="11" t="str">
        <f t="shared" si="161"/>
        <v>mailto: soilterrain@victoria1.gov.bc.ca</v>
      </c>
    </row>
    <row r="2613" spans="1:34">
      <c r="A2613" t="s">
        <v>5854</v>
      </c>
      <c r="B2613" t="s">
        <v>56</v>
      </c>
      <c r="C2613" s="10" t="s">
        <v>5548</v>
      </c>
      <c r="D2613" t="s">
        <v>58</v>
      </c>
      <c r="E2613" t="s">
        <v>2952</v>
      </c>
      <c r="F2613" t="s">
        <v>5855</v>
      </c>
      <c r="G2613">
        <v>25000</v>
      </c>
      <c r="H2613">
        <v>1970</v>
      </c>
      <c r="I2613" t="s">
        <v>5847</v>
      </c>
      <c r="J2613" t="s">
        <v>58</v>
      </c>
      <c r="K2613" t="s">
        <v>58</v>
      </c>
      <c r="L2613" t="s">
        <v>58</v>
      </c>
      <c r="M2613" t="s">
        <v>58</v>
      </c>
      <c r="P2613" t="s">
        <v>61</v>
      </c>
      <c r="Q2613" t="s">
        <v>58</v>
      </c>
      <c r="R2613" s="11" t="str">
        <f>HYPERLINK("\\imagefiles.bcgov\imagery\scanned_maps\moe_terrain_maps\Scanned_T_maps_all\R07\R07-1686","\\imagefiles.bcgov\imagery\scanned_maps\moe_terrain_maps\Scanned_T_maps_all\R07\R07-1686")</f>
        <v>\\imagefiles.bcgov\imagery\scanned_maps\moe_terrain_maps\Scanned_T_maps_all\R07\R07-1686</v>
      </c>
      <c r="S2613" t="s">
        <v>62</v>
      </c>
      <c r="T2613" s="11" t="str">
        <f>HYPERLINK("http://www.env.gov.bc.ca/esd/distdata/ecosystems/TEI_Scanned_Maps/R07/R07-1686","http://www.env.gov.bc.ca/esd/distdata/ecosystems/TEI_Scanned_Maps/R07/R07-1686")</f>
        <v>http://www.env.gov.bc.ca/esd/distdata/ecosystems/TEI_Scanned_Maps/R07/R07-1686</v>
      </c>
      <c r="U2613" t="s">
        <v>269</v>
      </c>
      <c r="V2613" s="11" t="str">
        <f t="shared" si="162"/>
        <v>http://www.library.for.gov.bc.ca/#focus</v>
      </c>
      <c r="W2613" t="s">
        <v>58</v>
      </c>
      <c r="X2613" t="s">
        <v>58</v>
      </c>
      <c r="Y2613" t="s">
        <v>58</v>
      </c>
      <c r="Z2613" t="s">
        <v>58</v>
      </c>
      <c r="AA2613" t="s">
        <v>58</v>
      </c>
      <c r="AC2613" t="s">
        <v>58</v>
      </c>
      <c r="AE2613" t="s">
        <v>58</v>
      </c>
      <c r="AG2613" t="s">
        <v>63</v>
      </c>
      <c r="AH2613" s="11" t="str">
        <f t="shared" si="161"/>
        <v>mailto: soilterrain@victoria1.gov.bc.ca</v>
      </c>
    </row>
    <row r="2614" spans="1:34">
      <c r="A2614" t="s">
        <v>5856</v>
      </c>
      <c r="B2614" t="s">
        <v>56</v>
      </c>
      <c r="C2614" s="10" t="s">
        <v>5551</v>
      </c>
      <c r="D2614" t="s">
        <v>58</v>
      </c>
      <c r="E2614" t="s">
        <v>2952</v>
      </c>
      <c r="F2614" t="s">
        <v>5810</v>
      </c>
      <c r="G2614">
        <v>25000</v>
      </c>
      <c r="H2614">
        <v>1980</v>
      </c>
      <c r="I2614" t="s">
        <v>5847</v>
      </c>
      <c r="J2614" t="s">
        <v>58</v>
      </c>
      <c r="K2614" t="s">
        <v>58</v>
      </c>
      <c r="L2614" t="s">
        <v>58</v>
      </c>
      <c r="M2614" t="s">
        <v>58</v>
      </c>
      <c r="P2614" t="s">
        <v>61</v>
      </c>
      <c r="Q2614" t="s">
        <v>58</v>
      </c>
      <c r="R2614" s="11" t="str">
        <f>HYPERLINK("\\imagefiles.bcgov\imagery\scanned_maps\moe_terrain_maps\Scanned_T_maps_all\R07\R07-1690","\\imagefiles.bcgov\imagery\scanned_maps\moe_terrain_maps\Scanned_T_maps_all\R07\R07-1690")</f>
        <v>\\imagefiles.bcgov\imagery\scanned_maps\moe_terrain_maps\Scanned_T_maps_all\R07\R07-1690</v>
      </c>
      <c r="S2614" t="s">
        <v>62</v>
      </c>
      <c r="T2614" s="11" t="str">
        <f>HYPERLINK("http://www.env.gov.bc.ca/esd/distdata/ecosystems/TEI_Scanned_Maps/R07/R07-1690","http://www.env.gov.bc.ca/esd/distdata/ecosystems/TEI_Scanned_Maps/R07/R07-1690")</f>
        <v>http://www.env.gov.bc.ca/esd/distdata/ecosystems/TEI_Scanned_Maps/R07/R07-1690</v>
      </c>
      <c r="U2614" t="s">
        <v>269</v>
      </c>
      <c r="V2614" s="11" t="str">
        <f t="shared" si="162"/>
        <v>http://www.library.for.gov.bc.ca/#focus</v>
      </c>
      <c r="W2614" t="s">
        <v>58</v>
      </c>
      <c r="X2614" t="s">
        <v>58</v>
      </c>
      <c r="Y2614" t="s">
        <v>58</v>
      </c>
      <c r="Z2614" t="s">
        <v>58</v>
      </c>
      <c r="AA2614" t="s">
        <v>58</v>
      </c>
      <c r="AC2614" t="s">
        <v>58</v>
      </c>
      <c r="AE2614" t="s">
        <v>58</v>
      </c>
      <c r="AG2614" t="s">
        <v>63</v>
      </c>
      <c r="AH2614" s="11" t="str">
        <f t="shared" si="161"/>
        <v>mailto: soilterrain@victoria1.gov.bc.ca</v>
      </c>
    </row>
    <row r="2615" spans="1:34">
      <c r="A2615" t="s">
        <v>5857</v>
      </c>
      <c r="B2615" t="s">
        <v>56</v>
      </c>
      <c r="C2615" s="10" t="s">
        <v>5553</v>
      </c>
      <c r="D2615" t="s">
        <v>58</v>
      </c>
      <c r="E2615" t="s">
        <v>2952</v>
      </c>
      <c r="F2615" t="s">
        <v>5810</v>
      </c>
      <c r="G2615">
        <v>25000</v>
      </c>
      <c r="H2615">
        <v>1970</v>
      </c>
      <c r="I2615" t="s">
        <v>5847</v>
      </c>
      <c r="J2615" t="s">
        <v>58</v>
      </c>
      <c r="K2615" t="s">
        <v>58</v>
      </c>
      <c r="L2615" t="s">
        <v>58</v>
      </c>
      <c r="M2615" t="s">
        <v>58</v>
      </c>
      <c r="P2615" t="s">
        <v>61</v>
      </c>
      <c r="Q2615" t="s">
        <v>58</v>
      </c>
      <c r="R2615" s="11" t="str">
        <f>HYPERLINK("\\imagefiles.bcgov\imagery\scanned_maps\moe_terrain_maps\Scanned_T_maps_all\R07\R07-1694","\\imagefiles.bcgov\imagery\scanned_maps\moe_terrain_maps\Scanned_T_maps_all\R07\R07-1694")</f>
        <v>\\imagefiles.bcgov\imagery\scanned_maps\moe_terrain_maps\Scanned_T_maps_all\R07\R07-1694</v>
      </c>
      <c r="S2615" t="s">
        <v>62</v>
      </c>
      <c r="T2615" s="11" t="str">
        <f>HYPERLINK("http://www.env.gov.bc.ca/esd/distdata/ecosystems/TEI_Scanned_Maps/R07/R07-1694","http://www.env.gov.bc.ca/esd/distdata/ecosystems/TEI_Scanned_Maps/R07/R07-1694")</f>
        <v>http://www.env.gov.bc.ca/esd/distdata/ecosystems/TEI_Scanned_Maps/R07/R07-1694</v>
      </c>
      <c r="U2615" t="s">
        <v>269</v>
      </c>
      <c r="V2615" s="11" t="str">
        <f t="shared" si="162"/>
        <v>http://www.library.for.gov.bc.ca/#focus</v>
      </c>
      <c r="W2615" t="s">
        <v>58</v>
      </c>
      <c r="X2615" t="s">
        <v>58</v>
      </c>
      <c r="Y2615" t="s">
        <v>58</v>
      </c>
      <c r="Z2615" t="s">
        <v>58</v>
      </c>
      <c r="AA2615" t="s">
        <v>58</v>
      </c>
      <c r="AC2615" t="s">
        <v>58</v>
      </c>
      <c r="AE2615" t="s">
        <v>58</v>
      </c>
      <c r="AG2615" t="s">
        <v>63</v>
      </c>
      <c r="AH2615" s="11" t="str">
        <f t="shared" si="161"/>
        <v>mailto: soilterrain@victoria1.gov.bc.ca</v>
      </c>
    </row>
    <row r="2616" spans="1:34">
      <c r="A2616" t="s">
        <v>5858</v>
      </c>
      <c r="B2616" t="s">
        <v>56</v>
      </c>
      <c r="C2616" s="10" t="s">
        <v>5555</v>
      </c>
      <c r="D2616" t="s">
        <v>58</v>
      </c>
      <c r="E2616" t="s">
        <v>2952</v>
      </c>
      <c r="F2616" t="s">
        <v>5810</v>
      </c>
      <c r="G2616">
        <v>25000</v>
      </c>
      <c r="H2616">
        <v>1980</v>
      </c>
      <c r="I2616" t="s">
        <v>5847</v>
      </c>
      <c r="J2616" t="s">
        <v>58</v>
      </c>
      <c r="K2616" t="s">
        <v>58</v>
      </c>
      <c r="L2616" t="s">
        <v>58</v>
      </c>
      <c r="M2616" t="s">
        <v>58</v>
      </c>
      <c r="P2616" t="s">
        <v>61</v>
      </c>
      <c r="Q2616" t="s">
        <v>58</v>
      </c>
      <c r="R2616" s="11" t="str">
        <f>HYPERLINK("\\imagefiles.bcgov\imagery\scanned_maps\moe_terrain_maps\Scanned_T_maps_all\R07\R07-1698","\\imagefiles.bcgov\imagery\scanned_maps\moe_terrain_maps\Scanned_T_maps_all\R07\R07-1698")</f>
        <v>\\imagefiles.bcgov\imagery\scanned_maps\moe_terrain_maps\Scanned_T_maps_all\R07\R07-1698</v>
      </c>
      <c r="S2616" t="s">
        <v>62</v>
      </c>
      <c r="T2616" s="11" t="str">
        <f>HYPERLINK("http://www.env.gov.bc.ca/esd/distdata/ecosystems/TEI_Scanned_Maps/R07/R07-1698","http://www.env.gov.bc.ca/esd/distdata/ecosystems/TEI_Scanned_Maps/R07/R07-1698")</f>
        <v>http://www.env.gov.bc.ca/esd/distdata/ecosystems/TEI_Scanned_Maps/R07/R07-1698</v>
      </c>
      <c r="U2616" t="s">
        <v>269</v>
      </c>
      <c r="V2616" s="11" t="str">
        <f t="shared" si="162"/>
        <v>http://www.library.for.gov.bc.ca/#focus</v>
      </c>
      <c r="W2616" t="s">
        <v>58</v>
      </c>
      <c r="X2616" t="s">
        <v>58</v>
      </c>
      <c r="Y2616" t="s">
        <v>58</v>
      </c>
      <c r="Z2616" t="s">
        <v>58</v>
      </c>
      <c r="AA2616" t="s">
        <v>58</v>
      </c>
      <c r="AC2616" t="s">
        <v>58</v>
      </c>
      <c r="AE2616" t="s">
        <v>58</v>
      </c>
      <c r="AG2616" t="s">
        <v>63</v>
      </c>
      <c r="AH2616" s="11" t="str">
        <f t="shared" si="161"/>
        <v>mailto: soilterrain@victoria1.gov.bc.ca</v>
      </c>
    </row>
    <row r="2617" spans="1:34">
      <c r="A2617" t="s">
        <v>5859</v>
      </c>
      <c r="B2617" t="s">
        <v>56</v>
      </c>
      <c r="C2617" s="10" t="s">
        <v>5557</v>
      </c>
      <c r="D2617" t="s">
        <v>58</v>
      </c>
      <c r="E2617" t="s">
        <v>2952</v>
      </c>
      <c r="F2617" t="s">
        <v>5810</v>
      </c>
      <c r="G2617">
        <v>25000</v>
      </c>
      <c r="H2617">
        <v>1970</v>
      </c>
      <c r="I2617" t="s">
        <v>5847</v>
      </c>
      <c r="J2617" t="s">
        <v>58</v>
      </c>
      <c r="K2617" t="s">
        <v>58</v>
      </c>
      <c r="L2617" t="s">
        <v>58</v>
      </c>
      <c r="M2617" t="s">
        <v>58</v>
      </c>
      <c r="P2617" t="s">
        <v>61</v>
      </c>
      <c r="Q2617" t="s">
        <v>58</v>
      </c>
      <c r="R2617" s="11" t="str">
        <f>HYPERLINK("\\imagefiles.bcgov\imagery\scanned_maps\moe_terrain_maps\Scanned_T_maps_all\R07\R07-1702","\\imagefiles.bcgov\imagery\scanned_maps\moe_terrain_maps\Scanned_T_maps_all\R07\R07-1702")</f>
        <v>\\imagefiles.bcgov\imagery\scanned_maps\moe_terrain_maps\Scanned_T_maps_all\R07\R07-1702</v>
      </c>
      <c r="S2617" t="s">
        <v>62</v>
      </c>
      <c r="T2617" s="11" t="str">
        <f>HYPERLINK("http://www.env.gov.bc.ca/esd/distdata/ecosystems/TEI_Scanned_Maps/R07/R07-1702","http://www.env.gov.bc.ca/esd/distdata/ecosystems/TEI_Scanned_Maps/R07/R07-1702")</f>
        <v>http://www.env.gov.bc.ca/esd/distdata/ecosystems/TEI_Scanned_Maps/R07/R07-1702</v>
      </c>
      <c r="U2617" t="s">
        <v>269</v>
      </c>
      <c r="V2617" s="11" t="str">
        <f t="shared" si="162"/>
        <v>http://www.library.for.gov.bc.ca/#focus</v>
      </c>
      <c r="W2617" t="s">
        <v>58</v>
      </c>
      <c r="X2617" t="s">
        <v>58</v>
      </c>
      <c r="Y2617" t="s">
        <v>58</v>
      </c>
      <c r="Z2617" t="s">
        <v>58</v>
      </c>
      <c r="AA2617" t="s">
        <v>58</v>
      </c>
      <c r="AC2617" t="s">
        <v>58</v>
      </c>
      <c r="AE2617" t="s">
        <v>58</v>
      </c>
      <c r="AG2617" t="s">
        <v>63</v>
      </c>
      <c r="AH2617" s="11" t="str">
        <f t="shared" si="161"/>
        <v>mailto: soilterrain@victoria1.gov.bc.ca</v>
      </c>
    </row>
    <row r="2618" spans="1:34">
      <c r="A2618" t="s">
        <v>5860</v>
      </c>
      <c r="B2618" t="s">
        <v>56</v>
      </c>
      <c r="C2618" s="10" t="s">
        <v>5559</v>
      </c>
      <c r="D2618" t="s">
        <v>58</v>
      </c>
      <c r="E2618" t="s">
        <v>2952</v>
      </c>
      <c r="F2618" t="s">
        <v>5810</v>
      </c>
      <c r="G2618">
        <v>25000</v>
      </c>
      <c r="H2618">
        <v>1980</v>
      </c>
      <c r="I2618" t="s">
        <v>5847</v>
      </c>
      <c r="J2618" t="s">
        <v>58</v>
      </c>
      <c r="K2618" t="s">
        <v>58</v>
      </c>
      <c r="L2618" t="s">
        <v>58</v>
      </c>
      <c r="M2618" t="s">
        <v>58</v>
      </c>
      <c r="P2618" t="s">
        <v>61</v>
      </c>
      <c r="Q2618" t="s">
        <v>58</v>
      </c>
      <c r="R2618" s="11" t="str">
        <f>HYPERLINK("\\imagefiles.bcgov\imagery\scanned_maps\moe_terrain_maps\Scanned_T_maps_all\R07\R07-1706","\\imagefiles.bcgov\imagery\scanned_maps\moe_terrain_maps\Scanned_T_maps_all\R07\R07-1706")</f>
        <v>\\imagefiles.bcgov\imagery\scanned_maps\moe_terrain_maps\Scanned_T_maps_all\R07\R07-1706</v>
      </c>
      <c r="S2618" t="s">
        <v>62</v>
      </c>
      <c r="T2618" s="11" t="str">
        <f>HYPERLINK("http://www.env.gov.bc.ca/esd/distdata/ecosystems/TEI_Scanned_Maps/R07/R07-1706","http://www.env.gov.bc.ca/esd/distdata/ecosystems/TEI_Scanned_Maps/R07/R07-1706")</f>
        <v>http://www.env.gov.bc.ca/esd/distdata/ecosystems/TEI_Scanned_Maps/R07/R07-1706</v>
      </c>
      <c r="U2618" t="s">
        <v>269</v>
      </c>
      <c r="V2618" s="11" t="str">
        <f t="shared" si="162"/>
        <v>http://www.library.for.gov.bc.ca/#focus</v>
      </c>
      <c r="W2618" t="s">
        <v>58</v>
      </c>
      <c r="X2618" t="s">
        <v>58</v>
      </c>
      <c r="Y2618" t="s">
        <v>58</v>
      </c>
      <c r="Z2618" t="s">
        <v>58</v>
      </c>
      <c r="AA2618" t="s">
        <v>58</v>
      </c>
      <c r="AC2618" t="s">
        <v>58</v>
      </c>
      <c r="AE2618" t="s">
        <v>58</v>
      </c>
      <c r="AG2618" t="s">
        <v>63</v>
      </c>
      <c r="AH2618" s="11" t="str">
        <f t="shared" si="161"/>
        <v>mailto: soilterrain@victoria1.gov.bc.ca</v>
      </c>
    </row>
    <row r="2619" spans="1:34">
      <c r="A2619" t="s">
        <v>5861</v>
      </c>
      <c r="B2619" t="s">
        <v>56</v>
      </c>
      <c r="C2619" s="10" t="s">
        <v>5561</v>
      </c>
      <c r="D2619" t="s">
        <v>58</v>
      </c>
      <c r="E2619" t="s">
        <v>2952</v>
      </c>
      <c r="F2619" t="s">
        <v>5810</v>
      </c>
      <c r="G2619">
        <v>25000</v>
      </c>
      <c r="H2619">
        <v>1974</v>
      </c>
      <c r="I2619" t="s">
        <v>5847</v>
      </c>
      <c r="J2619" t="s">
        <v>58</v>
      </c>
      <c r="K2619" t="s">
        <v>58</v>
      </c>
      <c r="L2619" t="s">
        <v>58</v>
      </c>
      <c r="M2619" t="s">
        <v>58</v>
      </c>
      <c r="P2619" t="s">
        <v>61</v>
      </c>
      <c r="Q2619" t="s">
        <v>58</v>
      </c>
      <c r="R2619" s="11" t="str">
        <f>HYPERLINK("\\imagefiles.bcgov\imagery\scanned_maps\moe_terrain_maps\Scanned_T_maps_all\R07\R07-1710","\\imagefiles.bcgov\imagery\scanned_maps\moe_terrain_maps\Scanned_T_maps_all\R07\R07-1710")</f>
        <v>\\imagefiles.bcgov\imagery\scanned_maps\moe_terrain_maps\Scanned_T_maps_all\R07\R07-1710</v>
      </c>
      <c r="S2619" t="s">
        <v>62</v>
      </c>
      <c r="T2619" s="11" t="str">
        <f>HYPERLINK("http://www.env.gov.bc.ca/esd/distdata/ecosystems/TEI_Scanned_Maps/R07/R07-1710","http://www.env.gov.bc.ca/esd/distdata/ecosystems/TEI_Scanned_Maps/R07/R07-1710")</f>
        <v>http://www.env.gov.bc.ca/esd/distdata/ecosystems/TEI_Scanned_Maps/R07/R07-1710</v>
      </c>
      <c r="U2619" t="s">
        <v>269</v>
      </c>
      <c r="V2619" s="11" t="str">
        <f t="shared" si="162"/>
        <v>http://www.library.for.gov.bc.ca/#focus</v>
      </c>
      <c r="W2619" t="s">
        <v>58</v>
      </c>
      <c r="X2619" t="s">
        <v>58</v>
      </c>
      <c r="Y2619" t="s">
        <v>58</v>
      </c>
      <c r="Z2619" t="s">
        <v>58</v>
      </c>
      <c r="AA2619" t="s">
        <v>58</v>
      </c>
      <c r="AC2619" t="s">
        <v>58</v>
      </c>
      <c r="AE2619" t="s">
        <v>58</v>
      </c>
      <c r="AG2619" t="s">
        <v>63</v>
      </c>
      <c r="AH2619" s="11" t="str">
        <f t="shared" si="161"/>
        <v>mailto: soilterrain@victoria1.gov.bc.ca</v>
      </c>
    </row>
    <row r="2620" spans="1:34">
      <c r="A2620" t="s">
        <v>5862</v>
      </c>
      <c r="B2620" t="s">
        <v>56</v>
      </c>
      <c r="C2620" s="10" t="s">
        <v>5563</v>
      </c>
      <c r="D2620" t="s">
        <v>58</v>
      </c>
      <c r="E2620" t="s">
        <v>2952</v>
      </c>
      <c r="F2620" t="s">
        <v>5810</v>
      </c>
      <c r="G2620">
        <v>25000</v>
      </c>
      <c r="H2620">
        <v>1980</v>
      </c>
      <c r="I2620" t="s">
        <v>5847</v>
      </c>
      <c r="J2620" t="s">
        <v>58</v>
      </c>
      <c r="K2620" t="s">
        <v>58</v>
      </c>
      <c r="L2620" t="s">
        <v>58</v>
      </c>
      <c r="M2620" t="s">
        <v>58</v>
      </c>
      <c r="P2620" t="s">
        <v>61</v>
      </c>
      <c r="Q2620" t="s">
        <v>58</v>
      </c>
      <c r="R2620" s="11" t="str">
        <f>HYPERLINK("\\imagefiles.bcgov\imagery\scanned_maps\moe_terrain_maps\Scanned_T_maps_all\R07\R07-1714","\\imagefiles.bcgov\imagery\scanned_maps\moe_terrain_maps\Scanned_T_maps_all\R07\R07-1714")</f>
        <v>\\imagefiles.bcgov\imagery\scanned_maps\moe_terrain_maps\Scanned_T_maps_all\R07\R07-1714</v>
      </c>
      <c r="S2620" t="s">
        <v>62</v>
      </c>
      <c r="T2620" s="11" t="str">
        <f>HYPERLINK("http://www.env.gov.bc.ca/esd/distdata/ecosystems/TEI_Scanned_Maps/R07/R07-1714","http://www.env.gov.bc.ca/esd/distdata/ecosystems/TEI_Scanned_Maps/R07/R07-1714")</f>
        <v>http://www.env.gov.bc.ca/esd/distdata/ecosystems/TEI_Scanned_Maps/R07/R07-1714</v>
      </c>
      <c r="U2620" t="s">
        <v>269</v>
      </c>
      <c r="V2620" s="11" t="str">
        <f t="shared" si="162"/>
        <v>http://www.library.for.gov.bc.ca/#focus</v>
      </c>
      <c r="W2620" t="s">
        <v>58</v>
      </c>
      <c r="X2620" t="s">
        <v>58</v>
      </c>
      <c r="Y2620" t="s">
        <v>58</v>
      </c>
      <c r="Z2620" t="s">
        <v>58</v>
      </c>
      <c r="AA2620" t="s">
        <v>58</v>
      </c>
      <c r="AC2620" t="s">
        <v>58</v>
      </c>
      <c r="AE2620" t="s">
        <v>58</v>
      </c>
      <c r="AG2620" t="s">
        <v>63</v>
      </c>
      <c r="AH2620" s="11" t="str">
        <f t="shared" si="161"/>
        <v>mailto: soilterrain@victoria1.gov.bc.ca</v>
      </c>
    </row>
    <row r="2621" spans="1:34">
      <c r="A2621" t="s">
        <v>5863</v>
      </c>
      <c r="B2621" t="s">
        <v>56</v>
      </c>
      <c r="C2621" s="10" t="s">
        <v>5565</v>
      </c>
      <c r="D2621" t="s">
        <v>58</v>
      </c>
      <c r="E2621" t="s">
        <v>2952</v>
      </c>
      <c r="F2621" t="s">
        <v>5810</v>
      </c>
      <c r="G2621">
        <v>25000</v>
      </c>
      <c r="H2621">
        <v>1981</v>
      </c>
      <c r="I2621" t="s">
        <v>5847</v>
      </c>
      <c r="J2621" t="s">
        <v>58</v>
      </c>
      <c r="K2621" t="s">
        <v>58</v>
      </c>
      <c r="L2621" t="s">
        <v>58</v>
      </c>
      <c r="M2621" t="s">
        <v>58</v>
      </c>
      <c r="P2621" t="s">
        <v>61</v>
      </c>
      <c r="Q2621" t="s">
        <v>58</v>
      </c>
      <c r="R2621" s="11" t="str">
        <f>HYPERLINK("\\imagefiles.bcgov\imagery\scanned_maps\moe_terrain_maps\Scanned_T_maps_all\R07\R07-1718","\\imagefiles.bcgov\imagery\scanned_maps\moe_terrain_maps\Scanned_T_maps_all\R07\R07-1718")</f>
        <v>\\imagefiles.bcgov\imagery\scanned_maps\moe_terrain_maps\Scanned_T_maps_all\R07\R07-1718</v>
      </c>
      <c r="S2621" t="s">
        <v>62</v>
      </c>
      <c r="T2621" s="11" t="str">
        <f>HYPERLINK("http://www.env.gov.bc.ca/esd/distdata/ecosystems/TEI_Scanned_Maps/R07/R07-1718","http://www.env.gov.bc.ca/esd/distdata/ecosystems/TEI_Scanned_Maps/R07/R07-1718")</f>
        <v>http://www.env.gov.bc.ca/esd/distdata/ecosystems/TEI_Scanned_Maps/R07/R07-1718</v>
      </c>
      <c r="U2621" t="s">
        <v>269</v>
      </c>
      <c r="V2621" s="11" t="str">
        <f t="shared" si="162"/>
        <v>http://www.library.for.gov.bc.ca/#focus</v>
      </c>
      <c r="W2621" t="s">
        <v>58</v>
      </c>
      <c r="X2621" t="s">
        <v>58</v>
      </c>
      <c r="Y2621" t="s">
        <v>58</v>
      </c>
      <c r="Z2621" t="s">
        <v>58</v>
      </c>
      <c r="AA2621" t="s">
        <v>58</v>
      </c>
      <c r="AC2621" t="s">
        <v>58</v>
      </c>
      <c r="AE2621" t="s">
        <v>58</v>
      </c>
      <c r="AG2621" t="s">
        <v>63</v>
      </c>
      <c r="AH2621" s="11" t="str">
        <f t="shared" si="161"/>
        <v>mailto: soilterrain@victoria1.gov.bc.ca</v>
      </c>
    </row>
    <row r="2622" spans="1:34">
      <c r="A2622" t="s">
        <v>5864</v>
      </c>
      <c r="B2622" t="s">
        <v>56</v>
      </c>
      <c r="C2622" s="10" t="s">
        <v>5388</v>
      </c>
      <c r="D2622" t="s">
        <v>61</v>
      </c>
      <c r="E2622" t="s">
        <v>2952</v>
      </c>
      <c r="F2622" t="s">
        <v>5646</v>
      </c>
      <c r="G2622">
        <v>20000</v>
      </c>
      <c r="H2622">
        <v>1987</v>
      </c>
      <c r="I2622" t="s">
        <v>58</v>
      </c>
      <c r="J2622" t="s">
        <v>58</v>
      </c>
      <c r="K2622" t="s">
        <v>58</v>
      </c>
      <c r="L2622" t="s">
        <v>58</v>
      </c>
      <c r="M2622" t="s">
        <v>58</v>
      </c>
      <c r="P2622" t="s">
        <v>61</v>
      </c>
      <c r="Q2622" t="s">
        <v>58</v>
      </c>
      <c r="R2622" s="11" t="str">
        <f>HYPERLINK("\\imagefiles.bcgov\imagery\scanned_maps\moe_terrain_maps\Scanned_T_maps_all\R08\R08-159","\\imagefiles.bcgov\imagery\scanned_maps\moe_terrain_maps\Scanned_T_maps_all\R08\R08-159")</f>
        <v>\\imagefiles.bcgov\imagery\scanned_maps\moe_terrain_maps\Scanned_T_maps_all\R08\R08-159</v>
      </c>
      <c r="S2622" t="s">
        <v>62</v>
      </c>
      <c r="T2622" s="11" t="str">
        <f>HYPERLINK("http://www.env.gov.bc.ca/esd/distdata/ecosystems/TEI_Scanned_Maps/R08/R08-159","http://www.env.gov.bc.ca/esd/distdata/ecosystems/TEI_Scanned_Maps/R08/R08-159")</f>
        <v>http://www.env.gov.bc.ca/esd/distdata/ecosystems/TEI_Scanned_Maps/R08/R08-159</v>
      </c>
      <c r="U2622" t="s">
        <v>58</v>
      </c>
      <c r="V2622" t="s">
        <v>58</v>
      </c>
      <c r="W2622" t="s">
        <v>58</v>
      </c>
      <c r="X2622" t="s">
        <v>58</v>
      </c>
      <c r="Y2622" t="s">
        <v>58</v>
      </c>
      <c r="Z2622" t="s">
        <v>58</v>
      </c>
      <c r="AA2622" t="s">
        <v>58</v>
      </c>
      <c r="AC2622" t="s">
        <v>58</v>
      </c>
      <c r="AE2622" t="s">
        <v>58</v>
      </c>
      <c r="AG2622" t="s">
        <v>63</v>
      </c>
      <c r="AH2622" s="11" t="str">
        <f t="shared" si="161"/>
        <v>mailto: soilterrain@victoria1.gov.bc.ca</v>
      </c>
    </row>
    <row r="2623" spans="1:34">
      <c r="A2623" t="s">
        <v>5865</v>
      </c>
      <c r="B2623" t="s">
        <v>56</v>
      </c>
      <c r="C2623" s="10" t="s">
        <v>4682</v>
      </c>
      <c r="D2623" t="s">
        <v>61</v>
      </c>
      <c r="E2623" t="s">
        <v>2952</v>
      </c>
      <c r="F2623" t="s">
        <v>5646</v>
      </c>
      <c r="G2623">
        <v>20000</v>
      </c>
      <c r="H2623">
        <v>1987</v>
      </c>
      <c r="I2623" t="s">
        <v>58</v>
      </c>
      <c r="J2623" t="s">
        <v>58</v>
      </c>
      <c r="K2623" t="s">
        <v>58</v>
      </c>
      <c r="L2623" t="s">
        <v>58</v>
      </c>
      <c r="M2623" t="s">
        <v>58</v>
      </c>
      <c r="P2623" t="s">
        <v>61</v>
      </c>
      <c r="Q2623" t="s">
        <v>58</v>
      </c>
      <c r="R2623" s="11" t="str">
        <f>HYPERLINK("\\imagefiles.bcgov\imagery\scanned_maps\moe_terrain_maps\Scanned_T_maps_all\R08\R08-178","\\imagefiles.bcgov\imagery\scanned_maps\moe_terrain_maps\Scanned_T_maps_all\R08\R08-178")</f>
        <v>\\imagefiles.bcgov\imagery\scanned_maps\moe_terrain_maps\Scanned_T_maps_all\R08\R08-178</v>
      </c>
      <c r="S2623" t="s">
        <v>62</v>
      </c>
      <c r="T2623" s="11" t="str">
        <f>HYPERLINK("http://www.env.gov.bc.ca/esd/distdata/ecosystems/TEI_Scanned_Maps/R08/R08-178","http://www.env.gov.bc.ca/esd/distdata/ecosystems/TEI_Scanned_Maps/R08/R08-178")</f>
        <v>http://www.env.gov.bc.ca/esd/distdata/ecosystems/TEI_Scanned_Maps/R08/R08-178</v>
      </c>
      <c r="U2623" t="s">
        <v>58</v>
      </c>
      <c r="V2623" t="s">
        <v>58</v>
      </c>
      <c r="W2623" t="s">
        <v>58</v>
      </c>
      <c r="X2623" t="s">
        <v>58</v>
      </c>
      <c r="Y2623" t="s">
        <v>58</v>
      </c>
      <c r="Z2623" t="s">
        <v>58</v>
      </c>
      <c r="AA2623" t="s">
        <v>58</v>
      </c>
      <c r="AC2623" t="s">
        <v>58</v>
      </c>
      <c r="AE2623" t="s">
        <v>58</v>
      </c>
      <c r="AG2623" t="s">
        <v>63</v>
      </c>
      <c r="AH2623" s="11" t="str">
        <f t="shared" si="161"/>
        <v>mailto: soilterrain@victoria1.gov.bc.ca</v>
      </c>
    </row>
    <row r="2624" spans="1:34">
      <c r="A2624" t="s">
        <v>5866</v>
      </c>
      <c r="B2624" t="s">
        <v>56</v>
      </c>
      <c r="C2624" s="10" t="s">
        <v>5399</v>
      </c>
      <c r="D2624" t="s">
        <v>61</v>
      </c>
      <c r="E2624" t="s">
        <v>2952</v>
      </c>
      <c r="F2624" t="s">
        <v>5646</v>
      </c>
      <c r="G2624">
        <v>20000</v>
      </c>
      <c r="H2624">
        <v>1987</v>
      </c>
      <c r="I2624" t="s">
        <v>58</v>
      </c>
      <c r="J2624" t="s">
        <v>58</v>
      </c>
      <c r="K2624" t="s">
        <v>58</v>
      </c>
      <c r="L2624" t="s">
        <v>58</v>
      </c>
      <c r="M2624" t="s">
        <v>58</v>
      </c>
      <c r="P2624" t="s">
        <v>61</v>
      </c>
      <c r="Q2624" t="s">
        <v>58</v>
      </c>
      <c r="R2624" s="11" t="str">
        <f>HYPERLINK("\\imagefiles.bcgov\imagery\scanned_maps\moe_terrain_maps\Scanned_T_maps_all\R08\R08-197","\\imagefiles.bcgov\imagery\scanned_maps\moe_terrain_maps\Scanned_T_maps_all\R08\R08-197")</f>
        <v>\\imagefiles.bcgov\imagery\scanned_maps\moe_terrain_maps\Scanned_T_maps_all\R08\R08-197</v>
      </c>
      <c r="S2624" t="s">
        <v>62</v>
      </c>
      <c r="T2624" s="11" t="str">
        <f>HYPERLINK("http://www.env.gov.bc.ca/esd/distdata/ecosystems/TEI_Scanned_Maps/R08/R08-197","http://www.env.gov.bc.ca/esd/distdata/ecosystems/TEI_Scanned_Maps/R08/R08-197")</f>
        <v>http://www.env.gov.bc.ca/esd/distdata/ecosystems/TEI_Scanned_Maps/R08/R08-197</v>
      </c>
      <c r="U2624" t="s">
        <v>58</v>
      </c>
      <c r="V2624" t="s">
        <v>58</v>
      </c>
      <c r="W2624" t="s">
        <v>58</v>
      </c>
      <c r="X2624" t="s">
        <v>58</v>
      </c>
      <c r="Y2624" t="s">
        <v>58</v>
      </c>
      <c r="Z2624" t="s">
        <v>58</v>
      </c>
      <c r="AA2624" t="s">
        <v>58</v>
      </c>
      <c r="AC2624" t="s">
        <v>58</v>
      </c>
      <c r="AE2624" t="s">
        <v>58</v>
      </c>
      <c r="AG2624" t="s">
        <v>63</v>
      </c>
      <c r="AH2624" s="11" t="str">
        <f t="shared" si="161"/>
        <v>mailto: soilterrain@victoria1.gov.bc.ca</v>
      </c>
    </row>
    <row r="2625" spans="1:34">
      <c r="A2625" t="s">
        <v>5867</v>
      </c>
      <c r="B2625" t="s">
        <v>56</v>
      </c>
      <c r="C2625" s="10" t="s">
        <v>5403</v>
      </c>
      <c r="D2625" t="s">
        <v>61</v>
      </c>
      <c r="E2625" t="s">
        <v>2952</v>
      </c>
      <c r="F2625" t="s">
        <v>5646</v>
      </c>
      <c r="G2625">
        <v>20000</v>
      </c>
      <c r="H2625">
        <v>1987</v>
      </c>
      <c r="I2625" t="s">
        <v>58</v>
      </c>
      <c r="J2625" t="s">
        <v>58</v>
      </c>
      <c r="K2625" t="s">
        <v>58</v>
      </c>
      <c r="L2625" t="s">
        <v>58</v>
      </c>
      <c r="M2625" t="s">
        <v>58</v>
      </c>
      <c r="P2625" t="s">
        <v>61</v>
      </c>
      <c r="Q2625" t="s">
        <v>58</v>
      </c>
      <c r="R2625" s="11" t="str">
        <f>HYPERLINK("\\imagefiles.bcgov\imagery\scanned_maps\moe_terrain_maps\Scanned_T_maps_all\R08\R08-210","\\imagefiles.bcgov\imagery\scanned_maps\moe_terrain_maps\Scanned_T_maps_all\R08\R08-210")</f>
        <v>\\imagefiles.bcgov\imagery\scanned_maps\moe_terrain_maps\Scanned_T_maps_all\R08\R08-210</v>
      </c>
      <c r="S2625" t="s">
        <v>62</v>
      </c>
      <c r="T2625" s="11" t="str">
        <f>HYPERLINK("http://www.env.gov.bc.ca/esd/distdata/ecosystems/TEI_Scanned_Maps/R08/R08-210","http://www.env.gov.bc.ca/esd/distdata/ecosystems/TEI_Scanned_Maps/R08/R08-210")</f>
        <v>http://www.env.gov.bc.ca/esd/distdata/ecosystems/TEI_Scanned_Maps/R08/R08-210</v>
      </c>
      <c r="U2625" t="s">
        <v>58</v>
      </c>
      <c r="V2625" t="s">
        <v>58</v>
      </c>
      <c r="W2625" t="s">
        <v>58</v>
      </c>
      <c r="X2625" t="s">
        <v>58</v>
      </c>
      <c r="Y2625" t="s">
        <v>58</v>
      </c>
      <c r="Z2625" t="s">
        <v>58</v>
      </c>
      <c r="AA2625" t="s">
        <v>58</v>
      </c>
      <c r="AC2625" t="s">
        <v>58</v>
      </c>
      <c r="AE2625" t="s">
        <v>58</v>
      </c>
      <c r="AG2625" t="s">
        <v>63</v>
      </c>
      <c r="AH2625" s="11" t="str">
        <f t="shared" si="161"/>
        <v>mailto: soilterrain@victoria1.gov.bc.ca</v>
      </c>
    </row>
    <row r="2626" spans="1:34">
      <c r="A2626" t="s">
        <v>5868</v>
      </c>
      <c r="B2626" t="s">
        <v>56</v>
      </c>
      <c r="C2626" s="10" t="s">
        <v>5405</v>
      </c>
      <c r="D2626" t="s">
        <v>61</v>
      </c>
      <c r="E2626" t="s">
        <v>2952</v>
      </c>
      <c r="F2626" t="s">
        <v>5646</v>
      </c>
      <c r="G2626">
        <v>20000</v>
      </c>
      <c r="H2626">
        <v>1987</v>
      </c>
      <c r="I2626" t="s">
        <v>58</v>
      </c>
      <c r="J2626" t="s">
        <v>58</v>
      </c>
      <c r="K2626" t="s">
        <v>58</v>
      </c>
      <c r="L2626" t="s">
        <v>58</v>
      </c>
      <c r="M2626" t="s">
        <v>58</v>
      </c>
      <c r="P2626" t="s">
        <v>61</v>
      </c>
      <c r="Q2626" t="s">
        <v>58</v>
      </c>
      <c r="R2626" s="11" t="str">
        <f>HYPERLINK("\\imagefiles.bcgov\imagery\scanned_maps\moe_terrain_maps\Scanned_T_maps_all\R08\R08-217","\\imagefiles.bcgov\imagery\scanned_maps\moe_terrain_maps\Scanned_T_maps_all\R08\R08-217")</f>
        <v>\\imagefiles.bcgov\imagery\scanned_maps\moe_terrain_maps\Scanned_T_maps_all\R08\R08-217</v>
      </c>
      <c r="S2626" t="s">
        <v>62</v>
      </c>
      <c r="T2626" s="11" t="str">
        <f>HYPERLINK("http://www.env.gov.bc.ca/esd/distdata/ecosystems/TEI_Scanned_Maps/R08/R08-217","http://www.env.gov.bc.ca/esd/distdata/ecosystems/TEI_Scanned_Maps/R08/R08-217")</f>
        <v>http://www.env.gov.bc.ca/esd/distdata/ecosystems/TEI_Scanned_Maps/R08/R08-217</v>
      </c>
      <c r="U2626" t="s">
        <v>58</v>
      </c>
      <c r="V2626" t="s">
        <v>58</v>
      </c>
      <c r="W2626" t="s">
        <v>58</v>
      </c>
      <c r="X2626" t="s">
        <v>58</v>
      </c>
      <c r="Y2626" t="s">
        <v>58</v>
      </c>
      <c r="Z2626" t="s">
        <v>58</v>
      </c>
      <c r="AA2626" t="s">
        <v>58</v>
      </c>
      <c r="AC2626" t="s">
        <v>58</v>
      </c>
      <c r="AE2626" t="s">
        <v>58</v>
      </c>
      <c r="AG2626" t="s">
        <v>63</v>
      </c>
      <c r="AH2626" s="11" t="str">
        <f t="shared" ref="AH2626:AH2689" si="164">HYPERLINK("mailto: soilterrain@victoria1.gov.bc.ca","mailto: soilterrain@victoria1.gov.bc.ca")</f>
        <v>mailto: soilterrain@victoria1.gov.bc.ca</v>
      </c>
    </row>
    <row r="2627" spans="1:34">
      <c r="A2627" t="s">
        <v>5869</v>
      </c>
      <c r="B2627" t="s">
        <v>56</v>
      </c>
      <c r="C2627" s="10" t="s">
        <v>5407</v>
      </c>
      <c r="D2627" t="s">
        <v>61</v>
      </c>
      <c r="E2627" t="s">
        <v>2952</v>
      </c>
      <c r="F2627" t="s">
        <v>5646</v>
      </c>
      <c r="G2627">
        <v>20000</v>
      </c>
      <c r="H2627">
        <v>1987</v>
      </c>
      <c r="I2627" t="s">
        <v>58</v>
      </c>
      <c r="J2627" t="s">
        <v>58</v>
      </c>
      <c r="K2627" t="s">
        <v>58</v>
      </c>
      <c r="L2627" t="s">
        <v>58</v>
      </c>
      <c r="M2627" t="s">
        <v>58</v>
      </c>
      <c r="P2627" t="s">
        <v>61</v>
      </c>
      <c r="Q2627" t="s">
        <v>58</v>
      </c>
      <c r="R2627" s="11" t="str">
        <f>HYPERLINK("\\imagefiles.bcgov\imagery\scanned_maps\moe_terrain_maps\Scanned_T_maps_all\R08\R08-224","\\imagefiles.bcgov\imagery\scanned_maps\moe_terrain_maps\Scanned_T_maps_all\R08\R08-224")</f>
        <v>\\imagefiles.bcgov\imagery\scanned_maps\moe_terrain_maps\Scanned_T_maps_all\R08\R08-224</v>
      </c>
      <c r="S2627" t="s">
        <v>62</v>
      </c>
      <c r="T2627" s="11" t="str">
        <f>HYPERLINK("http://www.env.gov.bc.ca/esd/distdata/ecosystems/TEI_Scanned_Maps/R08/R08-224","http://www.env.gov.bc.ca/esd/distdata/ecosystems/TEI_Scanned_Maps/R08/R08-224")</f>
        <v>http://www.env.gov.bc.ca/esd/distdata/ecosystems/TEI_Scanned_Maps/R08/R08-224</v>
      </c>
      <c r="U2627" t="s">
        <v>58</v>
      </c>
      <c r="V2627" t="s">
        <v>58</v>
      </c>
      <c r="W2627" t="s">
        <v>58</v>
      </c>
      <c r="X2627" t="s">
        <v>58</v>
      </c>
      <c r="Y2627" t="s">
        <v>58</v>
      </c>
      <c r="Z2627" t="s">
        <v>58</v>
      </c>
      <c r="AA2627" t="s">
        <v>58</v>
      </c>
      <c r="AC2627" t="s">
        <v>58</v>
      </c>
      <c r="AE2627" t="s">
        <v>58</v>
      </c>
      <c r="AG2627" t="s">
        <v>63</v>
      </c>
      <c r="AH2627" s="11" t="str">
        <f t="shared" si="164"/>
        <v>mailto: soilterrain@victoria1.gov.bc.ca</v>
      </c>
    </row>
    <row r="2628" spans="1:34">
      <c r="A2628" t="s">
        <v>5870</v>
      </c>
      <c r="B2628" t="s">
        <v>56</v>
      </c>
      <c r="C2628" s="10" t="s">
        <v>5409</v>
      </c>
      <c r="D2628" t="s">
        <v>61</v>
      </c>
      <c r="E2628" t="s">
        <v>2952</v>
      </c>
      <c r="F2628" t="s">
        <v>5646</v>
      </c>
      <c r="G2628">
        <v>20000</v>
      </c>
      <c r="H2628">
        <v>1987</v>
      </c>
      <c r="I2628" t="s">
        <v>58</v>
      </c>
      <c r="J2628" t="s">
        <v>58</v>
      </c>
      <c r="K2628" t="s">
        <v>58</v>
      </c>
      <c r="L2628" t="s">
        <v>58</v>
      </c>
      <c r="M2628" t="s">
        <v>58</v>
      </c>
      <c r="P2628" t="s">
        <v>61</v>
      </c>
      <c r="Q2628" t="s">
        <v>58</v>
      </c>
      <c r="R2628" s="11" t="str">
        <f>HYPERLINK("\\imagefiles.bcgov\imagery\scanned_maps\moe_terrain_maps\Scanned_T_maps_all\R08\R08-231","\\imagefiles.bcgov\imagery\scanned_maps\moe_terrain_maps\Scanned_T_maps_all\R08\R08-231")</f>
        <v>\\imagefiles.bcgov\imagery\scanned_maps\moe_terrain_maps\Scanned_T_maps_all\R08\R08-231</v>
      </c>
      <c r="S2628" t="s">
        <v>62</v>
      </c>
      <c r="T2628" s="11" t="str">
        <f>HYPERLINK("http://www.env.gov.bc.ca/esd/distdata/ecosystems/TEI_Scanned_Maps/R08/R08-231","http://www.env.gov.bc.ca/esd/distdata/ecosystems/TEI_Scanned_Maps/R08/R08-231")</f>
        <v>http://www.env.gov.bc.ca/esd/distdata/ecosystems/TEI_Scanned_Maps/R08/R08-231</v>
      </c>
      <c r="U2628" t="s">
        <v>58</v>
      </c>
      <c r="V2628" t="s">
        <v>58</v>
      </c>
      <c r="W2628" t="s">
        <v>58</v>
      </c>
      <c r="X2628" t="s">
        <v>58</v>
      </c>
      <c r="Y2628" t="s">
        <v>58</v>
      </c>
      <c r="Z2628" t="s">
        <v>58</v>
      </c>
      <c r="AA2628" t="s">
        <v>58</v>
      </c>
      <c r="AC2628" t="s">
        <v>58</v>
      </c>
      <c r="AE2628" t="s">
        <v>58</v>
      </c>
      <c r="AG2628" t="s">
        <v>63</v>
      </c>
      <c r="AH2628" s="11" t="str">
        <f t="shared" si="164"/>
        <v>mailto: soilterrain@victoria1.gov.bc.ca</v>
      </c>
    </row>
    <row r="2629" spans="1:34">
      <c r="A2629" t="s">
        <v>5871</v>
      </c>
      <c r="B2629" t="s">
        <v>56</v>
      </c>
      <c r="C2629" s="10" t="s">
        <v>5411</v>
      </c>
      <c r="D2629" t="s">
        <v>61</v>
      </c>
      <c r="E2629" t="s">
        <v>2952</v>
      </c>
      <c r="F2629" t="s">
        <v>5646</v>
      </c>
      <c r="G2629">
        <v>20000</v>
      </c>
      <c r="H2629">
        <v>1987</v>
      </c>
      <c r="I2629" t="s">
        <v>58</v>
      </c>
      <c r="J2629" t="s">
        <v>58</v>
      </c>
      <c r="K2629" t="s">
        <v>58</v>
      </c>
      <c r="L2629" t="s">
        <v>58</v>
      </c>
      <c r="M2629" t="s">
        <v>58</v>
      </c>
      <c r="P2629" t="s">
        <v>61</v>
      </c>
      <c r="Q2629" t="s">
        <v>58</v>
      </c>
      <c r="R2629" s="11" t="str">
        <f>HYPERLINK("\\imagefiles.bcgov\imagery\scanned_maps\moe_terrain_maps\Scanned_T_maps_all\R08\R08-238","\\imagefiles.bcgov\imagery\scanned_maps\moe_terrain_maps\Scanned_T_maps_all\R08\R08-238")</f>
        <v>\\imagefiles.bcgov\imagery\scanned_maps\moe_terrain_maps\Scanned_T_maps_all\R08\R08-238</v>
      </c>
      <c r="S2629" t="s">
        <v>62</v>
      </c>
      <c r="T2629" s="11" t="str">
        <f>HYPERLINK("http://www.env.gov.bc.ca/esd/distdata/ecosystems/TEI_Scanned_Maps/R08/R08-238","http://www.env.gov.bc.ca/esd/distdata/ecosystems/TEI_Scanned_Maps/R08/R08-238")</f>
        <v>http://www.env.gov.bc.ca/esd/distdata/ecosystems/TEI_Scanned_Maps/R08/R08-238</v>
      </c>
      <c r="U2629" t="s">
        <v>58</v>
      </c>
      <c r="V2629" t="s">
        <v>58</v>
      </c>
      <c r="W2629" t="s">
        <v>58</v>
      </c>
      <c r="X2629" t="s">
        <v>58</v>
      </c>
      <c r="Y2629" t="s">
        <v>58</v>
      </c>
      <c r="Z2629" t="s">
        <v>58</v>
      </c>
      <c r="AA2629" t="s">
        <v>58</v>
      </c>
      <c r="AC2629" t="s">
        <v>58</v>
      </c>
      <c r="AE2629" t="s">
        <v>58</v>
      </c>
      <c r="AG2629" t="s">
        <v>63</v>
      </c>
      <c r="AH2629" s="11" t="str">
        <f t="shared" si="164"/>
        <v>mailto: soilterrain@victoria1.gov.bc.ca</v>
      </c>
    </row>
    <row r="2630" spans="1:34">
      <c r="A2630" t="s">
        <v>5872</v>
      </c>
      <c r="B2630" t="s">
        <v>56</v>
      </c>
      <c r="C2630" s="10" t="s">
        <v>5413</v>
      </c>
      <c r="D2630" t="s">
        <v>61</v>
      </c>
      <c r="E2630" t="s">
        <v>2952</v>
      </c>
      <c r="F2630" t="s">
        <v>5646</v>
      </c>
      <c r="G2630">
        <v>20000</v>
      </c>
      <c r="H2630">
        <v>1987</v>
      </c>
      <c r="I2630" t="s">
        <v>58</v>
      </c>
      <c r="J2630" t="s">
        <v>58</v>
      </c>
      <c r="K2630" t="s">
        <v>58</v>
      </c>
      <c r="L2630" t="s">
        <v>58</v>
      </c>
      <c r="M2630" t="s">
        <v>58</v>
      </c>
      <c r="P2630" t="s">
        <v>61</v>
      </c>
      <c r="Q2630" t="s">
        <v>58</v>
      </c>
      <c r="R2630" s="11" t="str">
        <f>HYPERLINK("\\imagefiles.bcgov\imagery\scanned_maps\moe_terrain_maps\Scanned_T_maps_all\R08\R08-245","\\imagefiles.bcgov\imagery\scanned_maps\moe_terrain_maps\Scanned_T_maps_all\R08\R08-245")</f>
        <v>\\imagefiles.bcgov\imagery\scanned_maps\moe_terrain_maps\Scanned_T_maps_all\R08\R08-245</v>
      </c>
      <c r="S2630" t="s">
        <v>62</v>
      </c>
      <c r="T2630" s="11" t="str">
        <f>HYPERLINK("http://www.env.gov.bc.ca/esd/distdata/ecosystems/TEI_Scanned_Maps/R08/R08-245","http://www.env.gov.bc.ca/esd/distdata/ecosystems/TEI_Scanned_Maps/R08/R08-245")</f>
        <v>http://www.env.gov.bc.ca/esd/distdata/ecosystems/TEI_Scanned_Maps/R08/R08-245</v>
      </c>
      <c r="U2630" t="s">
        <v>58</v>
      </c>
      <c r="V2630" t="s">
        <v>58</v>
      </c>
      <c r="W2630" t="s">
        <v>58</v>
      </c>
      <c r="X2630" t="s">
        <v>58</v>
      </c>
      <c r="Y2630" t="s">
        <v>58</v>
      </c>
      <c r="Z2630" t="s">
        <v>58</v>
      </c>
      <c r="AA2630" t="s">
        <v>58</v>
      </c>
      <c r="AC2630" t="s">
        <v>58</v>
      </c>
      <c r="AE2630" t="s">
        <v>58</v>
      </c>
      <c r="AG2630" t="s">
        <v>63</v>
      </c>
      <c r="AH2630" s="11" t="str">
        <f t="shared" si="164"/>
        <v>mailto: soilterrain@victoria1.gov.bc.ca</v>
      </c>
    </row>
    <row r="2631" spans="1:34">
      <c r="A2631" t="s">
        <v>5873</v>
      </c>
      <c r="B2631" t="s">
        <v>56</v>
      </c>
      <c r="C2631" s="10" t="s">
        <v>5415</v>
      </c>
      <c r="D2631" t="s">
        <v>61</v>
      </c>
      <c r="E2631" t="s">
        <v>2952</v>
      </c>
      <c r="F2631" t="s">
        <v>5646</v>
      </c>
      <c r="G2631">
        <v>20000</v>
      </c>
      <c r="H2631">
        <v>1987</v>
      </c>
      <c r="I2631" t="s">
        <v>58</v>
      </c>
      <c r="J2631" t="s">
        <v>58</v>
      </c>
      <c r="K2631" t="s">
        <v>58</v>
      </c>
      <c r="L2631" t="s">
        <v>58</v>
      </c>
      <c r="M2631" t="s">
        <v>58</v>
      </c>
      <c r="P2631" t="s">
        <v>61</v>
      </c>
      <c r="Q2631" t="s">
        <v>58</v>
      </c>
      <c r="R2631" s="11" t="str">
        <f>HYPERLINK("\\imagefiles.bcgov\imagery\scanned_maps\moe_terrain_maps\Scanned_T_maps_all\R08\R08-252","\\imagefiles.bcgov\imagery\scanned_maps\moe_terrain_maps\Scanned_T_maps_all\R08\R08-252")</f>
        <v>\\imagefiles.bcgov\imagery\scanned_maps\moe_terrain_maps\Scanned_T_maps_all\R08\R08-252</v>
      </c>
      <c r="S2631" t="s">
        <v>62</v>
      </c>
      <c r="T2631" s="11" t="str">
        <f>HYPERLINK("http://www.env.gov.bc.ca/esd/distdata/ecosystems/TEI_Scanned_Maps/R08/R08-252","http://www.env.gov.bc.ca/esd/distdata/ecosystems/TEI_Scanned_Maps/R08/R08-252")</f>
        <v>http://www.env.gov.bc.ca/esd/distdata/ecosystems/TEI_Scanned_Maps/R08/R08-252</v>
      </c>
      <c r="U2631" t="s">
        <v>58</v>
      </c>
      <c r="V2631" t="s">
        <v>58</v>
      </c>
      <c r="W2631" t="s">
        <v>58</v>
      </c>
      <c r="X2631" t="s">
        <v>58</v>
      </c>
      <c r="Y2631" t="s">
        <v>58</v>
      </c>
      <c r="Z2631" t="s">
        <v>58</v>
      </c>
      <c r="AA2631" t="s">
        <v>58</v>
      </c>
      <c r="AC2631" t="s">
        <v>58</v>
      </c>
      <c r="AE2631" t="s">
        <v>58</v>
      </c>
      <c r="AG2631" t="s">
        <v>63</v>
      </c>
      <c r="AH2631" s="11" t="str">
        <f t="shared" si="164"/>
        <v>mailto: soilterrain@victoria1.gov.bc.ca</v>
      </c>
    </row>
    <row r="2632" spans="1:34">
      <c r="A2632" t="s">
        <v>5874</v>
      </c>
      <c r="B2632" t="s">
        <v>56</v>
      </c>
      <c r="C2632" s="10" t="s">
        <v>5417</v>
      </c>
      <c r="D2632" t="s">
        <v>61</v>
      </c>
      <c r="E2632" t="s">
        <v>2952</v>
      </c>
      <c r="F2632" t="s">
        <v>5646</v>
      </c>
      <c r="G2632">
        <v>20000</v>
      </c>
      <c r="H2632">
        <v>1987</v>
      </c>
      <c r="I2632" t="s">
        <v>58</v>
      </c>
      <c r="J2632" t="s">
        <v>58</v>
      </c>
      <c r="K2632" t="s">
        <v>58</v>
      </c>
      <c r="L2632" t="s">
        <v>58</v>
      </c>
      <c r="M2632" t="s">
        <v>58</v>
      </c>
      <c r="P2632" t="s">
        <v>61</v>
      </c>
      <c r="Q2632" t="s">
        <v>58</v>
      </c>
      <c r="R2632" s="11" t="str">
        <f>HYPERLINK("\\imagefiles.bcgov\imagery\scanned_maps\moe_terrain_maps\Scanned_T_maps_all\R08\R08-259","\\imagefiles.bcgov\imagery\scanned_maps\moe_terrain_maps\Scanned_T_maps_all\R08\R08-259")</f>
        <v>\\imagefiles.bcgov\imagery\scanned_maps\moe_terrain_maps\Scanned_T_maps_all\R08\R08-259</v>
      </c>
      <c r="S2632" t="s">
        <v>62</v>
      </c>
      <c r="T2632" s="11" t="str">
        <f>HYPERLINK("http://www.env.gov.bc.ca/esd/distdata/ecosystems/TEI_Scanned_Maps/R08/R08-259","http://www.env.gov.bc.ca/esd/distdata/ecosystems/TEI_Scanned_Maps/R08/R08-259")</f>
        <v>http://www.env.gov.bc.ca/esd/distdata/ecosystems/TEI_Scanned_Maps/R08/R08-259</v>
      </c>
      <c r="U2632" t="s">
        <v>58</v>
      </c>
      <c r="V2632" t="s">
        <v>58</v>
      </c>
      <c r="W2632" t="s">
        <v>58</v>
      </c>
      <c r="X2632" t="s">
        <v>58</v>
      </c>
      <c r="Y2632" t="s">
        <v>58</v>
      </c>
      <c r="Z2632" t="s">
        <v>58</v>
      </c>
      <c r="AA2632" t="s">
        <v>58</v>
      </c>
      <c r="AC2632" t="s">
        <v>58</v>
      </c>
      <c r="AE2632" t="s">
        <v>58</v>
      </c>
      <c r="AG2632" t="s">
        <v>63</v>
      </c>
      <c r="AH2632" s="11" t="str">
        <f t="shared" si="164"/>
        <v>mailto: soilterrain@victoria1.gov.bc.ca</v>
      </c>
    </row>
    <row r="2633" spans="1:34">
      <c r="A2633" t="s">
        <v>5875</v>
      </c>
      <c r="B2633" t="s">
        <v>56</v>
      </c>
      <c r="C2633" s="10" t="s">
        <v>5419</v>
      </c>
      <c r="D2633" t="s">
        <v>61</v>
      </c>
      <c r="E2633" t="s">
        <v>2952</v>
      </c>
      <c r="F2633" t="s">
        <v>5646</v>
      </c>
      <c r="G2633">
        <v>20000</v>
      </c>
      <c r="H2633">
        <v>1987</v>
      </c>
      <c r="I2633" t="s">
        <v>58</v>
      </c>
      <c r="J2633" t="s">
        <v>58</v>
      </c>
      <c r="K2633" t="s">
        <v>58</v>
      </c>
      <c r="L2633" t="s">
        <v>58</v>
      </c>
      <c r="M2633" t="s">
        <v>58</v>
      </c>
      <c r="P2633" t="s">
        <v>61</v>
      </c>
      <c r="Q2633" t="s">
        <v>58</v>
      </c>
      <c r="R2633" s="11" t="str">
        <f>HYPERLINK("\\imagefiles.bcgov\imagery\scanned_maps\moe_terrain_maps\Scanned_T_maps_all\R08\R08-266","\\imagefiles.bcgov\imagery\scanned_maps\moe_terrain_maps\Scanned_T_maps_all\R08\R08-266")</f>
        <v>\\imagefiles.bcgov\imagery\scanned_maps\moe_terrain_maps\Scanned_T_maps_all\R08\R08-266</v>
      </c>
      <c r="S2633" t="s">
        <v>62</v>
      </c>
      <c r="T2633" s="11" t="str">
        <f>HYPERLINK("http://www.env.gov.bc.ca/esd/distdata/ecosystems/TEI_Scanned_Maps/R08/R08-266","http://www.env.gov.bc.ca/esd/distdata/ecosystems/TEI_Scanned_Maps/R08/R08-266")</f>
        <v>http://www.env.gov.bc.ca/esd/distdata/ecosystems/TEI_Scanned_Maps/R08/R08-266</v>
      </c>
      <c r="U2633" t="s">
        <v>58</v>
      </c>
      <c r="V2633" t="s">
        <v>58</v>
      </c>
      <c r="W2633" t="s">
        <v>58</v>
      </c>
      <c r="X2633" t="s">
        <v>58</v>
      </c>
      <c r="Y2633" t="s">
        <v>58</v>
      </c>
      <c r="Z2633" t="s">
        <v>58</v>
      </c>
      <c r="AA2633" t="s">
        <v>58</v>
      </c>
      <c r="AC2633" t="s">
        <v>58</v>
      </c>
      <c r="AE2633" t="s">
        <v>58</v>
      </c>
      <c r="AG2633" t="s">
        <v>63</v>
      </c>
      <c r="AH2633" s="11" t="str">
        <f t="shared" si="164"/>
        <v>mailto: soilterrain@victoria1.gov.bc.ca</v>
      </c>
    </row>
    <row r="2634" spans="1:34">
      <c r="A2634" t="s">
        <v>5876</v>
      </c>
      <c r="B2634" t="s">
        <v>56</v>
      </c>
      <c r="C2634" s="10" t="s">
        <v>5421</v>
      </c>
      <c r="D2634" t="s">
        <v>61</v>
      </c>
      <c r="E2634" t="s">
        <v>2952</v>
      </c>
      <c r="F2634" t="s">
        <v>5646</v>
      </c>
      <c r="G2634">
        <v>20000</v>
      </c>
      <c r="H2634">
        <v>1987</v>
      </c>
      <c r="I2634" t="s">
        <v>58</v>
      </c>
      <c r="J2634" t="s">
        <v>58</v>
      </c>
      <c r="K2634" t="s">
        <v>58</v>
      </c>
      <c r="L2634" t="s">
        <v>58</v>
      </c>
      <c r="M2634" t="s">
        <v>58</v>
      </c>
      <c r="P2634" t="s">
        <v>61</v>
      </c>
      <c r="Q2634" t="s">
        <v>58</v>
      </c>
      <c r="R2634" s="11" t="str">
        <f>HYPERLINK("\\imagefiles.bcgov\imagery\scanned_maps\moe_terrain_maps\Scanned_T_maps_all\R08\R08-273","\\imagefiles.bcgov\imagery\scanned_maps\moe_terrain_maps\Scanned_T_maps_all\R08\R08-273")</f>
        <v>\\imagefiles.bcgov\imagery\scanned_maps\moe_terrain_maps\Scanned_T_maps_all\R08\R08-273</v>
      </c>
      <c r="S2634" t="s">
        <v>62</v>
      </c>
      <c r="T2634" s="11" t="str">
        <f>HYPERLINK("http://www.env.gov.bc.ca/esd/distdata/ecosystems/TEI_Scanned_Maps/R08/R08-273","http://www.env.gov.bc.ca/esd/distdata/ecosystems/TEI_Scanned_Maps/R08/R08-273")</f>
        <v>http://www.env.gov.bc.ca/esd/distdata/ecosystems/TEI_Scanned_Maps/R08/R08-273</v>
      </c>
      <c r="U2634" t="s">
        <v>58</v>
      </c>
      <c r="V2634" t="s">
        <v>58</v>
      </c>
      <c r="W2634" t="s">
        <v>58</v>
      </c>
      <c r="X2634" t="s">
        <v>58</v>
      </c>
      <c r="Y2634" t="s">
        <v>58</v>
      </c>
      <c r="Z2634" t="s">
        <v>58</v>
      </c>
      <c r="AA2634" t="s">
        <v>58</v>
      </c>
      <c r="AC2634" t="s">
        <v>58</v>
      </c>
      <c r="AE2634" t="s">
        <v>58</v>
      </c>
      <c r="AG2634" t="s">
        <v>63</v>
      </c>
      <c r="AH2634" s="11" t="str">
        <f t="shared" si="164"/>
        <v>mailto: soilterrain@victoria1.gov.bc.ca</v>
      </c>
    </row>
    <row r="2635" spans="1:34">
      <c r="A2635" t="s">
        <v>5877</v>
      </c>
      <c r="B2635" t="s">
        <v>56</v>
      </c>
      <c r="C2635" s="10" t="s">
        <v>5423</v>
      </c>
      <c r="D2635" t="s">
        <v>61</v>
      </c>
      <c r="E2635" t="s">
        <v>2952</v>
      </c>
      <c r="F2635" t="s">
        <v>5646</v>
      </c>
      <c r="G2635">
        <v>20000</v>
      </c>
      <c r="H2635">
        <v>1987</v>
      </c>
      <c r="I2635" t="s">
        <v>58</v>
      </c>
      <c r="J2635" t="s">
        <v>58</v>
      </c>
      <c r="K2635" t="s">
        <v>58</v>
      </c>
      <c r="L2635" t="s">
        <v>58</v>
      </c>
      <c r="M2635" t="s">
        <v>58</v>
      </c>
      <c r="P2635" t="s">
        <v>61</v>
      </c>
      <c r="Q2635" t="s">
        <v>58</v>
      </c>
      <c r="R2635" s="11" t="str">
        <f>HYPERLINK("\\imagefiles.bcgov\imagery\scanned_maps\moe_terrain_maps\Scanned_T_maps_all\R08\R08-280","\\imagefiles.bcgov\imagery\scanned_maps\moe_terrain_maps\Scanned_T_maps_all\R08\R08-280")</f>
        <v>\\imagefiles.bcgov\imagery\scanned_maps\moe_terrain_maps\Scanned_T_maps_all\R08\R08-280</v>
      </c>
      <c r="S2635" t="s">
        <v>62</v>
      </c>
      <c r="T2635" s="11" t="str">
        <f>HYPERLINK("http://www.env.gov.bc.ca/esd/distdata/ecosystems/TEI_Scanned_Maps/R08/R08-280","http://www.env.gov.bc.ca/esd/distdata/ecosystems/TEI_Scanned_Maps/R08/R08-280")</f>
        <v>http://www.env.gov.bc.ca/esd/distdata/ecosystems/TEI_Scanned_Maps/R08/R08-280</v>
      </c>
      <c r="U2635" t="s">
        <v>58</v>
      </c>
      <c r="V2635" t="s">
        <v>58</v>
      </c>
      <c r="W2635" t="s">
        <v>58</v>
      </c>
      <c r="X2635" t="s">
        <v>58</v>
      </c>
      <c r="Y2635" t="s">
        <v>58</v>
      </c>
      <c r="Z2635" t="s">
        <v>58</v>
      </c>
      <c r="AA2635" t="s">
        <v>58</v>
      </c>
      <c r="AC2635" t="s">
        <v>58</v>
      </c>
      <c r="AE2635" t="s">
        <v>58</v>
      </c>
      <c r="AG2635" t="s">
        <v>63</v>
      </c>
      <c r="AH2635" s="11" t="str">
        <f t="shared" si="164"/>
        <v>mailto: soilterrain@victoria1.gov.bc.ca</v>
      </c>
    </row>
    <row r="2636" spans="1:34">
      <c r="A2636" t="s">
        <v>5878</v>
      </c>
      <c r="B2636" t="s">
        <v>56</v>
      </c>
      <c r="C2636" s="10" t="s">
        <v>5425</v>
      </c>
      <c r="D2636" t="s">
        <v>61</v>
      </c>
      <c r="E2636" t="s">
        <v>2952</v>
      </c>
      <c r="F2636" t="s">
        <v>5646</v>
      </c>
      <c r="G2636">
        <v>20000</v>
      </c>
      <c r="H2636">
        <v>1987</v>
      </c>
      <c r="I2636" t="s">
        <v>58</v>
      </c>
      <c r="J2636" t="s">
        <v>58</v>
      </c>
      <c r="K2636" t="s">
        <v>58</v>
      </c>
      <c r="L2636" t="s">
        <v>58</v>
      </c>
      <c r="M2636" t="s">
        <v>58</v>
      </c>
      <c r="P2636" t="s">
        <v>61</v>
      </c>
      <c r="Q2636" t="s">
        <v>58</v>
      </c>
      <c r="R2636" s="11" t="str">
        <f>HYPERLINK("\\imagefiles.bcgov\imagery\scanned_maps\moe_terrain_maps\Scanned_T_maps_all\R08\R08-287","\\imagefiles.bcgov\imagery\scanned_maps\moe_terrain_maps\Scanned_T_maps_all\R08\R08-287")</f>
        <v>\\imagefiles.bcgov\imagery\scanned_maps\moe_terrain_maps\Scanned_T_maps_all\R08\R08-287</v>
      </c>
      <c r="S2636" t="s">
        <v>62</v>
      </c>
      <c r="T2636" s="11" t="str">
        <f>HYPERLINK("http://www.env.gov.bc.ca/esd/distdata/ecosystems/TEI_Scanned_Maps/R08/R08-287","http://www.env.gov.bc.ca/esd/distdata/ecosystems/TEI_Scanned_Maps/R08/R08-287")</f>
        <v>http://www.env.gov.bc.ca/esd/distdata/ecosystems/TEI_Scanned_Maps/R08/R08-287</v>
      </c>
      <c r="U2636" t="s">
        <v>58</v>
      </c>
      <c r="V2636" t="s">
        <v>58</v>
      </c>
      <c r="W2636" t="s">
        <v>58</v>
      </c>
      <c r="X2636" t="s">
        <v>58</v>
      </c>
      <c r="Y2636" t="s">
        <v>58</v>
      </c>
      <c r="Z2636" t="s">
        <v>58</v>
      </c>
      <c r="AA2636" t="s">
        <v>58</v>
      </c>
      <c r="AC2636" t="s">
        <v>58</v>
      </c>
      <c r="AE2636" t="s">
        <v>58</v>
      </c>
      <c r="AG2636" t="s">
        <v>63</v>
      </c>
      <c r="AH2636" s="11" t="str">
        <f t="shared" si="164"/>
        <v>mailto: soilterrain@victoria1.gov.bc.ca</v>
      </c>
    </row>
    <row r="2637" spans="1:34">
      <c r="A2637" t="s">
        <v>5879</v>
      </c>
      <c r="B2637" t="s">
        <v>56</v>
      </c>
      <c r="C2637" s="10" t="s">
        <v>5427</v>
      </c>
      <c r="D2637" t="s">
        <v>61</v>
      </c>
      <c r="E2637" t="s">
        <v>2952</v>
      </c>
      <c r="F2637" t="s">
        <v>5646</v>
      </c>
      <c r="G2637">
        <v>20000</v>
      </c>
      <c r="H2637">
        <v>1987</v>
      </c>
      <c r="I2637" t="s">
        <v>58</v>
      </c>
      <c r="J2637" t="s">
        <v>58</v>
      </c>
      <c r="K2637" t="s">
        <v>58</v>
      </c>
      <c r="L2637" t="s">
        <v>58</v>
      </c>
      <c r="M2637" t="s">
        <v>58</v>
      </c>
      <c r="P2637" t="s">
        <v>61</v>
      </c>
      <c r="Q2637" t="s">
        <v>58</v>
      </c>
      <c r="R2637" s="11" t="str">
        <f>HYPERLINK("\\imagefiles.bcgov\imagery\scanned_maps\moe_terrain_maps\Scanned_T_maps_all\R08\R08-295","\\imagefiles.bcgov\imagery\scanned_maps\moe_terrain_maps\Scanned_T_maps_all\R08\R08-295")</f>
        <v>\\imagefiles.bcgov\imagery\scanned_maps\moe_terrain_maps\Scanned_T_maps_all\R08\R08-295</v>
      </c>
      <c r="S2637" t="s">
        <v>62</v>
      </c>
      <c r="T2637" s="11" t="str">
        <f>HYPERLINK("http://www.env.gov.bc.ca/esd/distdata/ecosystems/TEI_Scanned_Maps/R08/R08-295","http://www.env.gov.bc.ca/esd/distdata/ecosystems/TEI_Scanned_Maps/R08/R08-295")</f>
        <v>http://www.env.gov.bc.ca/esd/distdata/ecosystems/TEI_Scanned_Maps/R08/R08-295</v>
      </c>
      <c r="U2637" t="s">
        <v>58</v>
      </c>
      <c r="V2637" t="s">
        <v>58</v>
      </c>
      <c r="W2637" t="s">
        <v>58</v>
      </c>
      <c r="X2637" t="s">
        <v>58</v>
      </c>
      <c r="Y2637" t="s">
        <v>58</v>
      </c>
      <c r="Z2637" t="s">
        <v>58</v>
      </c>
      <c r="AA2637" t="s">
        <v>58</v>
      </c>
      <c r="AC2637" t="s">
        <v>58</v>
      </c>
      <c r="AE2637" t="s">
        <v>58</v>
      </c>
      <c r="AG2637" t="s">
        <v>63</v>
      </c>
      <c r="AH2637" s="11" t="str">
        <f t="shared" si="164"/>
        <v>mailto: soilterrain@victoria1.gov.bc.ca</v>
      </c>
    </row>
    <row r="2638" spans="1:34">
      <c r="A2638" t="s">
        <v>5880</v>
      </c>
      <c r="B2638" t="s">
        <v>56</v>
      </c>
      <c r="C2638" s="10" t="s">
        <v>4613</v>
      </c>
      <c r="D2638" t="s">
        <v>61</v>
      </c>
      <c r="E2638" t="s">
        <v>2952</v>
      </c>
      <c r="F2638" t="s">
        <v>5646</v>
      </c>
      <c r="G2638">
        <v>20000</v>
      </c>
      <c r="H2638">
        <v>1987</v>
      </c>
      <c r="I2638" t="s">
        <v>58</v>
      </c>
      <c r="J2638" t="s">
        <v>58</v>
      </c>
      <c r="K2638" t="s">
        <v>58</v>
      </c>
      <c r="L2638" t="s">
        <v>58</v>
      </c>
      <c r="M2638" t="s">
        <v>58</v>
      </c>
      <c r="P2638" t="s">
        <v>61</v>
      </c>
      <c r="Q2638" t="s">
        <v>58</v>
      </c>
      <c r="R2638" s="11" t="str">
        <f>HYPERLINK("\\imagefiles.bcgov\imagery\scanned_maps\moe_terrain_maps\Scanned_T_maps_all\R08\R08-302","\\imagefiles.bcgov\imagery\scanned_maps\moe_terrain_maps\Scanned_T_maps_all\R08\R08-302")</f>
        <v>\\imagefiles.bcgov\imagery\scanned_maps\moe_terrain_maps\Scanned_T_maps_all\R08\R08-302</v>
      </c>
      <c r="S2638" t="s">
        <v>62</v>
      </c>
      <c r="T2638" s="11" t="str">
        <f>HYPERLINK("http://www.env.gov.bc.ca/esd/distdata/ecosystems/TEI_Scanned_Maps/R08/R08-302","http://www.env.gov.bc.ca/esd/distdata/ecosystems/TEI_Scanned_Maps/R08/R08-302")</f>
        <v>http://www.env.gov.bc.ca/esd/distdata/ecosystems/TEI_Scanned_Maps/R08/R08-302</v>
      </c>
      <c r="U2638" t="s">
        <v>58</v>
      </c>
      <c r="V2638" t="s">
        <v>58</v>
      </c>
      <c r="W2638" t="s">
        <v>58</v>
      </c>
      <c r="X2638" t="s">
        <v>58</v>
      </c>
      <c r="Y2638" t="s">
        <v>58</v>
      </c>
      <c r="Z2638" t="s">
        <v>58</v>
      </c>
      <c r="AA2638" t="s">
        <v>58</v>
      </c>
      <c r="AC2638" t="s">
        <v>58</v>
      </c>
      <c r="AE2638" t="s">
        <v>58</v>
      </c>
      <c r="AG2638" t="s">
        <v>63</v>
      </c>
      <c r="AH2638" s="11" t="str">
        <f t="shared" si="164"/>
        <v>mailto: soilterrain@victoria1.gov.bc.ca</v>
      </c>
    </row>
    <row r="2639" spans="1:34">
      <c r="A2639" t="s">
        <v>5881</v>
      </c>
      <c r="B2639" t="s">
        <v>56</v>
      </c>
      <c r="C2639" s="10" t="s">
        <v>5430</v>
      </c>
      <c r="D2639" t="s">
        <v>61</v>
      </c>
      <c r="E2639" t="s">
        <v>2952</v>
      </c>
      <c r="F2639" t="s">
        <v>5646</v>
      </c>
      <c r="G2639">
        <v>20000</v>
      </c>
      <c r="H2639">
        <v>1987</v>
      </c>
      <c r="I2639" t="s">
        <v>58</v>
      </c>
      <c r="J2639" t="s">
        <v>58</v>
      </c>
      <c r="K2639" t="s">
        <v>58</v>
      </c>
      <c r="L2639" t="s">
        <v>58</v>
      </c>
      <c r="M2639" t="s">
        <v>58</v>
      </c>
      <c r="P2639" t="s">
        <v>61</v>
      </c>
      <c r="Q2639" t="s">
        <v>58</v>
      </c>
      <c r="R2639" s="11" t="str">
        <f>HYPERLINK("\\imagefiles.bcgov\imagery\scanned_maps\moe_terrain_maps\Scanned_T_maps_all\R08\R08-309","\\imagefiles.bcgov\imagery\scanned_maps\moe_terrain_maps\Scanned_T_maps_all\R08\R08-309")</f>
        <v>\\imagefiles.bcgov\imagery\scanned_maps\moe_terrain_maps\Scanned_T_maps_all\R08\R08-309</v>
      </c>
      <c r="S2639" t="s">
        <v>62</v>
      </c>
      <c r="T2639" s="11" t="str">
        <f>HYPERLINK("http://www.env.gov.bc.ca/esd/distdata/ecosystems/TEI_Scanned_Maps/R08/R08-309","http://www.env.gov.bc.ca/esd/distdata/ecosystems/TEI_Scanned_Maps/R08/R08-309")</f>
        <v>http://www.env.gov.bc.ca/esd/distdata/ecosystems/TEI_Scanned_Maps/R08/R08-309</v>
      </c>
      <c r="U2639" t="s">
        <v>58</v>
      </c>
      <c r="V2639" t="s">
        <v>58</v>
      </c>
      <c r="W2639" t="s">
        <v>58</v>
      </c>
      <c r="X2639" t="s">
        <v>58</v>
      </c>
      <c r="Y2639" t="s">
        <v>58</v>
      </c>
      <c r="Z2639" t="s">
        <v>58</v>
      </c>
      <c r="AA2639" t="s">
        <v>58</v>
      </c>
      <c r="AC2639" t="s">
        <v>58</v>
      </c>
      <c r="AE2639" t="s">
        <v>58</v>
      </c>
      <c r="AG2639" t="s">
        <v>63</v>
      </c>
      <c r="AH2639" s="11" t="str">
        <f t="shared" si="164"/>
        <v>mailto: soilterrain@victoria1.gov.bc.ca</v>
      </c>
    </row>
    <row r="2640" spans="1:34">
      <c r="A2640" t="s">
        <v>5882</v>
      </c>
      <c r="B2640" t="s">
        <v>56</v>
      </c>
      <c r="C2640" s="10" t="s">
        <v>5432</v>
      </c>
      <c r="D2640" t="s">
        <v>61</v>
      </c>
      <c r="E2640" t="s">
        <v>2952</v>
      </c>
      <c r="F2640" t="s">
        <v>5646</v>
      </c>
      <c r="G2640">
        <v>20000</v>
      </c>
      <c r="H2640">
        <v>1987</v>
      </c>
      <c r="I2640" t="s">
        <v>58</v>
      </c>
      <c r="J2640" t="s">
        <v>58</v>
      </c>
      <c r="K2640" t="s">
        <v>58</v>
      </c>
      <c r="L2640" t="s">
        <v>58</v>
      </c>
      <c r="M2640" t="s">
        <v>58</v>
      </c>
      <c r="P2640" t="s">
        <v>61</v>
      </c>
      <c r="Q2640" t="s">
        <v>58</v>
      </c>
      <c r="R2640" s="11" t="str">
        <f>HYPERLINK("\\imagefiles.bcgov\imagery\scanned_maps\moe_terrain_maps\Scanned_T_maps_all\R08\R08-652","\\imagefiles.bcgov\imagery\scanned_maps\moe_terrain_maps\Scanned_T_maps_all\R08\R08-652")</f>
        <v>\\imagefiles.bcgov\imagery\scanned_maps\moe_terrain_maps\Scanned_T_maps_all\R08\R08-652</v>
      </c>
      <c r="S2640" t="s">
        <v>62</v>
      </c>
      <c r="T2640" s="11" t="str">
        <f>HYPERLINK("http://www.env.gov.bc.ca/esd/distdata/ecosystems/TEI_Scanned_Maps/R08/R08-652","http://www.env.gov.bc.ca/esd/distdata/ecosystems/TEI_Scanned_Maps/R08/R08-652")</f>
        <v>http://www.env.gov.bc.ca/esd/distdata/ecosystems/TEI_Scanned_Maps/R08/R08-652</v>
      </c>
      <c r="U2640" t="s">
        <v>58</v>
      </c>
      <c r="V2640" t="s">
        <v>58</v>
      </c>
      <c r="W2640" t="s">
        <v>58</v>
      </c>
      <c r="X2640" t="s">
        <v>58</v>
      </c>
      <c r="Y2640" t="s">
        <v>58</v>
      </c>
      <c r="Z2640" t="s">
        <v>58</v>
      </c>
      <c r="AA2640" t="s">
        <v>58</v>
      </c>
      <c r="AC2640" t="s">
        <v>58</v>
      </c>
      <c r="AE2640" t="s">
        <v>58</v>
      </c>
      <c r="AG2640" t="s">
        <v>63</v>
      </c>
      <c r="AH2640" s="11" t="str">
        <f t="shared" si="164"/>
        <v>mailto: soilterrain@victoria1.gov.bc.ca</v>
      </c>
    </row>
    <row r="2641" spans="1:34">
      <c r="A2641" t="s">
        <v>5883</v>
      </c>
      <c r="B2641" t="s">
        <v>56</v>
      </c>
      <c r="C2641" s="10" t="s">
        <v>5440</v>
      </c>
      <c r="D2641" t="s">
        <v>61</v>
      </c>
      <c r="E2641" t="s">
        <v>2952</v>
      </c>
      <c r="F2641" t="s">
        <v>5646</v>
      </c>
      <c r="G2641">
        <v>20000</v>
      </c>
      <c r="H2641">
        <v>1987</v>
      </c>
      <c r="I2641" t="s">
        <v>58</v>
      </c>
      <c r="J2641" t="s">
        <v>58</v>
      </c>
      <c r="K2641" t="s">
        <v>58</v>
      </c>
      <c r="L2641" t="s">
        <v>58</v>
      </c>
      <c r="M2641" t="s">
        <v>58</v>
      </c>
      <c r="P2641" t="s">
        <v>61</v>
      </c>
      <c r="Q2641" t="s">
        <v>58</v>
      </c>
      <c r="R2641" s="11" t="str">
        <f>HYPERLINK("\\imagefiles.bcgov\imagery\scanned_maps\moe_terrain_maps\Scanned_T_maps_all\R08\R08-680","\\imagefiles.bcgov\imagery\scanned_maps\moe_terrain_maps\Scanned_T_maps_all\R08\R08-680")</f>
        <v>\\imagefiles.bcgov\imagery\scanned_maps\moe_terrain_maps\Scanned_T_maps_all\R08\R08-680</v>
      </c>
      <c r="S2641" t="s">
        <v>62</v>
      </c>
      <c r="T2641" s="11" t="str">
        <f>HYPERLINK("http://www.env.gov.bc.ca/esd/distdata/ecosystems/TEI_Scanned_Maps/R08/R08-680","http://www.env.gov.bc.ca/esd/distdata/ecosystems/TEI_Scanned_Maps/R08/R08-680")</f>
        <v>http://www.env.gov.bc.ca/esd/distdata/ecosystems/TEI_Scanned_Maps/R08/R08-680</v>
      </c>
      <c r="U2641" t="s">
        <v>58</v>
      </c>
      <c r="V2641" t="s">
        <v>58</v>
      </c>
      <c r="W2641" t="s">
        <v>58</v>
      </c>
      <c r="X2641" t="s">
        <v>58</v>
      </c>
      <c r="Y2641" t="s">
        <v>58</v>
      </c>
      <c r="Z2641" t="s">
        <v>58</v>
      </c>
      <c r="AA2641" t="s">
        <v>58</v>
      </c>
      <c r="AC2641" t="s">
        <v>58</v>
      </c>
      <c r="AE2641" t="s">
        <v>58</v>
      </c>
      <c r="AG2641" t="s">
        <v>63</v>
      </c>
      <c r="AH2641" s="11" t="str">
        <f t="shared" si="164"/>
        <v>mailto: soilterrain@victoria1.gov.bc.ca</v>
      </c>
    </row>
    <row r="2642" spans="1:34">
      <c r="A2642" t="s">
        <v>5884</v>
      </c>
      <c r="B2642" t="s">
        <v>56</v>
      </c>
      <c r="C2642" s="10" t="s">
        <v>5442</v>
      </c>
      <c r="D2642" t="s">
        <v>61</v>
      </c>
      <c r="E2642" t="s">
        <v>2952</v>
      </c>
      <c r="F2642" t="s">
        <v>5646</v>
      </c>
      <c r="G2642">
        <v>20000</v>
      </c>
      <c r="H2642">
        <v>1987</v>
      </c>
      <c r="I2642" t="s">
        <v>58</v>
      </c>
      <c r="J2642" t="s">
        <v>58</v>
      </c>
      <c r="K2642" t="s">
        <v>58</v>
      </c>
      <c r="L2642" t="s">
        <v>58</v>
      </c>
      <c r="M2642" t="s">
        <v>58</v>
      </c>
      <c r="P2642" t="s">
        <v>61</v>
      </c>
      <c r="Q2642" t="s">
        <v>58</v>
      </c>
      <c r="R2642" s="11" t="str">
        <f>HYPERLINK("\\imagefiles.bcgov\imagery\scanned_maps\moe_terrain_maps\Scanned_T_maps_all\R08\R08-687","\\imagefiles.bcgov\imagery\scanned_maps\moe_terrain_maps\Scanned_T_maps_all\R08\R08-687")</f>
        <v>\\imagefiles.bcgov\imagery\scanned_maps\moe_terrain_maps\Scanned_T_maps_all\R08\R08-687</v>
      </c>
      <c r="S2642" t="s">
        <v>62</v>
      </c>
      <c r="T2642" s="11" t="str">
        <f>HYPERLINK("http://www.env.gov.bc.ca/esd/distdata/ecosystems/TEI_Scanned_Maps/R08/R08-687","http://www.env.gov.bc.ca/esd/distdata/ecosystems/TEI_Scanned_Maps/R08/R08-687")</f>
        <v>http://www.env.gov.bc.ca/esd/distdata/ecosystems/TEI_Scanned_Maps/R08/R08-687</v>
      </c>
      <c r="U2642" t="s">
        <v>58</v>
      </c>
      <c r="V2642" t="s">
        <v>58</v>
      </c>
      <c r="W2642" t="s">
        <v>58</v>
      </c>
      <c r="X2642" t="s">
        <v>58</v>
      </c>
      <c r="Y2642" t="s">
        <v>58</v>
      </c>
      <c r="Z2642" t="s">
        <v>58</v>
      </c>
      <c r="AA2642" t="s">
        <v>58</v>
      </c>
      <c r="AC2642" t="s">
        <v>58</v>
      </c>
      <c r="AE2642" t="s">
        <v>58</v>
      </c>
      <c r="AG2642" t="s">
        <v>63</v>
      </c>
      <c r="AH2642" s="11" t="str">
        <f t="shared" si="164"/>
        <v>mailto: soilterrain@victoria1.gov.bc.ca</v>
      </c>
    </row>
    <row r="2643" spans="1:34">
      <c r="A2643" t="s">
        <v>5885</v>
      </c>
      <c r="B2643" t="s">
        <v>56</v>
      </c>
      <c r="C2643" s="10" t="s">
        <v>5444</v>
      </c>
      <c r="D2643" t="s">
        <v>61</v>
      </c>
      <c r="E2643" t="s">
        <v>2952</v>
      </c>
      <c r="F2643" t="s">
        <v>5646</v>
      </c>
      <c r="G2643">
        <v>20000</v>
      </c>
      <c r="H2643">
        <v>1987</v>
      </c>
      <c r="I2643" t="s">
        <v>58</v>
      </c>
      <c r="J2643" t="s">
        <v>58</v>
      </c>
      <c r="K2643" t="s">
        <v>58</v>
      </c>
      <c r="L2643" t="s">
        <v>58</v>
      </c>
      <c r="M2643" t="s">
        <v>58</v>
      </c>
      <c r="P2643" t="s">
        <v>61</v>
      </c>
      <c r="Q2643" t="s">
        <v>58</v>
      </c>
      <c r="R2643" s="11" t="str">
        <f>HYPERLINK("\\imagefiles.bcgov\imagery\scanned_maps\moe_terrain_maps\Scanned_T_maps_all\R08\R08-694","\\imagefiles.bcgov\imagery\scanned_maps\moe_terrain_maps\Scanned_T_maps_all\R08\R08-694")</f>
        <v>\\imagefiles.bcgov\imagery\scanned_maps\moe_terrain_maps\Scanned_T_maps_all\R08\R08-694</v>
      </c>
      <c r="S2643" t="s">
        <v>62</v>
      </c>
      <c r="T2643" s="11" t="str">
        <f>HYPERLINK("http://www.env.gov.bc.ca/esd/distdata/ecosystems/TEI_Scanned_Maps/R08/R08-694","http://www.env.gov.bc.ca/esd/distdata/ecosystems/TEI_Scanned_Maps/R08/R08-694")</f>
        <v>http://www.env.gov.bc.ca/esd/distdata/ecosystems/TEI_Scanned_Maps/R08/R08-694</v>
      </c>
      <c r="U2643" t="s">
        <v>58</v>
      </c>
      <c r="V2643" t="s">
        <v>58</v>
      </c>
      <c r="W2643" t="s">
        <v>58</v>
      </c>
      <c r="X2643" t="s">
        <v>58</v>
      </c>
      <c r="Y2643" t="s">
        <v>58</v>
      </c>
      <c r="Z2643" t="s">
        <v>58</v>
      </c>
      <c r="AA2643" t="s">
        <v>58</v>
      </c>
      <c r="AC2643" t="s">
        <v>58</v>
      </c>
      <c r="AE2643" t="s">
        <v>58</v>
      </c>
      <c r="AG2643" t="s">
        <v>63</v>
      </c>
      <c r="AH2643" s="11" t="str">
        <f t="shared" si="164"/>
        <v>mailto: soilterrain@victoria1.gov.bc.ca</v>
      </c>
    </row>
    <row r="2644" spans="1:34">
      <c r="A2644" t="s">
        <v>5886</v>
      </c>
      <c r="B2644" t="s">
        <v>56</v>
      </c>
      <c r="C2644" s="10" t="s">
        <v>4653</v>
      </c>
      <c r="D2644" t="s">
        <v>61</v>
      </c>
      <c r="E2644" t="s">
        <v>2952</v>
      </c>
      <c r="F2644" t="s">
        <v>5646</v>
      </c>
      <c r="G2644">
        <v>20000</v>
      </c>
      <c r="H2644">
        <v>1987</v>
      </c>
      <c r="I2644" t="s">
        <v>58</v>
      </c>
      <c r="J2644" t="s">
        <v>58</v>
      </c>
      <c r="K2644" t="s">
        <v>58</v>
      </c>
      <c r="L2644" t="s">
        <v>58</v>
      </c>
      <c r="M2644" t="s">
        <v>58</v>
      </c>
      <c r="P2644" t="s">
        <v>61</v>
      </c>
      <c r="Q2644" t="s">
        <v>58</v>
      </c>
      <c r="R2644" s="11" t="str">
        <f>HYPERLINK("\\imagefiles.bcgov\imagery\scanned_maps\moe_terrain_maps\Scanned_T_maps_all\R08\R08-701","\\imagefiles.bcgov\imagery\scanned_maps\moe_terrain_maps\Scanned_T_maps_all\R08\R08-701")</f>
        <v>\\imagefiles.bcgov\imagery\scanned_maps\moe_terrain_maps\Scanned_T_maps_all\R08\R08-701</v>
      </c>
      <c r="S2644" t="s">
        <v>62</v>
      </c>
      <c r="T2644" s="11" t="str">
        <f>HYPERLINK("http://www.env.gov.bc.ca/esd/distdata/ecosystems/TEI_Scanned_Maps/R08/R08-701","http://www.env.gov.bc.ca/esd/distdata/ecosystems/TEI_Scanned_Maps/R08/R08-701")</f>
        <v>http://www.env.gov.bc.ca/esd/distdata/ecosystems/TEI_Scanned_Maps/R08/R08-701</v>
      </c>
      <c r="U2644" t="s">
        <v>58</v>
      </c>
      <c r="V2644" t="s">
        <v>58</v>
      </c>
      <c r="W2644" t="s">
        <v>58</v>
      </c>
      <c r="X2644" t="s">
        <v>58</v>
      </c>
      <c r="Y2644" t="s">
        <v>58</v>
      </c>
      <c r="Z2644" t="s">
        <v>58</v>
      </c>
      <c r="AA2644" t="s">
        <v>58</v>
      </c>
      <c r="AC2644" t="s">
        <v>58</v>
      </c>
      <c r="AE2644" t="s">
        <v>58</v>
      </c>
      <c r="AG2644" t="s">
        <v>63</v>
      </c>
      <c r="AH2644" s="11" t="str">
        <f t="shared" si="164"/>
        <v>mailto: soilterrain@victoria1.gov.bc.ca</v>
      </c>
    </row>
    <row r="2645" spans="1:34">
      <c r="A2645" t="s">
        <v>5887</v>
      </c>
      <c r="B2645" t="s">
        <v>56</v>
      </c>
      <c r="C2645" s="10" t="s">
        <v>5447</v>
      </c>
      <c r="D2645" t="s">
        <v>61</v>
      </c>
      <c r="E2645" t="s">
        <v>2952</v>
      </c>
      <c r="F2645" t="s">
        <v>5646</v>
      </c>
      <c r="G2645">
        <v>20000</v>
      </c>
      <c r="H2645">
        <v>1987</v>
      </c>
      <c r="I2645" t="s">
        <v>58</v>
      </c>
      <c r="J2645" t="s">
        <v>58</v>
      </c>
      <c r="K2645" t="s">
        <v>58</v>
      </c>
      <c r="L2645" t="s">
        <v>58</v>
      </c>
      <c r="M2645" t="s">
        <v>58</v>
      </c>
      <c r="P2645" t="s">
        <v>61</v>
      </c>
      <c r="Q2645" t="s">
        <v>58</v>
      </c>
      <c r="R2645" s="11" t="str">
        <f>HYPERLINK("\\imagefiles.bcgov\imagery\scanned_maps\moe_terrain_maps\Scanned_T_maps_all\R08\R08-708","\\imagefiles.bcgov\imagery\scanned_maps\moe_terrain_maps\Scanned_T_maps_all\R08\R08-708")</f>
        <v>\\imagefiles.bcgov\imagery\scanned_maps\moe_terrain_maps\Scanned_T_maps_all\R08\R08-708</v>
      </c>
      <c r="S2645" t="s">
        <v>62</v>
      </c>
      <c r="T2645" s="11" t="str">
        <f>HYPERLINK("http://www.env.gov.bc.ca/esd/distdata/ecosystems/TEI_Scanned_Maps/R08/R08-708","http://www.env.gov.bc.ca/esd/distdata/ecosystems/TEI_Scanned_Maps/R08/R08-708")</f>
        <v>http://www.env.gov.bc.ca/esd/distdata/ecosystems/TEI_Scanned_Maps/R08/R08-708</v>
      </c>
      <c r="U2645" t="s">
        <v>58</v>
      </c>
      <c r="V2645" t="s">
        <v>58</v>
      </c>
      <c r="W2645" t="s">
        <v>58</v>
      </c>
      <c r="X2645" t="s">
        <v>58</v>
      </c>
      <c r="Y2645" t="s">
        <v>58</v>
      </c>
      <c r="Z2645" t="s">
        <v>58</v>
      </c>
      <c r="AA2645" t="s">
        <v>58</v>
      </c>
      <c r="AC2645" t="s">
        <v>58</v>
      </c>
      <c r="AE2645" t="s">
        <v>58</v>
      </c>
      <c r="AG2645" t="s">
        <v>63</v>
      </c>
      <c r="AH2645" s="11" t="str">
        <f t="shared" si="164"/>
        <v>mailto: soilterrain@victoria1.gov.bc.ca</v>
      </c>
    </row>
    <row r="2646" spans="1:34">
      <c r="A2646" t="s">
        <v>5888</v>
      </c>
      <c r="B2646" t="s">
        <v>56</v>
      </c>
      <c r="C2646" s="10" t="s">
        <v>5449</v>
      </c>
      <c r="D2646" t="s">
        <v>61</v>
      </c>
      <c r="E2646" t="s">
        <v>2952</v>
      </c>
      <c r="F2646" t="s">
        <v>5646</v>
      </c>
      <c r="G2646">
        <v>20000</v>
      </c>
      <c r="H2646">
        <v>1987</v>
      </c>
      <c r="I2646" t="s">
        <v>58</v>
      </c>
      <c r="J2646" t="s">
        <v>58</v>
      </c>
      <c r="K2646" t="s">
        <v>58</v>
      </c>
      <c r="L2646" t="s">
        <v>58</v>
      </c>
      <c r="M2646" t="s">
        <v>58</v>
      </c>
      <c r="P2646" t="s">
        <v>61</v>
      </c>
      <c r="Q2646" t="s">
        <v>58</v>
      </c>
      <c r="R2646" s="11" t="str">
        <f>HYPERLINK("\\imagefiles.bcgov\imagery\scanned_maps\moe_terrain_maps\Scanned_T_maps_all\R08\R08-716","\\imagefiles.bcgov\imagery\scanned_maps\moe_terrain_maps\Scanned_T_maps_all\R08\R08-716")</f>
        <v>\\imagefiles.bcgov\imagery\scanned_maps\moe_terrain_maps\Scanned_T_maps_all\R08\R08-716</v>
      </c>
      <c r="S2646" t="s">
        <v>62</v>
      </c>
      <c r="T2646" s="11" t="str">
        <f>HYPERLINK("http://www.env.gov.bc.ca/esd/distdata/ecosystems/TEI_Scanned_Maps/R08/R08-716","http://www.env.gov.bc.ca/esd/distdata/ecosystems/TEI_Scanned_Maps/R08/R08-716")</f>
        <v>http://www.env.gov.bc.ca/esd/distdata/ecosystems/TEI_Scanned_Maps/R08/R08-716</v>
      </c>
      <c r="U2646" t="s">
        <v>58</v>
      </c>
      <c r="V2646" t="s">
        <v>58</v>
      </c>
      <c r="W2646" t="s">
        <v>58</v>
      </c>
      <c r="X2646" t="s">
        <v>58</v>
      </c>
      <c r="Y2646" t="s">
        <v>58</v>
      </c>
      <c r="Z2646" t="s">
        <v>58</v>
      </c>
      <c r="AA2646" t="s">
        <v>58</v>
      </c>
      <c r="AC2646" t="s">
        <v>58</v>
      </c>
      <c r="AE2646" t="s">
        <v>58</v>
      </c>
      <c r="AG2646" t="s">
        <v>63</v>
      </c>
      <c r="AH2646" s="11" t="str">
        <f t="shared" si="164"/>
        <v>mailto: soilterrain@victoria1.gov.bc.ca</v>
      </c>
    </row>
    <row r="2647" spans="1:34">
      <c r="A2647" t="s">
        <v>5889</v>
      </c>
      <c r="B2647" t="s">
        <v>56</v>
      </c>
      <c r="C2647" s="10" t="s">
        <v>4904</v>
      </c>
      <c r="D2647" t="s">
        <v>61</v>
      </c>
      <c r="E2647" t="s">
        <v>2952</v>
      </c>
      <c r="F2647" t="s">
        <v>5646</v>
      </c>
      <c r="G2647">
        <v>20000</v>
      </c>
      <c r="H2647">
        <v>1987</v>
      </c>
      <c r="I2647" t="s">
        <v>58</v>
      </c>
      <c r="J2647" t="s">
        <v>58</v>
      </c>
      <c r="K2647" t="s">
        <v>58</v>
      </c>
      <c r="L2647" t="s">
        <v>58</v>
      </c>
      <c r="M2647" t="s">
        <v>58</v>
      </c>
      <c r="P2647" t="s">
        <v>61</v>
      </c>
      <c r="Q2647" t="s">
        <v>58</v>
      </c>
      <c r="R2647" s="11" t="str">
        <f>HYPERLINK("\\imagefiles.bcgov\imagery\scanned_maps\moe_terrain_maps\Scanned_T_maps_all\R08\R08-724","\\imagefiles.bcgov\imagery\scanned_maps\moe_terrain_maps\Scanned_T_maps_all\R08\R08-724")</f>
        <v>\\imagefiles.bcgov\imagery\scanned_maps\moe_terrain_maps\Scanned_T_maps_all\R08\R08-724</v>
      </c>
      <c r="S2647" t="s">
        <v>62</v>
      </c>
      <c r="T2647" s="11" t="str">
        <f>HYPERLINK("http://www.env.gov.bc.ca/esd/distdata/ecosystems/TEI_Scanned_Maps/R08/R08-724","http://www.env.gov.bc.ca/esd/distdata/ecosystems/TEI_Scanned_Maps/R08/R08-724")</f>
        <v>http://www.env.gov.bc.ca/esd/distdata/ecosystems/TEI_Scanned_Maps/R08/R08-724</v>
      </c>
      <c r="U2647" t="s">
        <v>58</v>
      </c>
      <c r="V2647" t="s">
        <v>58</v>
      </c>
      <c r="W2647" t="s">
        <v>58</v>
      </c>
      <c r="X2647" t="s">
        <v>58</v>
      </c>
      <c r="Y2647" t="s">
        <v>58</v>
      </c>
      <c r="Z2647" t="s">
        <v>58</v>
      </c>
      <c r="AA2647" t="s">
        <v>58</v>
      </c>
      <c r="AC2647" t="s">
        <v>58</v>
      </c>
      <c r="AE2647" t="s">
        <v>58</v>
      </c>
      <c r="AG2647" t="s">
        <v>63</v>
      </c>
      <c r="AH2647" s="11" t="str">
        <f t="shared" si="164"/>
        <v>mailto: soilterrain@victoria1.gov.bc.ca</v>
      </c>
    </row>
    <row r="2648" spans="1:34">
      <c r="A2648" t="s">
        <v>5890</v>
      </c>
      <c r="B2648" t="s">
        <v>56</v>
      </c>
      <c r="C2648" s="10" t="s">
        <v>5452</v>
      </c>
      <c r="D2648" t="s">
        <v>61</v>
      </c>
      <c r="E2648" t="s">
        <v>2952</v>
      </c>
      <c r="F2648" t="s">
        <v>5646</v>
      </c>
      <c r="G2648">
        <v>20000</v>
      </c>
      <c r="H2648">
        <v>1987</v>
      </c>
      <c r="I2648" t="s">
        <v>58</v>
      </c>
      <c r="J2648" t="s">
        <v>58</v>
      </c>
      <c r="K2648" t="s">
        <v>58</v>
      </c>
      <c r="L2648" t="s">
        <v>58</v>
      </c>
      <c r="M2648" t="s">
        <v>58</v>
      </c>
      <c r="P2648" t="s">
        <v>61</v>
      </c>
      <c r="Q2648" t="s">
        <v>58</v>
      </c>
      <c r="R2648" s="11" t="str">
        <f>HYPERLINK("\\imagefiles.bcgov\imagery\scanned_maps\moe_terrain_maps\Scanned_T_maps_all\R08\R08-731","\\imagefiles.bcgov\imagery\scanned_maps\moe_terrain_maps\Scanned_T_maps_all\R08\R08-731")</f>
        <v>\\imagefiles.bcgov\imagery\scanned_maps\moe_terrain_maps\Scanned_T_maps_all\R08\R08-731</v>
      </c>
      <c r="S2648" t="s">
        <v>62</v>
      </c>
      <c r="T2648" s="11" t="str">
        <f>HYPERLINK("http://www.env.gov.bc.ca/esd/distdata/ecosystems/TEI_Scanned_Maps/R08/R08-731","http://www.env.gov.bc.ca/esd/distdata/ecosystems/TEI_Scanned_Maps/R08/R08-731")</f>
        <v>http://www.env.gov.bc.ca/esd/distdata/ecosystems/TEI_Scanned_Maps/R08/R08-731</v>
      </c>
      <c r="U2648" t="s">
        <v>58</v>
      </c>
      <c r="V2648" t="s">
        <v>58</v>
      </c>
      <c r="W2648" t="s">
        <v>58</v>
      </c>
      <c r="X2648" t="s">
        <v>58</v>
      </c>
      <c r="Y2648" t="s">
        <v>58</v>
      </c>
      <c r="Z2648" t="s">
        <v>58</v>
      </c>
      <c r="AA2648" t="s">
        <v>58</v>
      </c>
      <c r="AC2648" t="s">
        <v>58</v>
      </c>
      <c r="AE2648" t="s">
        <v>58</v>
      </c>
      <c r="AG2648" t="s">
        <v>63</v>
      </c>
      <c r="AH2648" s="11" t="str">
        <f t="shared" si="164"/>
        <v>mailto: soilterrain@victoria1.gov.bc.ca</v>
      </c>
    </row>
    <row r="2649" spans="1:34">
      <c r="A2649" t="s">
        <v>5891</v>
      </c>
      <c r="B2649" t="s">
        <v>56</v>
      </c>
      <c r="C2649" s="10" t="s">
        <v>5454</v>
      </c>
      <c r="D2649" t="s">
        <v>61</v>
      </c>
      <c r="E2649" t="s">
        <v>2952</v>
      </c>
      <c r="F2649" t="s">
        <v>5646</v>
      </c>
      <c r="G2649">
        <v>20000</v>
      </c>
      <c r="H2649">
        <v>1987</v>
      </c>
      <c r="I2649" t="s">
        <v>58</v>
      </c>
      <c r="J2649" t="s">
        <v>58</v>
      </c>
      <c r="K2649" t="s">
        <v>58</v>
      </c>
      <c r="L2649" t="s">
        <v>58</v>
      </c>
      <c r="M2649" t="s">
        <v>58</v>
      </c>
      <c r="P2649" t="s">
        <v>61</v>
      </c>
      <c r="Q2649" t="s">
        <v>58</v>
      </c>
      <c r="R2649" s="11" t="str">
        <f>HYPERLINK("\\imagefiles.bcgov\imagery\scanned_maps\moe_terrain_maps\Scanned_T_maps_all\R08\R08-738","\\imagefiles.bcgov\imagery\scanned_maps\moe_terrain_maps\Scanned_T_maps_all\R08\R08-738")</f>
        <v>\\imagefiles.bcgov\imagery\scanned_maps\moe_terrain_maps\Scanned_T_maps_all\R08\R08-738</v>
      </c>
      <c r="S2649" t="s">
        <v>62</v>
      </c>
      <c r="T2649" s="11" t="str">
        <f>HYPERLINK("http://www.env.gov.bc.ca/esd/distdata/ecosystems/TEI_Scanned_Maps/R08/R08-738","http://www.env.gov.bc.ca/esd/distdata/ecosystems/TEI_Scanned_Maps/R08/R08-738")</f>
        <v>http://www.env.gov.bc.ca/esd/distdata/ecosystems/TEI_Scanned_Maps/R08/R08-738</v>
      </c>
      <c r="U2649" t="s">
        <v>58</v>
      </c>
      <c r="V2649" t="s">
        <v>58</v>
      </c>
      <c r="W2649" t="s">
        <v>58</v>
      </c>
      <c r="X2649" t="s">
        <v>58</v>
      </c>
      <c r="Y2649" t="s">
        <v>58</v>
      </c>
      <c r="Z2649" t="s">
        <v>58</v>
      </c>
      <c r="AA2649" t="s">
        <v>58</v>
      </c>
      <c r="AC2649" t="s">
        <v>58</v>
      </c>
      <c r="AE2649" t="s">
        <v>58</v>
      </c>
      <c r="AG2649" t="s">
        <v>63</v>
      </c>
      <c r="AH2649" s="11" t="str">
        <f t="shared" si="164"/>
        <v>mailto: soilterrain@victoria1.gov.bc.ca</v>
      </c>
    </row>
    <row r="2650" spans="1:34">
      <c r="A2650" t="s">
        <v>5892</v>
      </c>
      <c r="B2650" t="s">
        <v>56</v>
      </c>
      <c r="C2650" s="10" t="s">
        <v>5456</v>
      </c>
      <c r="D2650" t="s">
        <v>61</v>
      </c>
      <c r="E2650" t="s">
        <v>2952</v>
      </c>
      <c r="F2650" t="s">
        <v>5646</v>
      </c>
      <c r="G2650">
        <v>20000</v>
      </c>
      <c r="H2650">
        <v>1987</v>
      </c>
      <c r="I2650" t="s">
        <v>58</v>
      </c>
      <c r="J2650" t="s">
        <v>58</v>
      </c>
      <c r="K2650" t="s">
        <v>58</v>
      </c>
      <c r="L2650" t="s">
        <v>58</v>
      </c>
      <c r="M2650" t="s">
        <v>58</v>
      </c>
      <c r="P2650" t="s">
        <v>61</v>
      </c>
      <c r="Q2650" t="s">
        <v>58</v>
      </c>
      <c r="R2650" s="11" t="str">
        <f>HYPERLINK("\\imagefiles.bcgov\imagery\scanned_maps\moe_terrain_maps\Scanned_T_maps_all\R08\R08-745","\\imagefiles.bcgov\imagery\scanned_maps\moe_terrain_maps\Scanned_T_maps_all\R08\R08-745")</f>
        <v>\\imagefiles.bcgov\imagery\scanned_maps\moe_terrain_maps\Scanned_T_maps_all\R08\R08-745</v>
      </c>
      <c r="S2650" t="s">
        <v>62</v>
      </c>
      <c r="T2650" s="11" t="str">
        <f>HYPERLINK("http://www.env.gov.bc.ca/esd/distdata/ecosystems/TEI_Scanned_Maps/R08/R08-745","http://www.env.gov.bc.ca/esd/distdata/ecosystems/TEI_Scanned_Maps/R08/R08-745")</f>
        <v>http://www.env.gov.bc.ca/esd/distdata/ecosystems/TEI_Scanned_Maps/R08/R08-745</v>
      </c>
      <c r="U2650" t="s">
        <v>58</v>
      </c>
      <c r="V2650" t="s">
        <v>58</v>
      </c>
      <c r="W2650" t="s">
        <v>58</v>
      </c>
      <c r="X2650" t="s">
        <v>58</v>
      </c>
      <c r="Y2650" t="s">
        <v>58</v>
      </c>
      <c r="Z2650" t="s">
        <v>58</v>
      </c>
      <c r="AA2650" t="s">
        <v>58</v>
      </c>
      <c r="AC2650" t="s">
        <v>58</v>
      </c>
      <c r="AE2650" t="s">
        <v>58</v>
      </c>
      <c r="AG2650" t="s">
        <v>63</v>
      </c>
      <c r="AH2650" s="11" t="str">
        <f t="shared" si="164"/>
        <v>mailto: soilterrain@victoria1.gov.bc.ca</v>
      </c>
    </row>
    <row r="2651" spans="1:34">
      <c r="A2651" t="s">
        <v>5893</v>
      </c>
      <c r="B2651" t="s">
        <v>56</v>
      </c>
      <c r="C2651" s="10" t="s">
        <v>5386</v>
      </c>
      <c r="D2651" t="s">
        <v>58</v>
      </c>
      <c r="E2651" t="s">
        <v>5894</v>
      </c>
      <c r="F2651" t="s">
        <v>5895</v>
      </c>
      <c r="G2651">
        <v>20000</v>
      </c>
      <c r="H2651">
        <v>1974</v>
      </c>
      <c r="I2651" t="s">
        <v>5896</v>
      </c>
      <c r="J2651" t="s">
        <v>58</v>
      </c>
      <c r="K2651" t="s">
        <v>58</v>
      </c>
      <c r="L2651" t="s">
        <v>61</v>
      </c>
      <c r="M2651" t="s">
        <v>58</v>
      </c>
      <c r="Q2651" t="s">
        <v>58</v>
      </c>
      <c r="R2651" s="11" t="str">
        <f>HYPERLINK("\\imagefiles.bcgov\imagery\scanned_maps\moe_terrain_maps\Scanned_T_maps_all\R09\R09-155","\\imagefiles.bcgov\imagery\scanned_maps\moe_terrain_maps\Scanned_T_maps_all\R09\R09-155")</f>
        <v>\\imagefiles.bcgov\imagery\scanned_maps\moe_terrain_maps\Scanned_T_maps_all\R09\R09-155</v>
      </c>
      <c r="S2651" t="s">
        <v>62</v>
      </c>
      <c r="T2651" s="11" t="str">
        <f>HYPERLINK("http://www.env.gov.bc.ca/esd/distdata/ecosystems/TEI_Scanned_Maps/R09/R09-155","http://www.env.gov.bc.ca/esd/distdata/ecosystems/TEI_Scanned_Maps/R09/R09-155")</f>
        <v>http://www.env.gov.bc.ca/esd/distdata/ecosystems/TEI_Scanned_Maps/R09/R09-155</v>
      </c>
      <c r="U2651" t="s">
        <v>3353</v>
      </c>
      <c r="V2651" s="11" t="str">
        <f t="shared" ref="V2651:V2688" si="165">HYPERLINK("http://www.env.gov.bc.ca/esd/distdata/ecosystems/Soil_Data/CAPAMP/","http://www.env.gov.bc.ca/esd/distdata/ecosystems/Soil_Data/CAPAMP/")</f>
        <v>http://www.env.gov.bc.ca/esd/distdata/ecosystems/Soil_Data/CAPAMP/</v>
      </c>
      <c r="W2651" t="s">
        <v>3042</v>
      </c>
      <c r="X2651" s="11" t="str">
        <f t="shared" ref="X2651:X2688" si="166">HYPERLINK("http://res.agr.ca/cansis/publications/surveys/bc/","http://res.agr.ca/cansis/publications/surveys/bc/")</f>
        <v>http://res.agr.ca/cansis/publications/surveys/bc/</v>
      </c>
      <c r="Y2651" t="s">
        <v>269</v>
      </c>
      <c r="Z2651" s="11" t="str">
        <f t="shared" ref="Z2651:Z2688" si="167">HYPERLINK("http://www.library.for.gov.bc.ca/#focus","http://www.library.for.gov.bc.ca/#focus")</f>
        <v>http://www.library.for.gov.bc.ca/#focus</v>
      </c>
      <c r="AA2651" t="s">
        <v>58</v>
      </c>
      <c r="AC2651" t="s">
        <v>58</v>
      </c>
      <c r="AE2651" t="s">
        <v>58</v>
      </c>
      <c r="AG2651" t="s">
        <v>63</v>
      </c>
      <c r="AH2651" s="11" t="str">
        <f t="shared" si="164"/>
        <v>mailto: soilterrain@victoria1.gov.bc.ca</v>
      </c>
    </row>
    <row r="2652" spans="1:34">
      <c r="A2652" t="s">
        <v>5897</v>
      </c>
      <c r="B2652" t="s">
        <v>56</v>
      </c>
      <c r="C2652" s="10" t="s">
        <v>5388</v>
      </c>
      <c r="D2652" t="s">
        <v>58</v>
      </c>
      <c r="E2652" t="s">
        <v>5894</v>
      </c>
      <c r="F2652" t="s">
        <v>5895</v>
      </c>
      <c r="G2652">
        <v>20000</v>
      </c>
      <c r="H2652">
        <v>1981</v>
      </c>
      <c r="I2652" t="s">
        <v>5896</v>
      </c>
      <c r="J2652" t="s">
        <v>58</v>
      </c>
      <c r="K2652" t="s">
        <v>58</v>
      </c>
      <c r="L2652" t="s">
        <v>61</v>
      </c>
      <c r="M2652" t="s">
        <v>58</v>
      </c>
      <c r="Q2652" t="s">
        <v>58</v>
      </c>
      <c r="R2652" s="11" t="str">
        <f>HYPERLINK("\\imagefiles.bcgov\imagery\scanned_maps\moe_terrain_maps\Scanned_T_maps_all\R09\R09-162","\\imagefiles.bcgov\imagery\scanned_maps\moe_terrain_maps\Scanned_T_maps_all\R09\R09-162")</f>
        <v>\\imagefiles.bcgov\imagery\scanned_maps\moe_terrain_maps\Scanned_T_maps_all\R09\R09-162</v>
      </c>
      <c r="S2652" t="s">
        <v>62</v>
      </c>
      <c r="T2652" s="11" t="str">
        <f>HYPERLINK("http://www.env.gov.bc.ca/esd/distdata/ecosystems/TEI_Scanned_Maps/R09/R09-162","http://www.env.gov.bc.ca/esd/distdata/ecosystems/TEI_Scanned_Maps/R09/R09-162")</f>
        <v>http://www.env.gov.bc.ca/esd/distdata/ecosystems/TEI_Scanned_Maps/R09/R09-162</v>
      </c>
      <c r="U2652" t="s">
        <v>3353</v>
      </c>
      <c r="V2652" s="11" t="str">
        <f t="shared" si="165"/>
        <v>http://www.env.gov.bc.ca/esd/distdata/ecosystems/Soil_Data/CAPAMP/</v>
      </c>
      <c r="W2652" t="s">
        <v>3042</v>
      </c>
      <c r="X2652" s="11" t="str">
        <f t="shared" si="166"/>
        <v>http://res.agr.ca/cansis/publications/surveys/bc/</v>
      </c>
      <c r="Y2652" t="s">
        <v>269</v>
      </c>
      <c r="Z2652" s="11" t="str">
        <f t="shared" si="167"/>
        <v>http://www.library.for.gov.bc.ca/#focus</v>
      </c>
      <c r="AA2652" t="s">
        <v>58</v>
      </c>
      <c r="AC2652" t="s">
        <v>58</v>
      </c>
      <c r="AE2652" t="s">
        <v>58</v>
      </c>
      <c r="AG2652" t="s">
        <v>63</v>
      </c>
      <c r="AH2652" s="11" t="str">
        <f t="shared" si="164"/>
        <v>mailto: soilterrain@victoria1.gov.bc.ca</v>
      </c>
    </row>
    <row r="2653" spans="1:34">
      <c r="A2653" t="s">
        <v>5898</v>
      </c>
      <c r="B2653" t="s">
        <v>56</v>
      </c>
      <c r="C2653" s="10" t="s">
        <v>5390</v>
      </c>
      <c r="D2653" t="s">
        <v>58</v>
      </c>
      <c r="E2653" t="s">
        <v>5894</v>
      </c>
      <c r="F2653" t="s">
        <v>5895</v>
      </c>
      <c r="G2653">
        <v>20000</v>
      </c>
      <c r="H2653">
        <v>1974</v>
      </c>
      <c r="I2653" t="s">
        <v>5896</v>
      </c>
      <c r="J2653" t="s">
        <v>58</v>
      </c>
      <c r="K2653" t="s">
        <v>58</v>
      </c>
      <c r="L2653" t="s">
        <v>61</v>
      </c>
      <c r="M2653" t="s">
        <v>58</v>
      </c>
      <c r="Q2653" t="s">
        <v>58</v>
      </c>
      <c r="R2653" s="11" t="str">
        <f>HYPERLINK("\\imagefiles.bcgov\imagery\scanned_maps\moe_terrain_maps\Scanned_T_maps_all\R09\R09-168","\\imagefiles.bcgov\imagery\scanned_maps\moe_terrain_maps\Scanned_T_maps_all\R09\R09-168")</f>
        <v>\\imagefiles.bcgov\imagery\scanned_maps\moe_terrain_maps\Scanned_T_maps_all\R09\R09-168</v>
      </c>
      <c r="S2653" t="s">
        <v>62</v>
      </c>
      <c r="T2653" s="11" t="str">
        <f>HYPERLINK("http://www.env.gov.bc.ca/esd/distdata/ecosystems/TEI_Scanned_Maps/R09/R09-168","http://www.env.gov.bc.ca/esd/distdata/ecosystems/TEI_Scanned_Maps/R09/R09-168")</f>
        <v>http://www.env.gov.bc.ca/esd/distdata/ecosystems/TEI_Scanned_Maps/R09/R09-168</v>
      </c>
      <c r="U2653" t="s">
        <v>3353</v>
      </c>
      <c r="V2653" s="11" t="str">
        <f t="shared" si="165"/>
        <v>http://www.env.gov.bc.ca/esd/distdata/ecosystems/Soil_Data/CAPAMP/</v>
      </c>
      <c r="W2653" t="s">
        <v>3042</v>
      </c>
      <c r="X2653" s="11" t="str">
        <f t="shared" si="166"/>
        <v>http://res.agr.ca/cansis/publications/surveys/bc/</v>
      </c>
      <c r="Y2653" t="s">
        <v>269</v>
      </c>
      <c r="Z2653" s="11" t="str">
        <f t="shared" si="167"/>
        <v>http://www.library.for.gov.bc.ca/#focus</v>
      </c>
      <c r="AA2653" t="s">
        <v>58</v>
      </c>
      <c r="AC2653" t="s">
        <v>58</v>
      </c>
      <c r="AE2653" t="s">
        <v>58</v>
      </c>
      <c r="AG2653" t="s">
        <v>63</v>
      </c>
      <c r="AH2653" s="11" t="str">
        <f t="shared" si="164"/>
        <v>mailto: soilterrain@victoria1.gov.bc.ca</v>
      </c>
    </row>
    <row r="2654" spans="1:34">
      <c r="A2654" t="s">
        <v>5899</v>
      </c>
      <c r="B2654" t="s">
        <v>56</v>
      </c>
      <c r="C2654" s="10" t="s">
        <v>5392</v>
      </c>
      <c r="D2654" t="s">
        <v>58</v>
      </c>
      <c r="E2654" t="s">
        <v>5894</v>
      </c>
      <c r="F2654" t="s">
        <v>5895</v>
      </c>
      <c r="G2654">
        <v>20000</v>
      </c>
      <c r="H2654">
        <v>1981</v>
      </c>
      <c r="I2654" t="s">
        <v>5896</v>
      </c>
      <c r="J2654" t="s">
        <v>58</v>
      </c>
      <c r="K2654" t="s">
        <v>58</v>
      </c>
      <c r="L2654" t="s">
        <v>61</v>
      </c>
      <c r="M2654" t="s">
        <v>58</v>
      </c>
      <c r="Q2654" t="s">
        <v>58</v>
      </c>
      <c r="R2654" s="11" t="str">
        <f>HYPERLINK("\\imagefiles.bcgov\imagery\scanned_maps\moe_terrain_maps\Scanned_T_maps_all\R09\R09-174","\\imagefiles.bcgov\imagery\scanned_maps\moe_terrain_maps\Scanned_T_maps_all\R09\R09-174")</f>
        <v>\\imagefiles.bcgov\imagery\scanned_maps\moe_terrain_maps\Scanned_T_maps_all\R09\R09-174</v>
      </c>
      <c r="S2654" t="s">
        <v>62</v>
      </c>
      <c r="T2654" s="11" t="str">
        <f>HYPERLINK("http://www.env.gov.bc.ca/esd/distdata/ecosystems/TEI_Scanned_Maps/R09/R09-174","http://www.env.gov.bc.ca/esd/distdata/ecosystems/TEI_Scanned_Maps/R09/R09-174")</f>
        <v>http://www.env.gov.bc.ca/esd/distdata/ecosystems/TEI_Scanned_Maps/R09/R09-174</v>
      </c>
      <c r="U2654" t="s">
        <v>3353</v>
      </c>
      <c r="V2654" s="11" t="str">
        <f t="shared" si="165"/>
        <v>http://www.env.gov.bc.ca/esd/distdata/ecosystems/Soil_Data/CAPAMP/</v>
      </c>
      <c r="W2654" t="s">
        <v>3042</v>
      </c>
      <c r="X2654" s="11" t="str">
        <f t="shared" si="166"/>
        <v>http://res.agr.ca/cansis/publications/surveys/bc/</v>
      </c>
      <c r="Y2654" t="s">
        <v>269</v>
      </c>
      <c r="Z2654" s="11" t="str">
        <f t="shared" si="167"/>
        <v>http://www.library.for.gov.bc.ca/#focus</v>
      </c>
      <c r="AA2654" t="s">
        <v>58</v>
      </c>
      <c r="AC2654" t="s">
        <v>58</v>
      </c>
      <c r="AE2654" t="s">
        <v>58</v>
      </c>
      <c r="AG2654" t="s">
        <v>63</v>
      </c>
      <c r="AH2654" s="11" t="str">
        <f t="shared" si="164"/>
        <v>mailto: soilterrain@victoria1.gov.bc.ca</v>
      </c>
    </row>
    <row r="2655" spans="1:34">
      <c r="A2655" t="s">
        <v>5900</v>
      </c>
      <c r="B2655" t="s">
        <v>56</v>
      </c>
      <c r="C2655" s="10" t="s">
        <v>4682</v>
      </c>
      <c r="D2655" t="s">
        <v>58</v>
      </c>
      <c r="E2655" t="s">
        <v>5894</v>
      </c>
      <c r="F2655" t="s">
        <v>5895</v>
      </c>
      <c r="G2655">
        <v>20000</v>
      </c>
      <c r="H2655">
        <v>1974</v>
      </c>
      <c r="I2655" t="s">
        <v>5896</v>
      </c>
      <c r="J2655" t="s">
        <v>58</v>
      </c>
      <c r="K2655" t="s">
        <v>58</v>
      </c>
      <c r="L2655" t="s">
        <v>61</v>
      </c>
      <c r="M2655" t="s">
        <v>58</v>
      </c>
      <c r="Q2655" t="s">
        <v>58</v>
      </c>
      <c r="R2655" s="11" t="str">
        <f>HYPERLINK("\\imagefiles.bcgov\imagery\scanned_maps\moe_terrain_maps\Scanned_T_maps_all\R09\R09-181","\\imagefiles.bcgov\imagery\scanned_maps\moe_terrain_maps\Scanned_T_maps_all\R09\R09-181")</f>
        <v>\\imagefiles.bcgov\imagery\scanned_maps\moe_terrain_maps\Scanned_T_maps_all\R09\R09-181</v>
      </c>
      <c r="S2655" t="s">
        <v>62</v>
      </c>
      <c r="T2655" s="11" t="str">
        <f>HYPERLINK("http://www.env.gov.bc.ca/esd/distdata/ecosystems/TEI_Scanned_Maps/R09/R09-181","http://www.env.gov.bc.ca/esd/distdata/ecosystems/TEI_Scanned_Maps/R09/R09-181")</f>
        <v>http://www.env.gov.bc.ca/esd/distdata/ecosystems/TEI_Scanned_Maps/R09/R09-181</v>
      </c>
      <c r="U2655" t="s">
        <v>3353</v>
      </c>
      <c r="V2655" s="11" t="str">
        <f t="shared" si="165"/>
        <v>http://www.env.gov.bc.ca/esd/distdata/ecosystems/Soil_Data/CAPAMP/</v>
      </c>
      <c r="W2655" t="s">
        <v>3042</v>
      </c>
      <c r="X2655" s="11" t="str">
        <f t="shared" si="166"/>
        <v>http://res.agr.ca/cansis/publications/surveys/bc/</v>
      </c>
      <c r="Y2655" t="s">
        <v>269</v>
      </c>
      <c r="Z2655" s="11" t="str">
        <f t="shared" si="167"/>
        <v>http://www.library.for.gov.bc.ca/#focus</v>
      </c>
      <c r="AA2655" t="s">
        <v>58</v>
      </c>
      <c r="AC2655" t="s">
        <v>58</v>
      </c>
      <c r="AE2655" t="s">
        <v>58</v>
      </c>
      <c r="AG2655" t="s">
        <v>63</v>
      </c>
      <c r="AH2655" s="11" t="str">
        <f t="shared" si="164"/>
        <v>mailto: soilterrain@victoria1.gov.bc.ca</v>
      </c>
    </row>
    <row r="2656" spans="1:34">
      <c r="A2656" t="s">
        <v>5901</v>
      </c>
      <c r="B2656" t="s">
        <v>56</v>
      </c>
      <c r="C2656" s="10" t="s">
        <v>5395</v>
      </c>
      <c r="D2656" t="s">
        <v>58</v>
      </c>
      <c r="E2656" t="s">
        <v>5894</v>
      </c>
      <c r="F2656" t="s">
        <v>5895</v>
      </c>
      <c r="G2656">
        <v>20000</v>
      </c>
      <c r="H2656">
        <v>1981</v>
      </c>
      <c r="I2656" t="s">
        <v>5896</v>
      </c>
      <c r="J2656" t="s">
        <v>58</v>
      </c>
      <c r="K2656" t="s">
        <v>58</v>
      </c>
      <c r="L2656" t="s">
        <v>61</v>
      </c>
      <c r="M2656" t="s">
        <v>58</v>
      </c>
      <c r="Q2656" t="s">
        <v>58</v>
      </c>
      <c r="R2656" s="11" t="str">
        <f>HYPERLINK("\\imagefiles.bcgov\imagery\scanned_maps\moe_terrain_maps\Scanned_T_maps_all\R09\R09-187","\\imagefiles.bcgov\imagery\scanned_maps\moe_terrain_maps\Scanned_T_maps_all\R09\R09-187")</f>
        <v>\\imagefiles.bcgov\imagery\scanned_maps\moe_terrain_maps\Scanned_T_maps_all\R09\R09-187</v>
      </c>
      <c r="S2656" t="s">
        <v>62</v>
      </c>
      <c r="T2656" s="11" t="str">
        <f>HYPERLINK("http://www.env.gov.bc.ca/esd/distdata/ecosystems/TEI_Scanned_Maps/R09/R09-187","http://www.env.gov.bc.ca/esd/distdata/ecosystems/TEI_Scanned_Maps/R09/R09-187")</f>
        <v>http://www.env.gov.bc.ca/esd/distdata/ecosystems/TEI_Scanned_Maps/R09/R09-187</v>
      </c>
      <c r="U2656" t="s">
        <v>3353</v>
      </c>
      <c r="V2656" s="11" t="str">
        <f t="shared" si="165"/>
        <v>http://www.env.gov.bc.ca/esd/distdata/ecosystems/Soil_Data/CAPAMP/</v>
      </c>
      <c r="W2656" t="s">
        <v>3042</v>
      </c>
      <c r="X2656" s="11" t="str">
        <f t="shared" si="166"/>
        <v>http://res.agr.ca/cansis/publications/surveys/bc/</v>
      </c>
      <c r="Y2656" t="s">
        <v>269</v>
      </c>
      <c r="Z2656" s="11" t="str">
        <f t="shared" si="167"/>
        <v>http://www.library.for.gov.bc.ca/#focus</v>
      </c>
      <c r="AA2656" t="s">
        <v>58</v>
      </c>
      <c r="AC2656" t="s">
        <v>58</v>
      </c>
      <c r="AE2656" t="s">
        <v>58</v>
      </c>
      <c r="AG2656" t="s">
        <v>63</v>
      </c>
      <c r="AH2656" s="11" t="str">
        <f t="shared" si="164"/>
        <v>mailto: soilterrain@victoria1.gov.bc.ca</v>
      </c>
    </row>
    <row r="2657" spans="1:34">
      <c r="A2657" t="s">
        <v>5902</v>
      </c>
      <c r="B2657" t="s">
        <v>56</v>
      </c>
      <c r="C2657" s="10" t="s">
        <v>5397</v>
      </c>
      <c r="D2657" t="s">
        <v>58</v>
      </c>
      <c r="E2657" t="s">
        <v>5894</v>
      </c>
      <c r="F2657" t="s">
        <v>5895</v>
      </c>
      <c r="G2657">
        <v>20000</v>
      </c>
      <c r="H2657">
        <v>1974</v>
      </c>
      <c r="I2657" t="s">
        <v>5896</v>
      </c>
      <c r="J2657" t="s">
        <v>58</v>
      </c>
      <c r="K2657" t="s">
        <v>58</v>
      </c>
      <c r="L2657" t="s">
        <v>61</v>
      </c>
      <c r="M2657" t="s">
        <v>58</v>
      </c>
      <c r="Q2657" t="s">
        <v>58</v>
      </c>
      <c r="R2657" s="11" t="str">
        <f>HYPERLINK("\\imagefiles.bcgov\imagery\scanned_maps\moe_terrain_maps\Scanned_T_maps_all\R09\R09-193","\\imagefiles.bcgov\imagery\scanned_maps\moe_terrain_maps\Scanned_T_maps_all\R09\R09-193")</f>
        <v>\\imagefiles.bcgov\imagery\scanned_maps\moe_terrain_maps\Scanned_T_maps_all\R09\R09-193</v>
      </c>
      <c r="S2657" t="s">
        <v>62</v>
      </c>
      <c r="T2657" s="11" t="str">
        <f>HYPERLINK("http://www.env.gov.bc.ca/esd/distdata/ecosystems/TEI_Scanned_Maps/R09/R09-193","http://www.env.gov.bc.ca/esd/distdata/ecosystems/TEI_Scanned_Maps/R09/R09-193")</f>
        <v>http://www.env.gov.bc.ca/esd/distdata/ecosystems/TEI_Scanned_Maps/R09/R09-193</v>
      </c>
      <c r="U2657" t="s">
        <v>3353</v>
      </c>
      <c r="V2657" s="11" t="str">
        <f t="shared" si="165"/>
        <v>http://www.env.gov.bc.ca/esd/distdata/ecosystems/Soil_Data/CAPAMP/</v>
      </c>
      <c r="W2657" t="s">
        <v>3042</v>
      </c>
      <c r="X2657" s="11" t="str">
        <f t="shared" si="166"/>
        <v>http://res.agr.ca/cansis/publications/surveys/bc/</v>
      </c>
      <c r="Y2657" t="s">
        <v>269</v>
      </c>
      <c r="Z2657" s="11" t="str">
        <f t="shared" si="167"/>
        <v>http://www.library.for.gov.bc.ca/#focus</v>
      </c>
      <c r="AA2657" t="s">
        <v>58</v>
      </c>
      <c r="AC2657" t="s">
        <v>58</v>
      </c>
      <c r="AE2657" t="s">
        <v>58</v>
      </c>
      <c r="AG2657" t="s">
        <v>63</v>
      </c>
      <c r="AH2657" s="11" t="str">
        <f t="shared" si="164"/>
        <v>mailto: soilterrain@victoria1.gov.bc.ca</v>
      </c>
    </row>
    <row r="2658" spans="1:34">
      <c r="A2658" t="s">
        <v>5903</v>
      </c>
      <c r="B2658" t="s">
        <v>56</v>
      </c>
      <c r="C2658" s="10" t="s">
        <v>5399</v>
      </c>
      <c r="D2658" t="s">
        <v>58</v>
      </c>
      <c r="E2658" t="s">
        <v>5894</v>
      </c>
      <c r="F2658" t="s">
        <v>5895</v>
      </c>
      <c r="G2658">
        <v>20000</v>
      </c>
      <c r="H2658">
        <v>1981</v>
      </c>
      <c r="I2658" t="s">
        <v>5896</v>
      </c>
      <c r="J2658" t="s">
        <v>58</v>
      </c>
      <c r="K2658" t="s">
        <v>58</v>
      </c>
      <c r="L2658" t="s">
        <v>61</v>
      </c>
      <c r="M2658" t="s">
        <v>58</v>
      </c>
      <c r="Q2658" t="s">
        <v>58</v>
      </c>
      <c r="R2658" s="11" t="str">
        <f>HYPERLINK("\\imagefiles.bcgov\imagery\scanned_maps\moe_terrain_maps\Scanned_T_maps_all\R09\R09-200","\\imagefiles.bcgov\imagery\scanned_maps\moe_terrain_maps\Scanned_T_maps_all\R09\R09-200")</f>
        <v>\\imagefiles.bcgov\imagery\scanned_maps\moe_terrain_maps\Scanned_T_maps_all\R09\R09-200</v>
      </c>
      <c r="S2658" t="s">
        <v>62</v>
      </c>
      <c r="T2658" s="11" t="str">
        <f>HYPERLINK("http://www.env.gov.bc.ca/esd/distdata/ecosystems/TEI_Scanned_Maps/R09/R09-200","http://www.env.gov.bc.ca/esd/distdata/ecosystems/TEI_Scanned_Maps/R09/R09-200")</f>
        <v>http://www.env.gov.bc.ca/esd/distdata/ecosystems/TEI_Scanned_Maps/R09/R09-200</v>
      </c>
      <c r="U2658" t="s">
        <v>3353</v>
      </c>
      <c r="V2658" s="11" t="str">
        <f t="shared" si="165"/>
        <v>http://www.env.gov.bc.ca/esd/distdata/ecosystems/Soil_Data/CAPAMP/</v>
      </c>
      <c r="W2658" t="s">
        <v>3042</v>
      </c>
      <c r="X2658" s="11" t="str">
        <f t="shared" si="166"/>
        <v>http://res.agr.ca/cansis/publications/surveys/bc/</v>
      </c>
      <c r="Y2658" t="s">
        <v>269</v>
      </c>
      <c r="Z2658" s="11" t="str">
        <f t="shared" si="167"/>
        <v>http://www.library.for.gov.bc.ca/#focus</v>
      </c>
      <c r="AA2658" t="s">
        <v>58</v>
      </c>
      <c r="AC2658" t="s">
        <v>58</v>
      </c>
      <c r="AE2658" t="s">
        <v>58</v>
      </c>
      <c r="AG2658" t="s">
        <v>63</v>
      </c>
      <c r="AH2658" s="11" t="str">
        <f t="shared" si="164"/>
        <v>mailto: soilterrain@victoria1.gov.bc.ca</v>
      </c>
    </row>
    <row r="2659" spans="1:34">
      <c r="A2659" t="s">
        <v>5904</v>
      </c>
      <c r="B2659" t="s">
        <v>56</v>
      </c>
      <c r="C2659" s="10" t="s">
        <v>5401</v>
      </c>
      <c r="D2659" t="s">
        <v>58</v>
      </c>
      <c r="E2659" t="s">
        <v>5894</v>
      </c>
      <c r="F2659" t="s">
        <v>5895</v>
      </c>
      <c r="G2659">
        <v>20000</v>
      </c>
      <c r="H2659">
        <v>1974</v>
      </c>
      <c r="I2659" t="s">
        <v>5896</v>
      </c>
      <c r="J2659" t="s">
        <v>58</v>
      </c>
      <c r="K2659" t="s">
        <v>58</v>
      </c>
      <c r="L2659" t="s">
        <v>61</v>
      </c>
      <c r="M2659" t="s">
        <v>58</v>
      </c>
      <c r="Q2659" t="s">
        <v>58</v>
      </c>
      <c r="R2659" s="11" t="str">
        <f>HYPERLINK("\\imagefiles.bcgov\imagery\scanned_maps\moe_terrain_maps\Scanned_T_maps_all\R09\R09-206","\\imagefiles.bcgov\imagery\scanned_maps\moe_terrain_maps\Scanned_T_maps_all\R09\R09-206")</f>
        <v>\\imagefiles.bcgov\imagery\scanned_maps\moe_terrain_maps\Scanned_T_maps_all\R09\R09-206</v>
      </c>
      <c r="S2659" t="s">
        <v>62</v>
      </c>
      <c r="T2659" s="11" t="str">
        <f>HYPERLINK("http://www.env.gov.bc.ca/esd/distdata/ecosystems/TEI_Scanned_Maps/R09/R09-206","http://www.env.gov.bc.ca/esd/distdata/ecosystems/TEI_Scanned_Maps/R09/R09-206")</f>
        <v>http://www.env.gov.bc.ca/esd/distdata/ecosystems/TEI_Scanned_Maps/R09/R09-206</v>
      </c>
      <c r="U2659" t="s">
        <v>3353</v>
      </c>
      <c r="V2659" s="11" t="str">
        <f t="shared" si="165"/>
        <v>http://www.env.gov.bc.ca/esd/distdata/ecosystems/Soil_Data/CAPAMP/</v>
      </c>
      <c r="W2659" t="s">
        <v>3042</v>
      </c>
      <c r="X2659" s="11" t="str">
        <f t="shared" si="166"/>
        <v>http://res.agr.ca/cansis/publications/surveys/bc/</v>
      </c>
      <c r="Y2659" t="s">
        <v>269</v>
      </c>
      <c r="Z2659" s="11" t="str">
        <f t="shared" si="167"/>
        <v>http://www.library.for.gov.bc.ca/#focus</v>
      </c>
      <c r="AA2659" t="s">
        <v>58</v>
      </c>
      <c r="AC2659" t="s">
        <v>58</v>
      </c>
      <c r="AE2659" t="s">
        <v>58</v>
      </c>
      <c r="AG2659" t="s">
        <v>63</v>
      </c>
      <c r="AH2659" s="11" t="str">
        <f t="shared" si="164"/>
        <v>mailto: soilterrain@victoria1.gov.bc.ca</v>
      </c>
    </row>
    <row r="2660" spans="1:34">
      <c r="A2660" t="s">
        <v>5905</v>
      </c>
      <c r="B2660" t="s">
        <v>56</v>
      </c>
      <c r="C2660" s="10" t="s">
        <v>5403</v>
      </c>
      <c r="D2660" t="s">
        <v>58</v>
      </c>
      <c r="E2660" t="s">
        <v>5894</v>
      </c>
      <c r="F2660" t="s">
        <v>5895</v>
      </c>
      <c r="G2660">
        <v>20000</v>
      </c>
      <c r="H2660">
        <v>1981</v>
      </c>
      <c r="I2660" t="s">
        <v>5896</v>
      </c>
      <c r="J2660" t="s">
        <v>58</v>
      </c>
      <c r="K2660" t="s">
        <v>58</v>
      </c>
      <c r="L2660" t="s">
        <v>61</v>
      </c>
      <c r="M2660" t="s">
        <v>58</v>
      </c>
      <c r="Q2660" t="s">
        <v>58</v>
      </c>
      <c r="R2660" s="11" t="str">
        <f>HYPERLINK("\\imagefiles.bcgov\imagery\scanned_maps\moe_terrain_maps\Scanned_T_maps_all\R09\R09-213","\\imagefiles.bcgov\imagery\scanned_maps\moe_terrain_maps\Scanned_T_maps_all\R09\R09-213")</f>
        <v>\\imagefiles.bcgov\imagery\scanned_maps\moe_terrain_maps\Scanned_T_maps_all\R09\R09-213</v>
      </c>
      <c r="S2660" t="s">
        <v>62</v>
      </c>
      <c r="T2660" s="11" t="str">
        <f>HYPERLINK("http://www.env.gov.bc.ca/esd/distdata/ecosystems/TEI_Scanned_Maps/R09/R09-213","http://www.env.gov.bc.ca/esd/distdata/ecosystems/TEI_Scanned_Maps/R09/R09-213")</f>
        <v>http://www.env.gov.bc.ca/esd/distdata/ecosystems/TEI_Scanned_Maps/R09/R09-213</v>
      </c>
      <c r="U2660" t="s">
        <v>3353</v>
      </c>
      <c r="V2660" s="11" t="str">
        <f t="shared" si="165"/>
        <v>http://www.env.gov.bc.ca/esd/distdata/ecosystems/Soil_Data/CAPAMP/</v>
      </c>
      <c r="W2660" t="s">
        <v>3042</v>
      </c>
      <c r="X2660" s="11" t="str">
        <f t="shared" si="166"/>
        <v>http://res.agr.ca/cansis/publications/surveys/bc/</v>
      </c>
      <c r="Y2660" t="s">
        <v>269</v>
      </c>
      <c r="Z2660" s="11" t="str">
        <f t="shared" si="167"/>
        <v>http://www.library.for.gov.bc.ca/#focus</v>
      </c>
      <c r="AA2660" t="s">
        <v>58</v>
      </c>
      <c r="AC2660" t="s">
        <v>58</v>
      </c>
      <c r="AE2660" t="s">
        <v>58</v>
      </c>
      <c r="AG2660" t="s">
        <v>63</v>
      </c>
      <c r="AH2660" s="11" t="str">
        <f t="shared" si="164"/>
        <v>mailto: soilterrain@victoria1.gov.bc.ca</v>
      </c>
    </row>
    <row r="2661" spans="1:34">
      <c r="A2661" t="s">
        <v>5906</v>
      </c>
      <c r="B2661" t="s">
        <v>56</v>
      </c>
      <c r="C2661" s="10" t="s">
        <v>5405</v>
      </c>
      <c r="D2661" t="s">
        <v>58</v>
      </c>
      <c r="E2661" t="s">
        <v>5894</v>
      </c>
      <c r="F2661" t="s">
        <v>5895</v>
      </c>
      <c r="G2661">
        <v>20000</v>
      </c>
      <c r="H2661">
        <v>1974</v>
      </c>
      <c r="I2661" t="s">
        <v>5896</v>
      </c>
      <c r="J2661" t="s">
        <v>58</v>
      </c>
      <c r="K2661" t="s">
        <v>58</v>
      </c>
      <c r="L2661" t="s">
        <v>61</v>
      </c>
      <c r="M2661" t="s">
        <v>58</v>
      </c>
      <c r="Q2661" t="s">
        <v>58</v>
      </c>
      <c r="R2661" s="11" t="str">
        <f>HYPERLINK("\\imagefiles.bcgov\imagery\scanned_maps\moe_terrain_maps\Scanned_T_maps_all\R09\R09-220","\\imagefiles.bcgov\imagery\scanned_maps\moe_terrain_maps\Scanned_T_maps_all\R09\R09-220")</f>
        <v>\\imagefiles.bcgov\imagery\scanned_maps\moe_terrain_maps\Scanned_T_maps_all\R09\R09-220</v>
      </c>
      <c r="S2661" t="s">
        <v>62</v>
      </c>
      <c r="T2661" s="11" t="str">
        <f>HYPERLINK("http://www.env.gov.bc.ca/esd/distdata/ecosystems/TEI_Scanned_Maps/R09/R09-220","http://www.env.gov.bc.ca/esd/distdata/ecosystems/TEI_Scanned_Maps/R09/R09-220")</f>
        <v>http://www.env.gov.bc.ca/esd/distdata/ecosystems/TEI_Scanned_Maps/R09/R09-220</v>
      </c>
      <c r="U2661" t="s">
        <v>3353</v>
      </c>
      <c r="V2661" s="11" t="str">
        <f t="shared" si="165"/>
        <v>http://www.env.gov.bc.ca/esd/distdata/ecosystems/Soil_Data/CAPAMP/</v>
      </c>
      <c r="W2661" t="s">
        <v>3042</v>
      </c>
      <c r="X2661" s="11" t="str">
        <f t="shared" si="166"/>
        <v>http://res.agr.ca/cansis/publications/surveys/bc/</v>
      </c>
      <c r="Y2661" t="s">
        <v>269</v>
      </c>
      <c r="Z2661" s="11" t="str">
        <f t="shared" si="167"/>
        <v>http://www.library.for.gov.bc.ca/#focus</v>
      </c>
      <c r="AA2661" t="s">
        <v>58</v>
      </c>
      <c r="AC2661" t="s">
        <v>58</v>
      </c>
      <c r="AE2661" t="s">
        <v>58</v>
      </c>
      <c r="AG2661" t="s">
        <v>63</v>
      </c>
      <c r="AH2661" s="11" t="str">
        <f t="shared" si="164"/>
        <v>mailto: soilterrain@victoria1.gov.bc.ca</v>
      </c>
    </row>
    <row r="2662" spans="1:34">
      <c r="A2662" t="s">
        <v>5907</v>
      </c>
      <c r="B2662" t="s">
        <v>56</v>
      </c>
      <c r="C2662" s="10" t="s">
        <v>5407</v>
      </c>
      <c r="D2662" t="s">
        <v>58</v>
      </c>
      <c r="E2662" t="s">
        <v>5894</v>
      </c>
      <c r="F2662" t="s">
        <v>5895</v>
      </c>
      <c r="G2662">
        <v>20000</v>
      </c>
      <c r="H2662">
        <v>1981</v>
      </c>
      <c r="I2662" t="s">
        <v>5896</v>
      </c>
      <c r="J2662" t="s">
        <v>58</v>
      </c>
      <c r="K2662" t="s">
        <v>58</v>
      </c>
      <c r="L2662" t="s">
        <v>61</v>
      </c>
      <c r="M2662" t="s">
        <v>58</v>
      </c>
      <c r="Q2662" t="s">
        <v>58</v>
      </c>
      <c r="R2662" s="11" t="str">
        <f>HYPERLINK("\\imagefiles.bcgov\imagery\scanned_maps\moe_terrain_maps\Scanned_T_maps_all\R09\R09-227","\\imagefiles.bcgov\imagery\scanned_maps\moe_terrain_maps\Scanned_T_maps_all\R09\R09-227")</f>
        <v>\\imagefiles.bcgov\imagery\scanned_maps\moe_terrain_maps\Scanned_T_maps_all\R09\R09-227</v>
      </c>
      <c r="S2662" t="s">
        <v>62</v>
      </c>
      <c r="T2662" s="11" t="str">
        <f>HYPERLINK("http://www.env.gov.bc.ca/esd/distdata/ecosystems/TEI_Scanned_Maps/R09/R09-227","http://www.env.gov.bc.ca/esd/distdata/ecosystems/TEI_Scanned_Maps/R09/R09-227")</f>
        <v>http://www.env.gov.bc.ca/esd/distdata/ecosystems/TEI_Scanned_Maps/R09/R09-227</v>
      </c>
      <c r="U2662" t="s">
        <v>3353</v>
      </c>
      <c r="V2662" s="11" t="str">
        <f t="shared" si="165"/>
        <v>http://www.env.gov.bc.ca/esd/distdata/ecosystems/Soil_Data/CAPAMP/</v>
      </c>
      <c r="W2662" t="s">
        <v>3042</v>
      </c>
      <c r="X2662" s="11" t="str">
        <f t="shared" si="166"/>
        <v>http://res.agr.ca/cansis/publications/surveys/bc/</v>
      </c>
      <c r="Y2662" t="s">
        <v>269</v>
      </c>
      <c r="Z2662" s="11" t="str">
        <f t="shared" si="167"/>
        <v>http://www.library.for.gov.bc.ca/#focus</v>
      </c>
      <c r="AA2662" t="s">
        <v>58</v>
      </c>
      <c r="AC2662" t="s">
        <v>58</v>
      </c>
      <c r="AE2662" t="s">
        <v>58</v>
      </c>
      <c r="AG2662" t="s">
        <v>63</v>
      </c>
      <c r="AH2662" s="11" t="str">
        <f t="shared" si="164"/>
        <v>mailto: soilterrain@victoria1.gov.bc.ca</v>
      </c>
    </row>
    <row r="2663" spans="1:34">
      <c r="A2663" t="s">
        <v>5908</v>
      </c>
      <c r="B2663" t="s">
        <v>56</v>
      </c>
      <c r="C2663" s="10" t="s">
        <v>5409</v>
      </c>
      <c r="D2663" t="s">
        <v>58</v>
      </c>
      <c r="E2663" t="s">
        <v>5894</v>
      </c>
      <c r="F2663" t="s">
        <v>5895</v>
      </c>
      <c r="G2663">
        <v>20000</v>
      </c>
      <c r="H2663">
        <v>1974</v>
      </c>
      <c r="I2663" t="s">
        <v>5896</v>
      </c>
      <c r="J2663" t="s">
        <v>58</v>
      </c>
      <c r="K2663" t="s">
        <v>58</v>
      </c>
      <c r="L2663" t="s">
        <v>61</v>
      </c>
      <c r="M2663" t="s">
        <v>58</v>
      </c>
      <c r="Q2663" t="s">
        <v>58</v>
      </c>
      <c r="R2663" s="11" t="str">
        <f>HYPERLINK("\\imagefiles.bcgov\imagery\scanned_maps\moe_terrain_maps\Scanned_T_maps_all\R09\R09-234","\\imagefiles.bcgov\imagery\scanned_maps\moe_terrain_maps\Scanned_T_maps_all\R09\R09-234")</f>
        <v>\\imagefiles.bcgov\imagery\scanned_maps\moe_terrain_maps\Scanned_T_maps_all\R09\R09-234</v>
      </c>
      <c r="S2663" t="s">
        <v>62</v>
      </c>
      <c r="T2663" s="11" t="str">
        <f>HYPERLINK("http://www.env.gov.bc.ca/esd/distdata/ecosystems/TEI_Scanned_Maps/R09/R09-234","http://www.env.gov.bc.ca/esd/distdata/ecosystems/TEI_Scanned_Maps/R09/R09-234")</f>
        <v>http://www.env.gov.bc.ca/esd/distdata/ecosystems/TEI_Scanned_Maps/R09/R09-234</v>
      </c>
      <c r="U2663" t="s">
        <v>3353</v>
      </c>
      <c r="V2663" s="11" t="str">
        <f t="shared" si="165"/>
        <v>http://www.env.gov.bc.ca/esd/distdata/ecosystems/Soil_Data/CAPAMP/</v>
      </c>
      <c r="W2663" t="s">
        <v>3042</v>
      </c>
      <c r="X2663" s="11" t="str">
        <f t="shared" si="166"/>
        <v>http://res.agr.ca/cansis/publications/surveys/bc/</v>
      </c>
      <c r="Y2663" t="s">
        <v>269</v>
      </c>
      <c r="Z2663" s="11" t="str">
        <f t="shared" si="167"/>
        <v>http://www.library.for.gov.bc.ca/#focus</v>
      </c>
      <c r="AA2663" t="s">
        <v>58</v>
      </c>
      <c r="AC2663" t="s">
        <v>58</v>
      </c>
      <c r="AE2663" t="s">
        <v>58</v>
      </c>
      <c r="AG2663" t="s">
        <v>63</v>
      </c>
      <c r="AH2663" s="11" t="str">
        <f t="shared" si="164"/>
        <v>mailto: soilterrain@victoria1.gov.bc.ca</v>
      </c>
    </row>
    <row r="2664" spans="1:34">
      <c r="A2664" t="s">
        <v>5909</v>
      </c>
      <c r="B2664" t="s">
        <v>56</v>
      </c>
      <c r="C2664" s="10" t="s">
        <v>5411</v>
      </c>
      <c r="D2664" t="s">
        <v>58</v>
      </c>
      <c r="E2664" t="s">
        <v>5894</v>
      </c>
      <c r="F2664" t="s">
        <v>5895</v>
      </c>
      <c r="G2664">
        <v>20000</v>
      </c>
      <c r="H2664">
        <v>1981</v>
      </c>
      <c r="I2664" t="s">
        <v>5896</v>
      </c>
      <c r="J2664" t="s">
        <v>58</v>
      </c>
      <c r="K2664" t="s">
        <v>58</v>
      </c>
      <c r="L2664" t="s">
        <v>61</v>
      </c>
      <c r="M2664" t="s">
        <v>58</v>
      </c>
      <c r="Q2664" t="s">
        <v>58</v>
      </c>
      <c r="R2664" s="11" t="str">
        <f>HYPERLINK("\\imagefiles.bcgov\imagery\scanned_maps\moe_terrain_maps\Scanned_T_maps_all\R09\R09-241","\\imagefiles.bcgov\imagery\scanned_maps\moe_terrain_maps\Scanned_T_maps_all\R09\R09-241")</f>
        <v>\\imagefiles.bcgov\imagery\scanned_maps\moe_terrain_maps\Scanned_T_maps_all\R09\R09-241</v>
      </c>
      <c r="S2664" t="s">
        <v>62</v>
      </c>
      <c r="T2664" s="11" t="str">
        <f>HYPERLINK("http://www.env.gov.bc.ca/esd/distdata/ecosystems/TEI_Scanned_Maps/R09/R09-241","http://www.env.gov.bc.ca/esd/distdata/ecosystems/TEI_Scanned_Maps/R09/R09-241")</f>
        <v>http://www.env.gov.bc.ca/esd/distdata/ecosystems/TEI_Scanned_Maps/R09/R09-241</v>
      </c>
      <c r="U2664" t="s">
        <v>3353</v>
      </c>
      <c r="V2664" s="11" t="str">
        <f t="shared" si="165"/>
        <v>http://www.env.gov.bc.ca/esd/distdata/ecosystems/Soil_Data/CAPAMP/</v>
      </c>
      <c r="W2664" t="s">
        <v>3042</v>
      </c>
      <c r="X2664" s="11" t="str">
        <f t="shared" si="166"/>
        <v>http://res.agr.ca/cansis/publications/surveys/bc/</v>
      </c>
      <c r="Y2664" t="s">
        <v>269</v>
      </c>
      <c r="Z2664" s="11" t="str">
        <f t="shared" si="167"/>
        <v>http://www.library.for.gov.bc.ca/#focus</v>
      </c>
      <c r="AA2664" t="s">
        <v>58</v>
      </c>
      <c r="AC2664" t="s">
        <v>58</v>
      </c>
      <c r="AE2664" t="s">
        <v>58</v>
      </c>
      <c r="AG2664" t="s">
        <v>63</v>
      </c>
      <c r="AH2664" s="11" t="str">
        <f t="shared" si="164"/>
        <v>mailto: soilterrain@victoria1.gov.bc.ca</v>
      </c>
    </row>
    <row r="2665" spans="1:34">
      <c r="A2665" t="s">
        <v>5910</v>
      </c>
      <c r="B2665" t="s">
        <v>56</v>
      </c>
      <c r="C2665" s="10" t="s">
        <v>5413</v>
      </c>
      <c r="D2665" t="s">
        <v>58</v>
      </c>
      <c r="E2665" t="s">
        <v>5894</v>
      </c>
      <c r="F2665" t="s">
        <v>5895</v>
      </c>
      <c r="G2665">
        <v>20000</v>
      </c>
      <c r="H2665">
        <v>1974</v>
      </c>
      <c r="I2665" t="s">
        <v>5896</v>
      </c>
      <c r="J2665" t="s">
        <v>58</v>
      </c>
      <c r="K2665" t="s">
        <v>58</v>
      </c>
      <c r="L2665" t="s">
        <v>61</v>
      </c>
      <c r="M2665" t="s">
        <v>58</v>
      </c>
      <c r="Q2665" t="s">
        <v>58</v>
      </c>
      <c r="R2665" s="11" t="str">
        <f>HYPERLINK("\\imagefiles.bcgov\imagery\scanned_maps\moe_terrain_maps\Scanned_T_maps_all\R09\R09-248","\\imagefiles.bcgov\imagery\scanned_maps\moe_terrain_maps\Scanned_T_maps_all\R09\R09-248")</f>
        <v>\\imagefiles.bcgov\imagery\scanned_maps\moe_terrain_maps\Scanned_T_maps_all\R09\R09-248</v>
      </c>
      <c r="S2665" t="s">
        <v>62</v>
      </c>
      <c r="T2665" s="11" t="str">
        <f>HYPERLINK("http://www.env.gov.bc.ca/esd/distdata/ecosystems/TEI_Scanned_Maps/R09/R09-248","http://www.env.gov.bc.ca/esd/distdata/ecosystems/TEI_Scanned_Maps/R09/R09-248")</f>
        <v>http://www.env.gov.bc.ca/esd/distdata/ecosystems/TEI_Scanned_Maps/R09/R09-248</v>
      </c>
      <c r="U2665" t="s">
        <v>3353</v>
      </c>
      <c r="V2665" s="11" t="str">
        <f t="shared" si="165"/>
        <v>http://www.env.gov.bc.ca/esd/distdata/ecosystems/Soil_Data/CAPAMP/</v>
      </c>
      <c r="W2665" t="s">
        <v>3042</v>
      </c>
      <c r="X2665" s="11" t="str">
        <f t="shared" si="166"/>
        <v>http://res.agr.ca/cansis/publications/surveys/bc/</v>
      </c>
      <c r="Y2665" t="s">
        <v>269</v>
      </c>
      <c r="Z2665" s="11" t="str">
        <f t="shared" si="167"/>
        <v>http://www.library.for.gov.bc.ca/#focus</v>
      </c>
      <c r="AA2665" t="s">
        <v>58</v>
      </c>
      <c r="AC2665" t="s">
        <v>58</v>
      </c>
      <c r="AE2665" t="s">
        <v>58</v>
      </c>
      <c r="AG2665" t="s">
        <v>63</v>
      </c>
      <c r="AH2665" s="11" t="str">
        <f t="shared" si="164"/>
        <v>mailto: soilterrain@victoria1.gov.bc.ca</v>
      </c>
    </row>
    <row r="2666" spans="1:34">
      <c r="A2666" t="s">
        <v>5911</v>
      </c>
      <c r="B2666" t="s">
        <v>56</v>
      </c>
      <c r="C2666" s="10" t="s">
        <v>5415</v>
      </c>
      <c r="D2666" t="s">
        <v>58</v>
      </c>
      <c r="E2666" t="s">
        <v>5894</v>
      </c>
      <c r="F2666" t="s">
        <v>5895</v>
      </c>
      <c r="G2666">
        <v>20000</v>
      </c>
      <c r="H2666">
        <v>1975</v>
      </c>
      <c r="I2666" t="s">
        <v>5896</v>
      </c>
      <c r="J2666" t="s">
        <v>58</v>
      </c>
      <c r="K2666" t="s">
        <v>58</v>
      </c>
      <c r="L2666" t="s">
        <v>61</v>
      </c>
      <c r="M2666" t="s">
        <v>58</v>
      </c>
      <c r="Q2666" t="s">
        <v>58</v>
      </c>
      <c r="R2666" s="11" t="str">
        <f>HYPERLINK("\\imagefiles.bcgov\imagery\scanned_maps\moe_terrain_maps\Scanned_T_maps_all\R09\R09-255","\\imagefiles.bcgov\imagery\scanned_maps\moe_terrain_maps\Scanned_T_maps_all\R09\R09-255")</f>
        <v>\\imagefiles.bcgov\imagery\scanned_maps\moe_terrain_maps\Scanned_T_maps_all\R09\R09-255</v>
      </c>
      <c r="S2666" t="s">
        <v>62</v>
      </c>
      <c r="T2666" s="11" t="str">
        <f>HYPERLINK("http://www.env.gov.bc.ca/esd/distdata/ecosystems/TEI_Scanned_Maps/R09/R09-255","http://www.env.gov.bc.ca/esd/distdata/ecosystems/TEI_Scanned_Maps/R09/R09-255")</f>
        <v>http://www.env.gov.bc.ca/esd/distdata/ecosystems/TEI_Scanned_Maps/R09/R09-255</v>
      </c>
      <c r="U2666" t="s">
        <v>3353</v>
      </c>
      <c r="V2666" s="11" t="str">
        <f t="shared" si="165"/>
        <v>http://www.env.gov.bc.ca/esd/distdata/ecosystems/Soil_Data/CAPAMP/</v>
      </c>
      <c r="W2666" t="s">
        <v>3042</v>
      </c>
      <c r="X2666" s="11" t="str">
        <f t="shared" si="166"/>
        <v>http://res.agr.ca/cansis/publications/surveys/bc/</v>
      </c>
      <c r="Y2666" t="s">
        <v>269</v>
      </c>
      <c r="Z2666" s="11" t="str">
        <f t="shared" si="167"/>
        <v>http://www.library.for.gov.bc.ca/#focus</v>
      </c>
      <c r="AA2666" t="s">
        <v>58</v>
      </c>
      <c r="AC2666" t="s">
        <v>58</v>
      </c>
      <c r="AE2666" t="s">
        <v>58</v>
      </c>
      <c r="AG2666" t="s">
        <v>63</v>
      </c>
      <c r="AH2666" s="11" t="str">
        <f t="shared" si="164"/>
        <v>mailto: soilterrain@victoria1.gov.bc.ca</v>
      </c>
    </row>
    <row r="2667" spans="1:34">
      <c r="A2667" t="s">
        <v>5912</v>
      </c>
      <c r="B2667" t="s">
        <v>56</v>
      </c>
      <c r="C2667" s="10" t="s">
        <v>5417</v>
      </c>
      <c r="D2667" t="s">
        <v>58</v>
      </c>
      <c r="E2667" t="s">
        <v>5894</v>
      </c>
      <c r="F2667" t="s">
        <v>5895</v>
      </c>
      <c r="G2667">
        <v>20000</v>
      </c>
      <c r="H2667">
        <v>1979</v>
      </c>
      <c r="I2667" t="s">
        <v>5896</v>
      </c>
      <c r="J2667" t="s">
        <v>58</v>
      </c>
      <c r="K2667" t="s">
        <v>58</v>
      </c>
      <c r="L2667" t="s">
        <v>61</v>
      </c>
      <c r="M2667" t="s">
        <v>58</v>
      </c>
      <c r="Q2667" t="s">
        <v>58</v>
      </c>
      <c r="R2667" s="11" t="str">
        <f>HYPERLINK("\\imagefiles.bcgov\imagery\scanned_maps\moe_terrain_maps\Scanned_T_maps_all\R09\R09-262","\\imagefiles.bcgov\imagery\scanned_maps\moe_terrain_maps\Scanned_T_maps_all\R09\R09-262")</f>
        <v>\\imagefiles.bcgov\imagery\scanned_maps\moe_terrain_maps\Scanned_T_maps_all\R09\R09-262</v>
      </c>
      <c r="S2667" t="s">
        <v>62</v>
      </c>
      <c r="T2667" s="11" t="str">
        <f>HYPERLINK("http://www.env.gov.bc.ca/esd/distdata/ecosystems/TEI_Scanned_Maps/R09/R09-262","http://www.env.gov.bc.ca/esd/distdata/ecosystems/TEI_Scanned_Maps/R09/R09-262")</f>
        <v>http://www.env.gov.bc.ca/esd/distdata/ecosystems/TEI_Scanned_Maps/R09/R09-262</v>
      </c>
      <c r="U2667" t="s">
        <v>3353</v>
      </c>
      <c r="V2667" s="11" t="str">
        <f t="shared" si="165"/>
        <v>http://www.env.gov.bc.ca/esd/distdata/ecosystems/Soil_Data/CAPAMP/</v>
      </c>
      <c r="W2667" t="s">
        <v>3042</v>
      </c>
      <c r="X2667" s="11" t="str">
        <f t="shared" si="166"/>
        <v>http://res.agr.ca/cansis/publications/surveys/bc/</v>
      </c>
      <c r="Y2667" t="s">
        <v>269</v>
      </c>
      <c r="Z2667" s="11" t="str">
        <f t="shared" si="167"/>
        <v>http://www.library.for.gov.bc.ca/#focus</v>
      </c>
      <c r="AA2667" t="s">
        <v>58</v>
      </c>
      <c r="AC2667" t="s">
        <v>58</v>
      </c>
      <c r="AE2667" t="s">
        <v>58</v>
      </c>
      <c r="AG2667" t="s">
        <v>63</v>
      </c>
      <c r="AH2667" s="11" t="str">
        <f t="shared" si="164"/>
        <v>mailto: soilterrain@victoria1.gov.bc.ca</v>
      </c>
    </row>
    <row r="2668" spans="1:34">
      <c r="A2668" t="s">
        <v>5913</v>
      </c>
      <c r="B2668" t="s">
        <v>56</v>
      </c>
      <c r="C2668" s="10" t="s">
        <v>5419</v>
      </c>
      <c r="D2668" t="s">
        <v>58</v>
      </c>
      <c r="E2668" t="s">
        <v>5894</v>
      </c>
      <c r="F2668" t="s">
        <v>5895</v>
      </c>
      <c r="G2668">
        <v>20000</v>
      </c>
      <c r="H2668">
        <v>1974</v>
      </c>
      <c r="I2668" t="s">
        <v>5896</v>
      </c>
      <c r="J2668" t="s">
        <v>58</v>
      </c>
      <c r="K2668" t="s">
        <v>58</v>
      </c>
      <c r="L2668" t="s">
        <v>61</v>
      </c>
      <c r="M2668" t="s">
        <v>58</v>
      </c>
      <c r="Q2668" t="s">
        <v>58</v>
      </c>
      <c r="R2668" s="11" t="str">
        <f>HYPERLINK("\\imagefiles.bcgov\imagery\scanned_maps\moe_terrain_maps\Scanned_T_maps_all\R09\R09-269","\\imagefiles.bcgov\imagery\scanned_maps\moe_terrain_maps\Scanned_T_maps_all\R09\R09-269")</f>
        <v>\\imagefiles.bcgov\imagery\scanned_maps\moe_terrain_maps\Scanned_T_maps_all\R09\R09-269</v>
      </c>
      <c r="S2668" t="s">
        <v>62</v>
      </c>
      <c r="T2668" s="11" t="str">
        <f>HYPERLINK("http://www.env.gov.bc.ca/esd/distdata/ecosystems/TEI_Scanned_Maps/R09/R09-269","http://www.env.gov.bc.ca/esd/distdata/ecosystems/TEI_Scanned_Maps/R09/R09-269")</f>
        <v>http://www.env.gov.bc.ca/esd/distdata/ecosystems/TEI_Scanned_Maps/R09/R09-269</v>
      </c>
      <c r="U2668" t="s">
        <v>3353</v>
      </c>
      <c r="V2668" s="11" t="str">
        <f t="shared" si="165"/>
        <v>http://www.env.gov.bc.ca/esd/distdata/ecosystems/Soil_Data/CAPAMP/</v>
      </c>
      <c r="W2668" t="s">
        <v>3042</v>
      </c>
      <c r="X2668" s="11" t="str">
        <f t="shared" si="166"/>
        <v>http://res.agr.ca/cansis/publications/surveys/bc/</v>
      </c>
      <c r="Y2668" t="s">
        <v>269</v>
      </c>
      <c r="Z2668" s="11" t="str">
        <f t="shared" si="167"/>
        <v>http://www.library.for.gov.bc.ca/#focus</v>
      </c>
      <c r="AA2668" t="s">
        <v>58</v>
      </c>
      <c r="AC2668" t="s">
        <v>58</v>
      </c>
      <c r="AE2668" t="s">
        <v>58</v>
      </c>
      <c r="AG2668" t="s">
        <v>63</v>
      </c>
      <c r="AH2668" s="11" t="str">
        <f t="shared" si="164"/>
        <v>mailto: soilterrain@victoria1.gov.bc.ca</v>
      </c>
    </row>
    <row r="2669" spans="1:34">
      <c r="A2669" t="s">
        <v>5914</v>
      </c>
      <c r="B2669" t="s">
        <v>56</v>
      </c>
      <c r="C2669" s="10" t="s">
        <v>5421</v>
      </c>
      <c r="D2669" t="s">
        <v>58</v>
      </c>
      <c r="E2669" t="s">
        <v>5894</v>
      </c>
      <c r="F2669" t="s">
        <v>5895</v>
      </c>
      <c r="G2669">
        <v>20000</v>
      </c>
      <c r="H2669">
        <v>1975</v>
      </c>
      <c r="I2669" t="s">
        <v>5896</v>
      </c>
      <c r="J2669" t="s">
        <v>58</v>
      </c>
      <c r="K2669" t="s">
        <v>58</v>
      </c>
      <c r="L2669" t="s">
        <v>61</v>
      </c>
      <c r="M2669" t="s">
        <v>58</v>
      </c>
      <c r="Q2669" t="s">
        <v>58</v>
      </c>
      <c r="R2669" s="11" t="str">
        <f>HYPERLINK("\\imagefiles.bcgov\imagery\scanned_maps\moe_terrain_maps\Scanned_T_maps_all\R09\R09-276","\\imagefiles.bcgov\imagery\scanned_maps\moe_terrain_maps\Scanned_T_maps_all\R09\R09-276")</f>
        <v>\\imagefiles.bcgov\imagery\scanned_maps\moe_terrain_maps\Scanned_T_maps_all\R09\R09-276</v>
      </c>
      <c r="S2669" t="s">
        <v>62</v>
      </c>
      <c r="T2669" s="11" t="str">
        <f>HYPERLINK("http://www.env.gov.bc.ca/esd/distdata/ecosystems/TEI_Scanned_Maps/R09/R09-276","http://www.env.gov.bc.ca/esd/distdata/ecosystems/TEI_Scanned_Maps/R09/R09-276")</f>
        <v>http://www.env.gov.bc.ca/esd/distdata/ecosystems/TEI_Scanned_Maps/R09/R09-276</v>
      </c>
      <c r="U2669" t="s">
        <v>3353</v>
      </c>
      <c r="V2669" s="11" t="str">
        <f t="shared" si="165"/>
        <v>http://www.env.gov.bc.ca/esd/distdata/ecosystems/Soil_Data/CAPAMP/</v>
      </c>
      <c r="W2669" t="s">
        <v>3042</v>
      </c>
      <c r="X2669" s="11" t="str">
        <f t="shared" si="166"/>
        <v>http://res.agr.ca/cansis/publications/surveys/bc/</v>
      </c>
      <c r="Y2669" t="s">
        <v>269</v>
      </c>
      <c r="Z2669" s="11" t="str">
        <f t="shared" si="167"/>
        <v>http://www.library.for.gov.bc.ca/#focus</v>
      </c>
      <c r="AA2669" t="s">
        <v>58</v>
      </c>
      <c r="AC2669" t="s">
        <v>58</v>
      </c>
      <c r="AE2669" t="s">
        <v>58</v>
      </c>
      <c r="AG2669" t="s">
        <v>63</v>
      </c>
      <c r="AH2669" s="11" t="str">
        <f t="shared" si="164"/>
        <v>mailto: soilterrain@victoria1.gov.bc.ca</v>
      </c>
    </row>
    <row r="2670" spans="1:34">
      <c r="A2670" t="s">
        <v>5915</v>
      </c>
      <c r="B2670" t="s">
        <v>56</v>
      </c>
      <c r="C2670" s="10" t="s">
        <v>5423</v>
      </c>
      <c r="D2670" t="s">
        <v>58</v>
      </c>
      <c r="E2670" t="s">
        <v>5894</v>
      </c>
      <c r="F2670" t="s">
        <v>5895</v>
      </c>
      <c r="G2670">
        <v>20000</v>
      </c>
      <c r="H2670">
        <v>1979</v>
      </c>
      <c r="I2670" t="s">
        <v>5896</v>
      </c>
      <c r="J2670" t="s">
        <v>58</v>
      </c>
      <c r="K2670" t="s">
        <v>58</v>
      </c>
      <c r="L2670" t="s">
        <v>61</v>
      </c>
      <c r="M2670" t="s">
        <v>58</v>
      </c>
      <c r="Q2670" t="s">
        <v>58</v>
      </c>
      <c r="R2670" s="11" t="str">
        <f>HYPERLINK("\\imagefiles.bcgov\imagery\scanned_maps\moe_terrain_maps\Scanned_T_maps_all\R09\R09-283","\\imagefiles.bcgov\imagery\scanned_maps\moe_terrain_maps\Scanned_T_maps_all\R09\R09-283")</f>
        <v>\\imagefiles.bcgov\imagery\scanned_maps\moe_terrain_maps\Scanned_T_maps_all\R09\R09-283</v>
      </c>
      <c r="S2670" t="s">
        <v>62</v>
      </c>
      <c r="T2670" s="11" t="str">
        <f>HYPERLINK("http://www.env.gov.bc.ca/esd/distdata/ecosystems/TEI_Scanned_Maps/R09/R09-283","http://www.env.gov.bc.ca/esd/distdata/ecosystems/TEI_Scanned_Maps/R09/R09-283")</f>
        <v>http://www.env.gov.bc.ca/esd/distdata/ecosystems/TEI_Scanned_Maps/R09/R09-283</v>
      </c>
      <c r="U2670" t="s">
        <v>3353</v>
      </c>
      <c r="V2670" s="11" t="str">
        <f t="shared" si="165"/>
        <v>http://www.env.gov.bc.ca/esd/distdata/ecosystems/Soil_Data/CAPAMP/</v>
      </c>
      <c r="W2670" t="s">
        <v>3042</v>
      </c>
      <c r="X2670" s="11" t="str">
        <f t="shared" si="166"/>
        <v>http://res.agr.ca/cansis/publications/surveys/bc/</v>
      </c>
      <c r="Y2670" t="s">
        <v>269</v>
      </c>
      <c r="Z2670" s="11" t="str">
        <f t="shared" si="167"/>
        <v>http://www.library.for.gov.bc.ca/#focus</v>
      </c>
      <c r="AA2670" t="s">
        <v>58</v>
      </c>
      <c r="AC2670" t="s">
        <v>58</v>
      </c>
      <c r="AE2670" t="s">
        <v>58</v>
      </c>
      <c r="AG2670" t="s">
        <v>63</v>
      </c>
      <c r="AH2670" s="11" t="str">
        <f t="shared" si="164"/>
        <v>mailto: soilterrain@victoria1.gov.bc.ca</v>
      </c>
    </row>
    <row r="2671" spans="1:34">
      <c r="A2671" t="s">
        <v>5916</v>
      </c>
      <c r="B2671" t="s">
        <v>56</v>
      </c>
      <c r="C2671" s="10" t="s">
        <v>5425</v>
      </c>
      <c r="D2671" t="s">
        <v>58</v>
      </c>
      <c r="E2671" t="s">
        <v>5894</v>
      </c>
      <c r="F2671" t="s">
        <v>5895</v>
      </c>
      <c r="G2671">
        <v>20000</v>
      </c>
      <c r="H2671">
        <v>1976</v>
      </c>
      <c r="I2671" t="s">
        <v>5896</v>
      </c>
      <c r="J2671" t="s">
        <v>58</v>
      </c>
      <c r="K2671" t="s">
        <v>58</v>
      </c>
      <c r="L2671" t="s">
        <v>61</v>
      </c>
      <c r="M2671" t="s">
        <v>58</v>
      </c>
      <c r="Q2671" t="s">
        <v>58</v>
      </c>
      <c r="R2671" s="11" t="str">
        <f>HYPERLINK("\\imagefiles.bcgov\imagery\scanned_maps\moe_terrain_maps\Scanned_T_maps_all\R09\R09-290","\\imagefiles.bcgov\imagery\scanned_maps\moe_terrain_maps\Scanned_T_maps_all\R09\R09-290")</f>
        <v>\\imagefiles.bcgov\imagery\scanned_maps\moe_terrain_maps\Scanned_T_maps_all\R09\R09-290</v>
      </c>
      <c r="S2671" t="s">
        <v>62</v>
      </c>
      <c r="T2671" s="11" t="str">
        <f>HYPERLINK("http://www.env.gov.bc.ca/esd/distdata/ecosystems/TEI_Scanned_Maps/R09/R09-290","http://www.env.gov.bc.ca/esd/distdata/ecosystems/TEI_Scanned_Maps/R09/R09-290")</f>
        <v>http://www.env.gov.bc.ca/esd/distdata/ecosystems/TEI_Scanned_Maps/R09/R09-290</v>
      </c>
      <c r="U2671" t="s">
        <v>3353</v>
      </c>
      <c r="V2671" s="11" t="str">
        <f t="shared" si="165"/>
        <v>http://www.env.gov.bc.ca/esd/distdata/ecosystems/Soil_Data/CAPAMP/</v>
      </c>
      <c r="W2671" t="s">
        <v>3042</v>
      </c>
      <c r="X2671" s="11" t="str">
        <f t="shared" si="166"/>
        <v>http://res.agr.ca/cansis/publications/surveys/bc/</v>
      </c>
      <c r="Y2671" t="s">
        <v>269</v>
      </c>
      <c r="Z2671" s="11" t="str">
        <f t="shared" si="167"/>
        <v>http://www.library.for.gov.bc.ca/#focus</v>
      </c>
      <c r="AA2671" t="s">
        <v>58</v>
      </c>
      <c r="AC2671" t="s">
        <v>58</v>
      </c>
      <c r="AE2671" t="s">
        <v>58</v>
      </c>
      <c r="AG2671" t="s">
        <v>63</v>
      </c>
      <c r="AH2671" s="11" t="str">
        <f t="shared" si="164"/>
        <v>mailto: soilterrain@victoria1.gov.bc.ca</v>
      </c>
    </row>
    <row r="2672" spans="1:34">
      <c r="A2672" t="s">
        <v>5917</v>
      </c>
      <c r="B2672" t="s">
        <v>56</v>
      </c>
      <c r="C2672" s="10" t="s">
        <v>5427</v>
      </c>
      <c r="D2672" t="s">
        <v>58</v>
      </c>
      <c r="E2672" t="s">
        <v>5894</v>
      </c>
      <c r="F2672" t="s">
        <v>5895</v>
      </c>
      <c r="G2672">
        <v>20000</v>
      </c>
      <c r="H2672">
        <v>1981</v>
      </c>
      <c r="I2672" t="s">
        <v>5896</v>
      </c>
      <c r="J2672" t="s">
        <v>58</v>
      </c>
      <c r="K2672" t="s">
        <v>58</v>
      </c>
      <c r="L2672" t="s">
        <v>61</v>
      </c>
      <c r="M2672" t="s">
        <v>58</v>
      </c>
      <c r="Q2672" t="s">
        <v>58</v>
      </c>
      <c r="R2672" s="11" t="str">
        <f>HYPERLINK("\\imagefiles.bcgov\imagery\scanned_maps\moe_terrain_maps\Scanned_T_maps_all\R09\R09-298","\\imagefiles.bcgov\imagery\scanned_maps\moe_terrain_maps\Scanned_T_maps_all\R09\R09-298")</f>
        <v>\\imagefiles.bcgov\imagery\scanned_maps\moe_terrain_maps\Scanned_T_maps_all\R09\R09-298</v>
      </c>
      <c r="S2672" t="s">
        <v>62</v>
      </c>
      <c r="T2672" s="11" t="str">
        <f>HYPERLINK("http://www.env.gov.bc.ca/esd/distdata/ecosystems/TEI_Scanned_Maps/R09/R09-298","http://www.env.gov.bc.ca/esd/distdata/ecosystems/TEI_Scanned_Maps/R09/R09-298")</f>
        <v>http://www.env.gov.bc.ca/esd/distdata/ecosystems/TEI_Scanned_Maps/R09/R09-298</v>
      </c>
      <c r="U2672" t="s">
        <v>3353</v>
      </c>
      <c r="V2672" s="11" t="str">
        <f t="shared" si="165"/>
        <v>http://www.env.gov.bc.ca/esd/distdata/ecosystems/Soil_Data/CAPAMP/</v>
      </c>
      <c r="W2672" t="s">
        <v>3042</v>
      </c>
      <c r="X2672" s="11" t="str">
        <f t="shared" si="166"/>
        <v>http://res.agr.ca/cansis/publications/surveys/bc/</v>
      </c>
      <c r="Y2672" t="s">
        <v>269</v>
      </c>
      <c r="Z2672" s="11" t="str">
        <f t="shared" si="167"/>
        <v>http://www.library.for.gov.bc.ca/#focus</v>
      </c>
      <c r="AA2672" t="s">
        <v>58</v>
      </c>
      <c r="AC2672" t="s">
        <v>58</v>
      </c>
      <c r="AE2672" t="s">
        <v>58</v>
      </c>
      <c r="AG2672" t="s">
        <v>63</v>
      </c>
      <c r="AH2672" s="11" t="str">
        <f t="shared" si="164"/>
        <v>mailto: soilterrain@victoria1.gov.bc.ca</v>
      </c>
    </row>
    <row r="2673" spans="1:34">
      <c r="A2673" t="s">
        <v>5918</v>
      </c>
      <c r="B2673" t="s">
        <v>56</v>
      </c>
      <c r="C2673" s="10" t="s">
        <v>4613</v>
      </c>
      <c r="D2673" t="s">
        <v>58</v>
      </c>
      <c r="E2673" t="s">
        <v>5894</v>
      </c>
      <c r="F2673" t="s">
        <v>5895</v>
      </c>
      <c r="G2673">
        <v>20000</v>
      </c>
      <c r="H2673">
        <v>1976</v>
      </c>
      <c r="I2673" t="s">
        <v>5896</v>
      </c>
      <c r="J2673" t="s">
        <v>58</v>
      </c>
      <c r="K2673" t="s">
        <v>58</v>
      </c>
      <c r="L2673" t="s">
        <v>61</v>
      </c>
      <c r="M2673" t="s">
        <v>58</v>
      </c>
      <c r="Q2673" t="s">
        <v>58</v>
      </c>
      <c r="R2673" s="11" t="str">
        <f>HYPERLINK("\\imagefiles.bcgov\imagery\scanned_maps\moe_terrain_maps\Scanned_T_maps_all\R09\R09-305","\\imagefiles.bcgov\imagery\scanned_maps\moe_terrain_maps\Scanned_T_maps_all\R09\R09-305")</f>
        <v>\\imagefiles.bcgov\imagery\scanned_maps\moe_terrain_maps\Scanned_T_maps_all\R09\R09-305</v>
      </c>
      <c r="S2673" t="s">
        <v>62</v>
      </c>
      <c r="T2673" s="11" t="str">
        <f>HYPERLINK("http://www.env.gov.bc.ca/esd/distdata/ecosystems/TEI_Scanned_Maps/R09/R09-305","http://www.env.gov.bc.ca/esd/distdata/ecosystems/TEI_Scanned_Maps/R09/R09-305")</f>
        <v>http://www.env.gov.bc.ca/esd/distdata/ecosystems/TEI_Scanned_Maps/R09/R09-305</v>
      </c>
      <c r="U2673" t="s">
        <v>3353</v>
      </c>
      <c r="V2673" s="11" t="str">
        <f t="shared" si="165"/>
        <v>http://www.env.gov.bc.ca/esd/distdata/ecosystems/Soil_Data/CAPAMP/</v>
      </c>
      <c r="W2673" t="s">
        <v>3042</v>
      </c>
      <c r="X2673" s="11" t="str">
        <f t="shared" si="166"/>
        <v>http://res.agr.ca/cansis/publications/surveys/bc/</v>
      </c>
      <c r="Y2673" t="s">
        <v>269</v>
      </c>
      <c r="Z2673" s="11" t="str">
        <f t="shared" si="167"/>
        <v>http://www.library.for.gov.bc.ca/#focus</v>
      </c>
      <c r="AA2673" t="s">
        <v>58</v>
      </c>
      <c r="AC2673" t="s">
        <v>58</v>
      </c>
      <c r="AE2673" t="s">
        <v>58</v>
      </c>
      <c r="AG2673" t="s">
        <v>63</v>
      </c>
      <c r="AH2673" s="11" t="str">
        <f t="shared" si="164"/>
        <v>mailto: soilterrain@victoria1.gov.bc.ca</v>
      </c>
    </row>
    <row r="2674" spans="1:34">
      <c r="A2674" t="s">
        <v>5919</v>
      </c>
      <c r="B2674" t="s">
        <v>56</v>
      </c>
      <c r="C2674" s="10" t="s">
        <v>5430</v>
      </c>
      <c r="D2674" t="s">
        <v>58</v>
      </c>
      <c r="E2674" t="s">
        <v>5894</v>
      </c>
      <c r="F2674" t="s">
        <v>5895</v>
      </c>
      <c r="G2674">
        <v>20000</v>
      </c>
      <c r="H2674">
        <v>1981</v>
      </c>
      <c r="I2674" t="s">
        <v>5896</v>
      </c>
      <c r="J2674" t="s">
        <v>58</v>
      </c>
      <c r="K2674" t="s">
        <v>58</v>
      </c>
      <c r="L2674" t="s">
        <v>61</v>
      </c>
      <c r="M2674" t="s">
        <v>58</v>
      </c>
      <c r="Q2674" t="s">
        <v>58</v>
      </c>
      <c r="R2674" s="11" t="str">
        <f>HYPERLINK("\\imagefiles.bcgov\imagery\scanned_maps\moe_terrain_maps\Scanned_T_maps_all\R09\R09-312","\\imagefiles.bcgov\imagery\scanned_maps\moe_terrain_maps\Scanned_T_maps_all\R09\R09-312")</f>
        <v>\\imagefiles.bcgov\imagery\scanned_maps\moe_terrain_maps\Scanned_T_maps_all\R09\R09-312</v>
      </c>
      <c r="S2674" t="s">
        <v>62</v>
      </c>
      <c r="T2674" s="11" t="str">
        <f>HYPERLINK("http://www.env.gov.bc.ca/esd/distdata/ecosystems/TEI_Scanned_Maps/R09/R09-312","http://www.env.gov.bc.ca/esd/distdata/ecosystems/TEI_Scanned_Maps/R09/R09-312")</f>
        <v>http://www.env.gov.bc.ca/esd/distdata/ecosystems/TEI_Scanned_Maps/R09/R09-312</v>
      </c>
      <c r="U2674" t="s">
        <v>3353</v>
      </c>
      <c r="V2674" s="11" t="str">
        <f t="shared" si="165"/>
        <v>http://www.env.gov.bc.ca/esd/distdata/ecosystems/Soil_Data/CAPAMP/</v>
      </c>
      <c r="W2674" t="s">
        <v>3042</v>
      </c>
      <c r="X2674" s="11" t="str">
        <f t="shared" si="166"/>
        <v>http://res.agr.ca/cansis/publications/surveys/bc/</v>
      </c>
      <c r="Y2674" t="s">
        <v>269</v>
      </c>
      <c r="Z2674" s="11" t="str">
        <f t="shared" si="167"/>
        <v>http://www.library.for.gov.bc.ca/#focus</v>
      </c>
      <c r="AA2674" t="s">
        <v>58</v>
      </c>
      <c r="AC2674" t="s">
        <v>58</v>
      </c>
      <c r="AE2674" t="s">
        <v>58</v>
      </c>
      <c r="AG2674" t="s">
        <v>63</v>
      </c>
      <c r="AH2674" s="11" t="str">
        <f t="shared" si="164"/>
        <v>mailto: soilterrain@victoria1.gov.bc.ca</v>
      </c>
    </row>
    <row r="2675" spans="1:34">
      <c r="A2675" t="s">
        <v>5920</v>
      </c>
      <c r="B2675" t="s">
        <v>56</v>
      </c>
      <c r="C2675" s="10" t="s">
        <v>5432</v>
      </c>
      <c r="D2675" t="s">
        <v>58</v>
      </c>
      <c r="E2675" t="s">
        <v>5894</v>
      </c>
      <c r="F2675" t="s">
        <v>5895</v>
      </c>
      <c r="G2675">
        <v>20000</v>
      </c>
      <c r="H2675">
        <v>1976</v>
      </c>
      <c r="I2675" t="s">
        <v>5896</v>
      </c>
      <c r="J2675" t="s">
        <v>58</v>
      </c>
      <c r="K2675" t="s">
        <v>58</v>
      </c>
      <c r="L2675" t="s">
        <v>61</v>
      </c>
      <c r="M2675" t="s">
        <v>58</v>
      </c>
      <c r="Q2675" t="s">
        <v>58</v>
      </c>
      <c r="R2675" s="11" t="str">
        <f>HYPERLINK("\\imagefiles.bcgov\imagery\scanned_maps\moe_terrain_maps\Scanned_T_maps_all\R09\R09-655","\\imagefiles.bcgov\imagery\scanned_maps\moe_terrain_maps\Scanned_T_maps_all\R09\R09-655")</f>
        <v>\\imagefiles.bcgov\imagery\scanned_maps\moe_terrain_maps\Scanned_T_maps_all\R09\R09-655</v>
      </c>
      <c r="S2675" t="s">
        <v>62</v>
      </c>
      <c r="T2675" s="11" t="str">
        <f>HYPERLINK("http://www.env.gov.bc.ca/esd/distdata/ecosystems/TEI_Scanned_Maps/R09/R09-655","http://www.env.gov.bc.ca/esd/distdata/ecosystems/TEI_Scanned_Maps/R09/R09-655")</f>
        <v>http://www.env.gov.bc.ca/esd/distdata/ecosystems/TEI_Scanned_Maps/R09/R09-655</v>
      </c>
      <c r="U2675" t="s">
        <v>3353</v>
      </c>
      <c r="V2675" s="11" t="str">
        <f t="shared" si="165"/>
        <v>http://www.env.gov.bc.ca/esd/distdata/ecosystems/Soil_Data/CAPAMP/</v>
      </c>
      <c r="W2675" t="s">
        <v>3042</v>
      </c>
      <c r="X2675" s="11" t="str">
        <f t="shared" si="166"/>
        <v>http://res.agr.ca/cansis/publications/surveys/bc/</v>
      </c>
      <c r="Y2675" t="s">
        <v>269</v>
      </c>
      <c r="Z2675" s="11" t="str">
        <f t="shared" si="167"/>
        <v>http://www.library.for.gov.bc.ca/#focus</v>
      </c>
      <c r="AA2675" t="s">
        <v>58</v>
      </c>
      <c r="AC2675" t="s">
        <v>58</v>
      </c>
      <c r="AE2675" t="s">
        <v>58</v>
      </c>
      <c r="AG2675" t="s">
        <v>63</v>
      </c>
      <c r="AH2675" s="11" t="str">
        <f t="shared" si="164"/>
        <v>mailto: soilterrain@victoria1.gov.bc.ca</v>
      </c>
    </row>
    <row r="2676" spans="1:34">
      <c r="A2676" t="s">
        <v>5921</v>
      </c>
      <c r="B2676" t="s">
        <v>56</v>
      </c>
      <c r="C2676" s="10" t="s">
        <v>5434</v>
      </c>
      <c r="D2676" t="s">
        <v>58</v>
      </c>
      <c r="E2676" t="s">
        <v>5894</v>
      </c>
      <c r="F2676" t="s">
        <v>5895</v>
      </c>
      <c r="G2676">
        <v>20000</v>
      </c>
      <c r="H2676">
        <v>1981</v>
      </c>
      <c r="I2676" t="s">
        <v>5896</v>
      </c>
      <c r="J2676" t="s">
        <v>58</v>
      </c>
      <c r="K2676" t="s">
        <v>58</v>
      </c>
      <c r="L2676" t="s">
        <v>61</v>
      </c>
      <c r="M2676" t="s">
        <v>58</v>
      </c>
      <c r="Q2676" t="s">
        <v>58</v>
      </c>
      <c r="R2676" s="11" t="str">
        <f>HYPERLINK("\\imagefiles.bcgov\imagery\scanned_maps\moe_terrain_maps\Scanned_T_maps_all\R09\R09-662","\\imagefiles.bcgov\imagery\scanned_maps\moe_terrain_maps\Scanned_T_maps_all\R09\R09-662")</f>
        <v>\\imagefiles.bcgov\imagery\scanned_maps\moe_terrain_maps\Scanned_T_maps_all\R09\R09-662</v>
      </c>
      <c r="S2676" t="s">
        <v>62</v>
      </c>
      <c r="T2676" s="11" t="str">
        <f>HYPERLINK("http://www.env.gov.bc.ca/esd/distdata/ecosystems/TEI_Scanned_Maps/R09/R09-662","http://www.env.gov.bc.ca/esd/distdata/ecosystems/TEI_Scanned_Maps/R09/R09-662")</f>
        <v>http://www.env.gov.bc.ca/esd/distdata/ecosystems/TEI_Scanned_Maps/R09/R09-662</v>
      </c>
      <c r="U2676" t="s">
        <v>3353</v>
      </c>
      <c r="V2676" s="11" t="str">
        <f t="shared" si="165"/>
        <v>http://www.env.gov.bc.ca/esd/distdata/ecosystems/Soil_Data/CAPAMP/</v>
      </c>
      <c r="W2676" t="s">
        <v>3042</v>
      </c>
      <c r="X2676" s="11" t="str">
        <f t="shared" si="166"/>
        <v>http://res.agr.ca/cansis/publications/surveys/bc/</v>
      </c>
      <c r="Y2676" t="s">
        <v>269</v>
      </c>
      <c r="Z2676" s="11" t="str">
        <f t="shared" si="167"/>
        <v>http://www.library.for.gov.bc.ca/#focus</v>
      </c>
      <c r="AA2676" t="s">
        <v>58</v>
      </c>
      <c r="AC2676" t="s">
        <v>58</v>
      </c>
      <c r="AE2676" t="s">
        <v>58</v>
      </c>
      <c r="AG2676" t="s">
        <v>63</v>
      </c>
      <c r="AH2676" s="11" t="str">
        <f t="shared" si="164"/>
        <v>mailto: soilterrain@victoria1.gov.bc.ca</v>
      </c>
    </row>
    <row r="2677" spans="1:34">
      <c r="A2677" t="s">
        <v>5922</v>
      </c>
      <c r="B2677" t="s">
        <v>56</v>
      </c>
      <c r="C2677" s="10" t="s">
        <v>5436</v>
      </c>
      <c r="D2677" t="s">
        <v>58</v>
      </c>
      <c r="E2677" t="s">
        <v>5894</v>
      </c>
      <c r="F2677" t="s">
        <v>5895</v>
      </c>
      <c r="G2677">
        <v>20000</v>
      </c>
      <c r="H2677">
        <v>1976</v>
      </c>
      <c r="I2677" t="s">
        <v>5896</v>
      </c>
      <c r="J2677" t="s">
        <v>58</v>
      </c>
      <c r="K2677" t="s">
        <v>58</v>
      </c>
      <c r="L2677" t="s">
        <v>61</v>
      </c>
      <c r="M2677" t="s">
        <v>58</v>
      </c>
      <c r="Q2677" t="s">
        <v>58</v>
      </c>
      <c r="R2677" s="11" t="str">
        <f>HYPERLINK("\\imagefiles.bcgov\imagery\scanned_maps\moe_terrain_maps\Scanned_T_maps_all\R09\R09-669","\\imagefiles.bcgov\imagery\scanned_maps\moe_terrain_maps\Scanned_T_maps_all\R09\R09-669")</f>
        <v>\\imagefiles.bcgov\imagery\scanned_maps\moe_terrain_maps\Scanned_T_maps_all\R09\R09-669</v>
      </c>
      <c r="S2677" t="s">
        <v>62</v>
      </c>
      <c r="T2677" s="11" t="str">
        <f>HYPERLINK("http://www.env.gov.bc.ca/esd/distdata/ecosystems/TEI_Scanned_Maps/R09/R09-669","http://www.env.gov.bc.ca/esd/distdata/ecosystems/TEI_Scanned_Maps/R09/R09-669")</f>
        <v>http://www.env.gov.bc.ca/esd/distdata/ecosystems/TEI_Scanned_Maps/R09/R09-669</v>
      </c>
      <c r="U2677" t="s">
        <v>3353</v>
      </c>
      <c r="V2677" s="11" t="str">
        <f t="shared" si="165"/>
        <v>http://www.env.gov.bc.ca/esd/distdata/ecosystems/Soil_Data/CAPAMP/</v>
      </c>
      <c r="W2677" t="s">
        <v>3042</v>
      </c>
      <c r="X2677" s="11" t="str">
        <f t="shared" si="166"/>
        <v>http://res.agr.ca/cansis/publications/surveys/bc/</v>
      </c>
      <c r="Y2677" t="s">
        <v>269</v>
      </c>
      <c r="Z2677" s="11" t="str">
        <f t="shared" si="167"/>
        <v>http://www.library.for.gov.bc.ca/#focus</v>
      </c>
      <c r="AA2677" t="s">
        <v>58</v>
      </c>
      <c r="AC2677" t="s">
        <v>58</v>
      </c>
      <c r="AE2677" t="s">
        <v>58</v>
      </c>
      <c r="AG2677" t="s">
        <v>63</v>
      </c>
      <c r="AH2677" s="11" t="str">
        <f t="shared" si="164"/>
        <v>mailto: soilterrain@victoria1.gov.bc.ca</v>
      </c>
    </row>
    <row r="2678" spans="1:34">
      <c r="A2678" t="s">
        <v>5923</v>
      </c>
      <c r="B2678" t="s">
        <v>56</v>
      </c>
      <c r="C2678" s="10" t="s">
        <v>5438</v>
      </c>
      <c r="D2678" t="s">
        <v>58</v>
      </c>
      <c r="E2678" t="s">
        <v>5894</v>
      </c>
      <c r="F2678" t="s">
        <v>5895</v>
      </c>
      <c r="G2678">
        <v>20000</v>
      </c>
      <c r="H2678">
        <v>1981</v>
      </c>
      <c r="I2678" t="s">
        <v>5896</v>
      </c>
      <c r="J2678" t="s">
        <v>58</v>
      </c>
      <c r="K2678" t="s">
        <v>58</v>
      </c>
      <c r="L2678" t="s">
        <v>61</v>
      </c>
      <c r="M2678" t="s">
        <v>58</v>
      </c>
      <c r="Q2678" t="s">
        <v>58</v>
      </c>
      <c r="R2678" s="11" t="str">
        <f>HYPERLINK("\\imagefiles.bcgov\imagery\scanned_maps\moe_terrain_maps\Scanned_T_maps_all\R09\R09-676","\\imagefiles.bcgov\imagery\scanned_maps\moe_terrain_maps\Scanned_T_maps_all\R09\R09-676")</f>
        <v>\\imagefiles.bcgov\imagery\scanned_maps\moe_terrain_maps\Scanned_T_maps_all\R09\R09-676</v>
      </c>
      <c r="S2678" t="s">
        <v>62</v>
      </c>
      <c r="T2678" s="11" t="str">
        <f>HYPERLINK("http://www.env.gov.bc.ca/esd/distdata/ecosystems/TEI_Scanned_Maps/R09/R09-676","http://www.env.gov.bc.ca/esd/distdata/ecosystems/TEI_Scanned_Maps/R09/R09-676")</f>
        <v>http://www.env.gov.bc.ca/esd/distdata/ecosystems/TEI_Scanned_Maps/R09/R09-676</v>
      </c>
      <c r="U2678" t="s">
        <v>3353</v>
      </c>
      <c r="V2678" s="11" t="str">
        <f t="shared" si="165"/>
        <v>http://www.env.gov.bc.ca/esd/distdata/ecosystems/Soil_Data/CAPAMP/</v>
      </c>
      <c r="W2678" t="s">
        <v>3042</v>
      </c>
      <c r="X2678" s="11" t="str">
        <f t="shared" si="166"/>
        <v>http://res.agr.ca/cansis/publications/surveys/bc/</v>
      </c>
      <c r="Y2678" t="s">
        <v>269</v>
      </c>
      <c r="Z2678" s="11" t="str">
        <f t="shared" si="167"/>
        <v>http://www.library.for.gov.bc.ca/#focus</v>
      </c>
      <c r="AA2678" t="s">
        <v>58</v>
      </c>
      <c r="AC2678" t="s">
        <v>58</v>
      </c>
      <c r="AE2678" t="s">
        <v>58</v>
      </c>
      <c r="AG2678" t="s">
        <v>63</v>
      </c>
      <c r="AH2678" s="11" t="str">
        <f t="shared" si="164"/>
        <v>mailto: soilterrain@victoria1.gov.bc.ca</v>
      </c>
    </row>
    <row r="2679" spans="1:34">
      <c r="A2679" t="s">
        <v>5924</v>
      </c>
      <c r="B2679" t="s">
        <v>56</v>
      </c>
      <c r="C2679" s="10" t="s">
        <v>5440</v>
      </c>
      <c r="D2679" t="s">
        <v>58</v>
      </c>
      <c r="E2679" t="s">
        <v>5894</v>
      </c>
      <c r="F2679" t="s">
        <v>5895</v>
      </c>
      <c r="G2679">
        <v>20000</v>
      </c>
      <c r="H2679">
        <v>1974</v>
      </c>
      <c r="I2679" t="s">
        <v>5896</v>
      </c>
      <c r="J2679" t="s">
        <v>58</v>
      </c>
      <c r="K2679" t="s">
        <v>58</v>
      </c>
      <c r="L2679" t="s">
        <v>61</v>
      </c>
      <c r="M2679" t="s">
        <v>58</v>
      </c>
      <c r="Q2679" t="s">
        <v>58</v>
      </c>
      <c r="R2679" s="11" t="str">
        <f>HYPERLINK("\\imagefiles.bcgov\imagery\scanned_maps\moe_terrain_maps\Scanned_T_maps_all\R09\R09-683","\\imagefiles.bcgov\imagery\scanned_maps\moe_terrain_maps\Scanned_T_maps_all\R09\R09-683")</f>
        <v>\\imagefiles.bcgov\imagery\scanned_maps\moe_terrain_maps\Scanned_T_maps_all\R09\R09-683</v>
      </c>
      <c r="S2679" t="s">
        <v>62</v>
      </c>
      <c r="T2679" s="11" t="str">
        <f>HYPERLINK("http://www.env.gov.bc.ca/esd/distdata/ecosystems/TEI_Scanned_Maps/R09/R09-683","http://www.env.gov.bc.ca/esd/distdata/ecosystems/TEI_Scanned_Maps/R09/R09-683")</f>
        <v>http://www.env.gov.bc.ca/esd/distdata/ecosystems/TEI_Scanned_Maps/R09/R09-683</v>
      </c>
      <c r="U2679" t="s">
        <v>3353</v>
      </c>
      <c r="V2679" s="11" t="str">
        <f t="shared" si="165"/>
        <v>http://www.env.gov.bc.ca/esd/distdata/ecosystems/Soil_Data/CAPAMP/</v>
      </c>
      <c r="W2679" t="s">
        <v>3042</v>
      </c>
      <c r="X2679" s="11" t="str">
        <f t="shared" si="166"/>
        <v>http://res.agr.ca/cansis/publications/surveys/bc/</v>
      </c>
      <c r="Y2679" t="s">
        <v>269</v>
      </c>
      <c r="Z2679" s="11" t="str">
        <f t="shared" si="167"/>
        <v>http://www.library.for.gov.bc.ca/#focus</v>
      </c>
      <c r="AA2679" t="s">
        <v>58</v>
      </c>
      <c r="AC2679" t="s">
        <v>58</v>
      </c>
      <c r="AE2679" t="s">
        <v>58</v>
      </c>
      <c r="AG2679" t="s">
        <v>63</v>
      </c>
      <c r="AH2679" s="11" t="str">
        <f t="shared" si="164"/>
        <v>mailto: soilterrain@victoria1.gov.bc.ca</v>
      </c>
    </row>
    <row r="2680" spans="1:34">
      <c r="A2680" t="s">
        <v>5925</v>
      </c>
      <c r="B2680" t="s">
        <v>56</v>
      </c>
      <c r="C2680" s="10" t="s">
        <v>5442</v>
      </c>
      <c r="D2680" t="s">
        <v>58</v>
      </c>
      <c r="E2680" t="s">
        <v>5894</v>
      </c>
      <c r="F2680" t="s">
        <v>5895</v>
      </c>
      <c r="G2680">
        <v>20000</v>
      </c>
      <c r="H2680">
        <v>1975</v>
      </c>
      <c r="I2680" t="s">
        <v>5896</v>
      </c>
      <c r="J2680" t="s">
        <v>58</v>
      </c>
      <c r="K2680" t="s">
        <v>58</v>
      </c>
      <c r="L2680" t="s">
        <v>61</v>
      </c>
      <c r="M2680" t="s">
        <v>58</v>
      </c>
      <c r="Q2680" t="s">
        <v>58</v>
      </c>
      <c r="R2680" s="11" t="str">
        <f>HYPERLINK("\\imagefiles.bcgov\imagery\scanned_maps\moe_terrain_maps\Scanned_T_maps_all\R09\R09-690","\\imagefiles.bcgov\imagery\scanned_maps\moe_terrain_maps\Scanned_T_maps_all\R09\R09-690")</f>
        <v>\\imagefiles.bcgov\imagery\scanned_maps\moe_terrain_maps\Scanned_T_maps_all\R09\R09-690</v>
      </c>
      <c r="S2680" t="s">
        <v>62</v>
      </c>
      <c r="T2680" s="11" t="str">
        <f>HYPERLINK("http://www.env.gov.bc.ca/esd/distdata/ecosystems/TEI_Scanned_Maps/R09/R09-690","http://www.env.gov.bc.ca/esd/distdata/ecosystems/TEI_Scanned_Maps/R09/R09-690")</f>
        <v>http://www.env.gov.bc.ca/esd/distdata/ecosystems/TEI_Scanned_Maps/R09/R09-690</v>
      </c>
      <c r="U2680" t="s">
        <v>3353</v>
      </c>
      <c r="V2680" s="11" t="str">
        <f t="shared" si="165"/>
        <v>http://www.env.gov.bc.ca/esd/distdata/ecosystems/Soil_Data/CAPAMP/</v>
      </c>
      <c r="W2680" t="s">
        <v>3042</v>
      </c>
      <c r="X2680" s="11" t="str">
        <f t="shared" si="166"/>
        <v>http://res.agr.ca/cansis/publications/surveys/bc/</v>
      </c>
      <c r="Y2680" t="s">
        <v>269</v>
      </c>
      <c r="Z2680" s="11" t="str">
        <f t="shared" si="167"/>
        <v>http://www.library.for.gov.bc.ca/#focus</v>
      </c>
      <c r="AA2680" t="s">
        <v>58</v>
      </c>
      <c r="AC2680" t="s">
        <v>58</v>
      </c>
      <c r="AE2680" t="s">
        <v>58</v>
      </c>
      <c r="AG2680" t="s">
        <v>63</v>
      </c>
      <c r="AH2680" s="11" t="str">
        <f t="shared" si="164"/>
        <v>mailto: soilterrain@victoria1.gov.bc.ca</v>
      </c>
    </row>
    <row r="2681" spans="1:34">
      <c r="A2681" t="s">
        <v>5926</v>
      </c>
      <c r="B2681" t="s">
        <v>56</v>
      </c>
      <c r="C2681" s="10" t="s">
        <v>5444</v>
      </c>
      <c r="D2681" t="s">
        <v>58</v>
      </c>
      <c r="E2681" t="s">
        <v>5894</v>
      </c>
      <c r="F2681" t="s">
        <v>5895</v>
      </c>
      <c r="G2681">
        <v>20000</v>
      </c>
      <c r="H2681">
        <v>1979</v>
      </c>
      <c r="I2681" t="s">
        <v>5896</v>
      </c>
      <c r="J2681" t="s">
        <v>58</v>
      </c>
      <c r="K2681" t="s">
        <v>58</v>
      </c>
      <c r="L2681" t="s">
        <v>61</v>
      </c>
      <c r="M2681" t="s">
        <v>58</v>
      </c>
      <c r="Q2681" t="s">
        <v>58</v>
      </c>
      <c r="R2681" s="11" t="str">
        <f>HYPERLINK("\\imagefiles.bcgov\imagery\scanned_maps\moe_terrain_maps\Scanned_T_maps_all\R09\R09-697","\\imagefiles.bcgov\imagery\scanned_maps\moe_terrain_maps\Scanned_T_maps_all\R09\R09-697")</f>
        <v>\\imagefiles.bcgov\imagery\scanned_maps\moe_terrain_maps\Scanned_T_maps_all\R09\R09-697</v>
      </c>
      <c r="S2681" t="s">
        <v>62</v>
      </c>
      <c r="T2681" s="11" t="str">
        <f>HYPERLINK("http://www.env.gov.bc.ca/esd/distdata/ecosystems/TEI_Scanned_Maps/R09/R09-697","http://www.env.gov.bc.ca/esd/distdata/ecosystems/TEI_Scanned_Maps/R09/R09-697")</f>
        <v>http://www.env.gov.bc.ca/esd/distdata/ecosystems/TEI_Scanned_Maps/R09/R09-697</v>
      </c>
      <c r="U2681" t="s">
        <v>3353</v>
      </c>
      <c r="V2681" s="11" t="str">
        <f t="shared" si="165"/>
        <v>http://www.env.gov.bc.ca/esd/distdata/ecosystems/Soil_Data/CAPAMP/</v>
      </c>
      <c r="W2681" t="s">
        <v>3042</v>
      </c>
      <c r="X2681" s="11" t="str">
        <f t="shared" si="166"/>
        <v>http://res.agr.ca/cansis/publications/surveys/bc/</v>
      </c>
      <c r="Y2681" t="s">
        <v>269</v>
      </c>
      <c r="Z2681" s="11" t="str">
        <f t="shared" si="167"/>
        <v>http://www.library.for.gov.bc.ca/#focus</v>
      </c>
      <c r="AA2681" t="s">
        <v>58</v>
      </c>
      <c r="AC2681" t="s">
        <v>58</v>
      </c>
      <c r="AE2681" t="s">
        <v>58</v>
      </c>
      <c r="AG2681" t="s">
        <v>63</v>
      </c>
      <c r="AH2681" s="11" t="str">
        <f t="shared" si="164"/>
        <v>mailto: soilterrain@victoria1.gov.bc.ca</v>
      </c>
    </row>
    <row r="2682" spans="1:34">
      <c r="A2682" t="s">
        <v>5927</v>
      </c>
      <c r="B2682" t="s">
        <v>56</v>
      </c>
      <c r="C2682" s="10" t="s">
        <v>4653</v>
      </c>
      <c r="D2682" t="s">
        <v>58</v>
      </c>
      <c r="E2682" t="s">
        <v>5894</v>
      </c>
      <c r="F2682" t="s">
        <v>5895</v>
      </c>
      <c r="G2682">
        <v>20000</v>
      </c>
      <c r="H2682">
        <v>1974</v>
      </c>
      <c r="I2682" t="s">
        <v>5896</v>
      </c>
      <c r="J2682" t="s">
        <v>58</v>
      </c>
      <c r="K2682" t="s">
        <v>58</v>
      </c>
      <c r="L2682" t="s">
        <v>61</v>
      </c>
      <c r="M2682" t="s">
        <v>58</v>
      </c>
      <c r="Q2682" t="s">
        <v>58</v>
      </c>
      <c r="R2682" s="11" t="str">
        <f>HYPERLINK("\\imagefiles.bcgov\imagery\scanned_maps\moe_terrain_maps\Scanned_T_maps_all\R09\R09-704","\\imagefiles.bcgov\imagery\scanned_maps\moe_terrain_maps\Scanned_T_maps_all\R09\R09-704")</f>
        <v>\\imagefiles.bcgov\imagery\scanned_maps\moe_terrain_maps\Scanned_T_maps_all\R09\R09-704</v>
      </c>
      <c r="S2682" t="s">
        <v>62</v>
      </c>
      <c r="T2682" s="11" t="str">
        <f>HYPERLINK("http://www.env.gov.bc.ca/esd/distdata/ecosystems/TEI_Scanned_Maps/R09/R09-704","http://www.env.gov.bc.ca/esd/distdata/ecosystems/TEI_Scanned_Maps/R09/R09-704")</f>
        <v>http://www.env.gov.bc.ca/esd/distdata/ecosystems/TEI_Scanned_Maps/R09/R09-704</v>
      </c>
      <c r="U2682" t="s">
        <v>3353</v>
      </c>
      <c r="V2682" s="11" t="str">
        <f t="shared" si="165"/>
        <v>http://www.env.gov.bc.ca/esd/distdata/ecosystems/Soil_Data/CAPAMP/</v>
      </c>
      <c r="W2682" t="s">
        <v>3042</v>
      </c>
      <c r="X2682" s="11" t="str">
        <f t="shared" si="166"/>
        <v>http://res.agr.ca/cansis/publications/surveys/bc/</v>
      </c>
      <c r="Y2682" t="s">
        <v>269</v>
      </c>
      <c r="Z2682" s="11" t="str">
        <f t="shared" si="167"/>
        <v>http://www.library.for.gov.bc.ca/#focus</v>
      </c>
      <c r="AA2682" t="s">
        <v>58</v>
      </c>
      <c r="AC2682" t="s">
        <v>58</v>
      </c>
      <c r="AE2682" t="s">
        <v>58</v>
      </c>
      <c r="AG2682" t="s">
        <v>63</v>
      </c>
      <c r="AH2682" s="11" t="str">
        <f t="shared" si="164"/>
        <v>mailto: soilterrain@victoria1.gov.bc.ca</v>
      </c>
    </row>
    <row r="2683" spans="1:34">
      <c r="A2683" t="s">
        <v>5928</v>
      </c>
      <c r="B2683" t="s">
        <v>56</v>
      </c>
      <c r="C2683" s="10" t="s">
        <v>5447</v>
      </c>
      <c r="D2683" t="s">
        <v>58</v>
      </c>
      <c r="E2683" t="s">
        <v>5894</v>
      </c>
      <c r="F2683" t="s">
        <v>5895</v>
      </c>
      <c r="G2683">
        <v>20000</v>
      </c>
      <c r="H2683">
        <v>1981</v>
      </c>
      <c r="I2683" t="s">
        <v>5896</v>
      </c>
      <c r="J2683" t="s">
        <v>58</v>
      </c>
      <c r="K2683" t="s">
        <v>58</v>
      </c>
      <c r="L2683" t="s">
        <v>61</v>
      </c>
      <c r="M2683" t="s">
        <v>58</v>
      </c>
      <c r="Q2683" t="s">
        <v>58</v>
      </c>
      <c r="R2683" s="11" t="str">
        <f>HYPERLINK("\\imagefiles.bcgov\imagery\scanned_maps\moe_terrain_maps\Scanned_T_maps_all\R09\R09-711","\\imagefiles.bcgov\imagery\scanned_maps\moe_terrain_maps\Scanned_T_maps_all\R09\R09-711")</f>
        <v>\\imagefiles.bcgov\imagery\scanned_maps\moe_terrain_maps\Scanned_T_maps_all\R09\R09-711</v>
      </c>
      <c r="S2683" t="s">
        <v>62</v>
      </c>
      <c r="T2683" s="11" t="str">
        <f>HYPERLINK("http://www.env.gov.bc.ca/esd/distdata/ecosystems/TEI_Scanned_Maps/R09/R09-711","http://www.env.gov.bc.ca/esd/distdata/ecosystems/TEI_Scanned_Maps/R09/R09-711")</f>
        <v>http://www.env.gov.bc.ca/esd/distdata/ecosystems/TEI_Scanned_Maps/R09/R09-711</v>
      </c>
      <c r="U2683" t="s">
        <v>3353</v>
      </c>
      <c r="V2683" s="11" t="str">
        <f t="shared" si="165"/>
        <v>http://www.env.gov.bc.ca/esd/distdata/ecosystems/Soil_Data/CAPAMP/</v>
      </c>
      <c r="W2683" t="s">
        <v>3042</v>
      </c>
      <c r="X2683" s="11" t="str">
        <f t="shared" si="166"/>
        <v>http://res.agr.ca/cansis/publications/surveys/bc/</v>
      </c>
      <c r="Y2683" t="s">
        <v>269</v>
      </c>
      <c r="Z2683" s="11" t="str">
        <f t="shared" si="167"/>
        <v>http://www.library.for.gov.bc.ca/#focus</v>
      </c>
      <c r="AA2683" t="s">
        <v>58</v>
      </c>
      <c r="AC2683" t="s">
        <v>58</v>
      </c>
      <c r="AE2683" t="s">
        <v>58</v>
      </c>
      <c r="AG2683" t="s">
        <v>63</v>
      </c>
      <c r="AH2683" s="11" t="str">
        <f t="shared" si="164"/>
        <v>mailto: soilterrain@victoria1.gov.bc.ca</v>
      </c>
    </row>
    <row r="2684" spans="1:34">
      <c r="A2684" t="s">
        <v>5929</v>
      </c>
      <c r="B2684" t="s">
        <v>56</v>
      </c>
      <c r="C2684" s="10" t="s">
        <v>5449</v>
      </c>
      <c r="D2684" t="s">
        <v>58</v>
      </c>
      <c r="E2684" t="s">
        <v>5894</v>
      </c>
      <c r="F2684" t="s">
        <v>5895</v>
      </c>
      <c r="G2684">
        <v>20000</v>
      </c>
      <c r="H2684">
        <v>1979</v>
      </c>
      <c r="I2684" t="s">
        <v>5896</v>
      </c>
      <c r="J2684" t="s">
        <v>58</v>
      </c>
      <c r="K2684" t="s">
        <v>58</v>
      </c>
      <c r="L2684" t="s">
        <v>61</v>
      </c>
      <c r="M2684" t="s">
        <v>58</v>
      </c>
      <c r="Q2684" t="s">
        <v>58</v>
      </c>
      <c r="R2684" s="11" t="str">
        <f>HYPERLINK("\\imagefiles.bcgov\imagery\scanned_maps\moe_terrain_maps\Scanned_T_maps_all\R09\R09-719","\\imagefiles.bcgov\imagery\scanned_maps\moe_terrain_maps\Scanned_T_maps_all\R09\R09-719")</f>
        <v>\\imagefiles.bcgov\imagery\scanned_maps\moe_terrain_maps\Scanned_T_maps_all\R09\R09-719</v>
      </c>
      <c r="S2684" t="s">
        <v>62</v>
      </c>
      <c r="T2684" s="11" t="str">
        <f>HYPERLINK("http://www.env.gov.bc.ca/esd/distdata/ecosystems/TEI_Scanned_Maps/R09/R09-719","http://www.env.gov.bc.ca/esd/distdata/ecosystems/TEI_Scanned_Maps/R09/R09-719")</f>
        <v>http://www.env.gov.bc.ca/esd/distdata/ecosystems/TEI_Scanned_Maps/R09/R09-719</v>
      </c>
      <c r="U2684" t="s">
        <v>3353</v>
      </c>
      <c r="V2684" s="11" t="str">
        <f t="shared" si="165"/>
        <v>http://www.env.gov.bc.ca/esd/distdata/ecosystems/Soil_Data/CAPAMP/</v>
      </c>
      <c r="W2684" t="s">
        <v>3042</v>
      </c>
      <c r="X2684" s="11" t="str">
        <f t="shared" si="166"/>
        <v>http://res.agr.ca/cansis/publications/surveys/bc/</v>
      </c>
      <c r="Y2684" t="s">
        <v>269</v>
      </c>
      <c r="Z2684" s="11" t="str">
        <f t="shared" si="167"/>
        <v>http://www.library.for.gov.bc.ca/#focus</v>
      </c>
      <c r="AA2684" t="s">
        <v>58</v>
      </c>
      <c r="AC2684" t="s">
        <v>58</v>
      </c>
      <c r="AE2684" t="s">
        <v>58</v>
      </c>
      <c r="AG2684" t="s">
        <v>63</v>
      </c>
      <c r="AH2684" s="11" t="str">
        <f t="shared" si="164"/>
        <v>mailto: soilterrain@victoria1.gov.bc.ca</v>
      </c>
    </row>
    <row r="2685" spans="1:34">
      <c r="A2685" t="s">
        <v>5930</v>
      </c>
      <c r="B2685" t="s">
        <v>56</v>
      </c>
      <c r="C2685" s="10" t="s">
        <v>4904</v>
      </c>
      <c r="D2685" t="s">
        <v>58</v>
      </c>
      <c r="E2685" t="s">
        <v>5894</v>
      </c>
      <c r="F2685" t="s">
        <v>5895</v>
      </c>
      <c r="G2685">
        <v>20000</v>
      </c>
      <c r="H2685">
        <v>1972</v>
      </c>
      <c r="I2685" t="s">
        <v>5896</v>
      </c>
      <c r="J2685" t="s">
        <v>58</v>
      </c>
      <c r="K2685" t="s">
        <v>58</v>
      </c>
      <c r="L2685" t="s">
        <v>61</v>
      </c>
      <c r="M2685" t="s">
        <v>58</v>
      </c>
      <c r="Q2685" t="s">
        <v>58</v>
      </c>
      <c r="R2685" s="11" t="str">
        <f>HYPERLINK("\\imagefiles.bcgov\imagery\scanned_maps\moe_terrain_maps\Scanned_T_maps_all\R09\R09-727","\\imagefiles.bcgov\imagery\scanned_maps\moe_terrain_maps\Scanned_T_maps_all\R09\R09-727")</f>
        <v>\\imagefiles.bcgov\imagery\scanned_maps\moe_terrain_maps\Scanned_T_maps_all\R09\R09-727</v>
      </c>
      <c r="S2685" t="s">
        <v>62</v>
      </c>
      <c r="T2685" s="11" t="str">
        <f>HYPERLINK("http://www.env.gov.bc.ca/esd/distdata/ecosystems/TEI_Scanned_Maps/R09/R09-727","http://www.env.gov.bc.ca/esd/distdata/ecosystems/TEI_Scanned_Maps/R09/R09-727")</f>
        <v>http://www.env.gov.bc.ca/esd/distdata/ecosystems/TEI_Scanned_Maps/R09/R09-727</v>
      </c>
      <c r="U2685" t="s">
        <v>3353</v>
      </c>
      <c r="V2685" s="11" t="str">
        <f t="shared" si="165"/>
        <v>http://www.env.gov.bc.ca/esd/distdata/ecosystems/Soil_Data/CAPAMP/</v>
      </c>
      <c r="W2685" t="s">
        <v>3042</v>
      </c>
      <c r="X2685" s="11" t="str">
        <f t="shared" si="166"/>
        <v>http://res.agr.ca/cansis/publications/surveys/bc/</v>
      </c>
      <c r="Y2685" t="s">
        <v>269</v>
      </c>
      <c r="Z2685" s="11" t="str">
        <f t="shared" si="167"/>
        <v>http://www.library.for.gov.bc.ca/#focus</v>
      </c>
      <c r="AA2685" t="s">
        <v>58</v>
      </c>
      <c r="AC2685" t="s">
        <v>58</v>
      </c>
      <c r="AE2685" t="s">
        <v>58</v>
      </c>
      <c r="AG2685" t="s">
        <v>63</v>
      </c>
      <c r="AH2685" s="11" t="str">
        <f t="shared" si="164"/>
        <v>mailto: soilterrain@victoria1.gov.bc.ca</v>
      </c>
    </row>
    <row r="2686" spans="1:34">
      <c r="A2686" t="s">
        <v>5931</v>
      </c>
      <c r="B2686" t="s">
        <v>56</v>
      </c>
      <c r="C2686" s="10" t="s">
        <v>5452</v>
      </c>
      <c r="D2686" t="s">
        <v>58</v>
      </c>
      <c r="E2686" t="s">
        <v>5894</v>
      </c>
      <c r="F2686" t="s">
        <v>5895</v>
      </c>
      <c r="G2686">
        <v>20000</v>
      </c>
      <c r="H2686">
        <v>1974</v>
      </c>
      <c r="I2686" t="s">
        <v>5896</v>
      </c>
      <c r="J2686" t="s">
        <v>58</v>
      </c>
      <c r="K2686" t="s">
        <v>58</v>
      </c>
      <c r="L2686" t="s">
        <v>61</v>
      </c>
      <c r="M2686" t="s">
        <v>58</v>
      </c>
      <c r="Q2686" t="s">
        <v>58</v>
      </c>
      <c r="R2686" s="11" t="str">
        <f>HYPERLINK("\\imagefiles.bcgov\imagery\scanned_maps\moe_terrain_maps\Scanned_T_maps_all\R09\R09-734","\\imagefiles.bcgov\imagery\scanned_maps\moe_terrain_maps\Scanned_T_maps_all\R09\R09-734")</f>
        <v>\\imagefiles.bcgov\imagery\scanned_maps\moe_terrain_maps\Scanned_T_maps_all\R09\R09-734</v>
      </c>
      <c r="S2686" t="s">
        <v>62</v>
      </c>
      <c r="T2686" s="11" t="str">
        <f>HYPERLINK("http://www.env.gov.bc.ca/esd/distdata/ecosystems/TEI_Scanned_Maps/R09/R09-734","http://www.env.gov.bc.ca/esd/distdata/ecosystems/TEI_Scanned_Maps/R09/R09-734")</f>
        <v>http://www.env.gov.bc.ca/esd/distdata/ecosystems/TEI_Scanned_Maps/R09/R09-734</v>
      </c>
      <c r="U2686" t="s">
        <v>3353</v>
      </c>
      <c r="V2686" s="11" t="str">
        <f t="shared" si="165"/>
        <v>http://www.env.gov.bc.ca/esd/distdata/ecosystems/Soil_Data/CAPAMP/</v>
      </c>
      <c r="W2686" t="s">
        <v>3042</v>
      </c>
      <c r="X2686" s="11" t="str">
        <f t="shared" si="166"/>
        <v>http://res.agr.ca/cansis/publications/surveys/bc/</v>
      </c>
      <c r="Y2686" t="s">
        <v>269</v>
      </c>
      <c r="Z2686" s="11" t="str">
        <f t="shared" si="167"/>
        <v>http://www.library.for.gov.bc.ca/#focus</v>
      </c>
      <c r="AA2686" t="s">
        <v>58</v>
      </c>
      <c r="AC2686" t="s">
        <v>58</v>
      </c>
      <c r="AE2686" t="s">
        <v>58</v>
      </c>
      <c r="AG2686" t="s">
        <v>63</v>
      </c>
      <c r="AH2686" s="11" t="str">
        <f t="shared" si="164"/>
        <v>mailto: soilterrain@victoria1.gov.bc.ca</v>
      </c>
    </row>
    <row r="2687" spans="1:34">
      <c r="A2687" t="s">
        <v>5932</v>
      </c>
      <c r="B2687" t="s">
        <v>56</v>
      </c>
      <c r="C2687" s="10" t="s">
        <v>5454</v>
      </c>
      <c r="D2687" t="s">
        <v>58</v>
      </c>
      <c r="E2687" t="s">
        <v>5894</v>
      </c>
      <c r="F2687" t="s">
        <v>5895</v>
      </c>
      <c r="G2687">
        <v>20000</v>
      </c>
      <c r="H2687">
        <v>1975</v>
      </c>
      <c r="I2687" t="s">
        <v>5896</v>
      </c>
      <c r="J2687" t="s">
        <v>58</v>
      </c>
      <c r="K2687" t="s">
        <v>58</v>
      </c>
      <c r="L2687" t="s">
        <v>61</v>
      </c>
      <c r="M2687" t="s">
        <v>58</v>
      </c>
      <c r="Q2687" t="s">
        <v>58</v>
      </c>
      <c r="R2687" s="11" t="str">
        <f>HYPERLINK("\\imagefiles.bcgov\imagery\scanned_maps\moe_terrain_maps\Scanned_T_maps_all\R09\R09-741","\\imagefiles.bcgov\imagery\scanned_maps\moe_terrain_maps\Scanned_T_maps_all\R09\R09-741")</f>
        <v>\\imagefiles.bcgov\imagery\scanned_maps\moe_terrain_maps\Scanned_T_maps_all\R09\R09-741</v>
      </c>
      <c r="S2687" t="s">
        <v>62</v>
      </c>
      <c r="T2687" s="11" t="str">
        <f>HYPERLINK("http://www.env.gov.bc.ca/esd/distdata/ecosystems/TEI_Scanned_Maps/R09/R09-741","http://www.env.gov.bc.ca/esd/distdata/ecosystems/TEI_Scanned_Maps/R09/R09-741")</f>
        <v>http://www.env.gov.bc.ca/esd/distdata/ecosystems/TEI_Scanned_Maps/R09/R09-741</v>
      </c>
      <c r="U2687" t="s">
        <v>3353</v>
      </c>
      <c r="V2687" s="11" t="str">
        <f t="shared" si="165"/>
        <v>http://www.env.gov.bc.ca/esd/distdata/ecosystems/Soil_Data/CAPAMP/</v>
      </c>
      <c r="W2687" t="s">
        <v>3042</v>
      </c>
      <c r="X2687" s="11" t="str">
        <f t="shared" si="166"/>
        <v>http://res.agr.ca/cansis/publications/surveys/bc/</v>
      </c>
      <c r="Y2687" t="s">
        <v>269</v>
      </c>
      <c r="Z2687" s="11" t="str">
        <f t="shared" si="167"/>
        <v>http://www.library.for.gov.bc.ca/#focus</v>
      </c>
      <c r="AA2687" t="s">
        <v>58</v>
      </c>
      <c r="AC2687" t="s">
        <v>58</v>
      </c>
      <c r="AE2687" t="s">
        <v>58</v>
      </c>
      <c r="AG2687" t="s">
        <v>63</v>
      </c>
      <c r="AH2687" s="11" t="str">
        <f t="shared" si="164"/>
        <v>mailto: soilterrain@victoria1.gov.bc.ca</v>
      </c>
    </row>
    <row r="2688" spans="1:34">
      <c r="A2688" t="s">
        <v>5933</v>
      </c>
      <c r="B2688" t="s">
        <v>56</v>
      </c>
      <c r="C2688" s="10" t="s">
        <v>5456</v>
      </c>
      <c r="D2688" t="s">
        <v>58</v>
      </c>
      <c r="E2688" t="s">
        <v>5894</v>
      </c>
      <c r="F2688" t="s">
        <v>5895</v>
      </c>
      <c r="G2688">
        <v>20000</v>
      </c>
      <c r="H2688">
        <v>1972</v>
      </c>
      <c r="I2688" t="s">
        <v>5896</v>
      </c>
      <c r="J2688" t="s">
        <v>58</v>
      </c>
      <c r="K2688" t="s">
        <v>58</v>
      </c>
      <c r="L2688" t="s">
        <v>61</v>
      </c>
      <c r="M2688" t="s">
        <v>58</v>
      </c>
      <c r="Q2688" t="s">
        <v>58</v>
      </c>
      <c r="R2688" s="11" t="str">
        <f>HYPERLINK("\\imagefiles.bcgov\imagery\scanned_maps\moe_terrain_maps\Scanned_T_maps_all\R09\R09-748","\\imagefiles.bcgov\imagery\scanned_maps\moe_terrain_maps\Scanned_T_maps_all\R09\R09-748")</f>
        <v>\\imagefiles.bcgov\imagery\scanned_maps\moe_terrain_maps\Scanned_T_maps_all\R09\R09-748</v>
      </c>
      <c r="S2688" t="s">
        <v>62</v>
      </c>
      <c r="T2688" s="11" t="str">
        <f>HYPERLINK("http://www.env.gov.bc.ca/esd/distdata/ecosystems/TEI_Scanned_Maps/R09/R09-748","http://www.env.gov.bc.ca/esd/distdata/ecosystems/TEI_Scanned_Maps/R09/R09-748")</f>
        <v>http://www.env.gov.bc.ca/esd/distdata/ecosystems/TEI_Scanned_Maps/R09/R09-748</v>
      </c>
      <c r="U2688" t="s">
        <v>3353</v>
      </c>
      <c r="V2688" s="11" t="str">
        <f t="shared" si="165"/>
        <v>http://www.env.gov.bc.ca/esd/distdata/ecosystems/Soil_Data/CAPAMP/</v>
      </c>
      <c r="W2688" t="s">
        <v>3042</v>
      </c>
      <c r="X2688" s="11" t="str">
        <f t="shared" si="166"/>
        <v>http://res.agr.ca/cansis/publications/surveys/bc/</v>
      </c>
      <c r="Y2688" t="s">
        <v>269</v>
      </c>
      <c r="Z2688" s="11" t="str">
        <f t="shared" si="167"/>
        <v>http://www.library.for.gov.bc.ca/#focus</v>
      </c>
      <c r="AA2688" t="s">
        <v>58</v>
      </c>
      <c r="AC2688" t="s">
        <v>58</v>
      </c>
      <c r="AE2688" t="s">
        <v>58</v>
      </c>
      <c r="AG2688" t="s">
        <v>63</v>
      </c>
      <c r="AH2688" s="11" t="str">
        <f t="shared" si="164"/>
        <v>mailto: soilterrain@victoria1.gov.bc.ca</v>
      </c>
    </row>
    <row r="2689" spans="1:34">
      <c r="A2689" t="s">
        <v>5934</v>
      </c>
      <c r="B2689" t="s">
        <v>56</v>
      </c>
      <c r="C2689" s="10" t="s">
        <v>5471</v>
      </c>
      <c r="D2689" t="s">
        <v>58</v>
      </c>
      <c r="E2689" t="s">
        <v>2952</v>
      </c>
      <c r="F2689" t="s">
        <v>5935</v>
      </c>
      <c r="G2689">
        <v>20000</v>
      </c>
      <c r="H2689" t="s">
        <v>187</v>
      </c>
      <c r="I2689" t="s">
        <v>58</v>
      </c>
      <c r="J2689" t="s">
        <v>58</v>
      </c>
      <c r="K2689" t="s">
        <v>58</v>
      </c>
      <c r="L2689" t="s">
        <v>58</v>
      </c>
      <c r="M2689" t="s">
        <v>58</v>
      </c>
      <c r="P2689" t="s">
        <v>61</v>
      </c>
      <c r="Q2689" t="s">
        <v>58</v>
      </c>
      <c r="R2689" s="11" t="str">
        <f>HYPERLINK("\\imagefiles.bcgov\imagery\scanned_maps\moe_terrain_maps\Scanned_T_maps_all\R10\R10-1001","\\imagefiles.bcgov\imagery\scanned_maps\moe_terrain_maps\Scanned_T_maps_all\R10\R10-1001")</f>
        <v>\\imagefiles.bcgov\imagery\scanned_maps\moe_terrain_maps\Scanned_T_maps_all\R10\R10-1001</v>
      </c>
      <c r="S2689" t="s">
        <v>62</v>
      </c>
      <c r="T2689" s="11" t="str">
        <f>HYPERLINK("http://www.env.gov.bc.ca/esd/distdata/ecosystems/TEI_Scanned_Maps/R10/R10-1001","http://www.env.gov.bc.ca/esd/distdata/ecosystems/TEI_Scanned_Maps/R10/R10-1001")</f>
        <v>http://www.env.gov.bc.ca/esd/distdata/ecosystems/TEI_Scanned_Maps/R10/R10-1001</v>
      </c>
      <c r="U2689" t="s">
        <v>58</v>
      </c>
      <c r="V2689" t="s">
        <v>58</v>
      </c>
      <c r="W2689" t="s">
        <v>58</v>
      </c>
      <c r="X2689" t="s">
        <v>58</v>
      </c>
      <c r="Y2689" t="s">
        <v>58</v>
      </c>
      <c r="Z2689" t="s">
        <v>58</v>
      </c>
      <c r="AA2689" t="s">
        <v>58</v>
      </c>
      <c r="AC2689" t="s">
        <v>58</v>
      </c>
      <c r="AE2689" t="s">
        <v>58</v>
      </c>
      <c r="AG2689" t="s">
        <v>63</v>
      </c>
      <c r="AH2689" s="11" t="str">
        <f t="shared" si="164"/>
        <v>mailto: soilterrain@victoria1.gov.bc.ca</v>
      </c>
    </row>
    <row r="2690" spans="1:34">
      <c r="A2690" t="s">
        <v>5936</v>
      </c>
      <c r="B2690" t="s">
        <v>56</v>
      </c>
      <c r="C2690" s="10" t="s">
        <v>2987</v>
      </c>
      <c r="D2690" t="s">
        <v>58</v>
      </c>
      <c r="E2690" t="s">
        <v>2952</v>
      </c>
      <c r="F2690" t="s">
        <v>5935</v>
      </c>
      <c r="G2690">
        <v>20000</v>
      </c>
      <c r="H2690">
        <v>1974</v>
      </c>
      <c r="I2690" t="s">
        <v>58</v>
      </c>
      <c r="J2690" t="s">
        <v>58</v>
      </c>
      <c r="K2690" t="s">
        <v>58</v>
      </c>
      <c r="L2690" t="s">
        <v>58</v>
      </c>
      <c r="M2690" t="s">
        <v>58</v>
      </c>
      <c r="P2690" t="s">
        <v>61</v>
      </c>
      <c r="Q2690" t="s">
        <v>58</v>
      </c>
      <c r="R2690" s="11" t="str">
        <f>HYPERLINK("\\imagefiles.bcgov\imagery\scanned_maps\moe_terrain_maps\Scanned_T_maps_all\R10\R10-1010","\\imagefiles.bcgov\imagery\scanned_maps\moe_terrain_maps\Scanned_T_maps_all\R10\R10-1010")</f>
        <v>\\imagefiles.bcgov\imagery\scanned_maps\moe_terrain_maps\Scanned_T_maps_all\R10\R10-1010</v>
      </c>
      <c r="S2690" t="s">
        <v>62</v>
      </c>
      <c r="T2690" s="11" t="str">
        <f>HYPERLINK("http://www.env.gov.bc.ca/esd/distdata/ecosystems/TEI_Scanned_Maps/R10/R10-1010","http://www.env.gov.bc.ca/esd/distdata/ecosystems/TEI_Scanned_Maps/R10/R10-1010")</f>
        <v>http://www.env.gov.bc.ca/esd/distdata/ecosystems/TEI_Scanned_Maps/R10/R10-1010</v>
      </c>
      <c r="U2690" t="s">
        <v>58</v>
      </c>
      <c r="V2690" t="s">
        <v>58</v>
      </c>
      <c r="W2690" t="s">
        <v>58</v>
      </c>
      <c r="X2690" t="s">
        <v>58</v>
      </c>
      <c r="Y2690" t="s">
        <v>58</v>
      </c>
      <c r="Z2690" t="s">
        <v>58</v>
      </c>
      <c r="AA2690" t="s">
        <v>58</v>
      </c>
      <c r="AC2690" t="s">
        <v>58</v>
      </c>
      <c r="AE2690" t="s">
        <v>58</v>
      </c>
      <c r="AG2690" t="s">
        <v>63</v>
      </c>
      <c r="AH2690" s="11" t="str">
        <f t="shared" ref="AH2690:AH2753" si="168">HYPERLINK("mailto: soilterrain@victoria1.gov.bc.ca","mailto: soilterrain@victoria1.gov.bc.ca")</f>
        <v>mailto: soilterrain@victoria1.gov.bc.ca</v>
      </c>
    </row>
    <row r="2691" spans="1:34">
      <c r="A2691" t="s">
        <v>5937</v>
      </c>
      <c r="B2691" t="s">
        <v>56</v>
      </c>
      <c r="C2691" s="10" t="s">
        <v>5330</v>
      </c>
      <c r="D2691" t="s">
        <v>58</v>
      </c>
      <c r="E2691" t="s">
        <v>2952</v>
      </c>
      <c r="F2691" t="s">
        <v>5935</v>
      </c>
      <c r="G2691">
        <v>20000</v>
      </c>
      <c r="H2691">
        <v>1975</v>
      </c>
      <c r="I2691" t="s">
        <v>58</v>
      </c>
      <c r="J2691" t="s">
        <v>58</v>
      </c>
      <c r="K2691" t="s">
        <v>58</v>
      </c>
      <c r="L2691" t="s">
        <v>58</v>
      </c>
      <c r="M2691" t="s">
        <v>58</v>
      </c>
      <c r="P2691" t="s">
        <v>61</v>
      </c>
      <c r="Q2691" t="s">
        <v>58</v>
      </c>
      <c r="R2691" s="11" t="str">
        <f>HYPERLINK("\\imagefiles.bcgov\imagery\scanned_maps\moe_terrain_maps\Scanned_T_maps_all\R10\R10-1019","\\imagefiles.bcgov\imagery\scanned_maps\moe_terrain_maps\Scanned_T_maps_all\R10\R10-1019")</f>
        <v>\\imagefiles.bcgov\imagery\scanned_maps\moe_terrain_maps\Scanned_T_maps_all\R10\R10-1019</v>
      </c>
      <c r="S2691" t="s">
        <v>62</v>
      </c>
      <c r="T2691" s="11" t="str">
        <f>HYPERLINK("http://www.env.gov.bc.ca/esd/distdata/ecosystems/TEI_Scanned_Maps/R10/R10-1019","http://www.env.gov.bc.ca/esd/distdata/ecosystems/TEI_Scanned_Maps/R10/R10-1019")</f>
        <v>http://www.env.gov.bc.ca/esd/distdata/ecosystems/TEI_Scanned_Maps/R10/R10-1019</v>
      </c>
      <c r="U2691" t="s">
        <v>58</v>
      </c>
      <c r="V2691" t="s">
        <v>58</v>
      </c>
      <c r="W2691" t="s">
        <v>58</v>
      </c>
      <c r="X2691" t="s">
        <v>58</v>
      </c>
      <c r="Y2691" t="s">
        <v>58</v>
      </c>
      <c r="Z2691" t="s">
        <v>58</v>
      </c>
      <c r="AA2691" t="s">
        <v>58</v>
      </c>
      <c r="AC2691" t="s">
        <v>58</v>
      </c>
      <c r="AE2691" t="s">
        <v>58</v>
      </c>
      <c r="AG2691" t="s">
        <v>63</v>
      </c>
      <c r="AH2691" s="11" t="str">
        <f t="shared" si="168"/>
        <v>mailto: soilterrain@victoria1.gov.bc.ca</v>
      </c>
    </row>
    <row r="2692" spans="1:34">
      <c r="A2692" t="s">
        <v>5938</v>
      </c>
      <c r="B2692" t="s">
        <v>56</v>
      </c>
      <c r="C2692" s="10" t="s">
        <v>5332</v>
      </c>
      <c r="D2692" t="s">
        <v>58</v>
      </c>
      <c r="E2692" t="s">
        <v>2952</v>
      </c>
      <c r="F2692" t="s">
        <v>5935</v>
      </c>
      <c r="G2692">
        <v>20000</v>
      </c>
      <c r="H2692">
        <v>1972</v>
      </c>
      <c r="I2692" t="s">
        <v>58</v>
      </c>
      <c r="J2692" t="s">
        <v>58</v>
      </c>
      <c r="K2692" t="s">
        <v>58</v>
      </c>
      <c r="L2692" t="s">
        <v>58</v>
      </c>
      <c r="M2692" t="s">
        <v>58</v>
      </c>
      <c r="P2692" t="s">
        <v>61</v>
      </c>
      <c r="Q2692" t="s">
        <v>58</v>
      </c>
      <c r="R2692" s="11" t="str">
        <f>HYPERLINK("\\imagefiles.bcgov\imagery\scanned_maps\moe_terrain_maps\Scanned_T_maps_all\R10\R10-1028","\\imagefiles.bcgov\imagery\scanned_maps\moe_terrain_maps\Scanned_T_maps_all\R10\R10-1028")</f>
        <v>\\imagefiles.bcgov\imagery\scanned_maps\moe_terrain_maps\Scanned_T_maps_all\R10\R10-1028</v>
      </c>
      <c r="S2692" t="s">
        <v>62</v>
      </c>
      <c r="T2692" s="11" t="str">
        <f>HYPERLINK("http://www.env.gov.bc.ca/esd/distdata/ecosystems/TEI_Scanned_Maps/R10/R10-1028","http://www.env.gov.bc.ca/esd/distdata/ecosystems/TEI_Scanned_Maps/R10/R10-1028")</f>
        <v>http://www.env.gov.bc.ca/esd/distdata/ecosystems/TEI_Scanned_Maps/R10/R10-1028</v>
      </c>
      <c r="U2692" t="s">
        <v>58</v>
      </c>
      <c r="V2692" t="s">
        <v>58</v>
      </c>
      <c r="W2692" t="s">
        <v>58</v>
      </c>
      <c r="X2692" t="s">
        <v>58</v>
      </c>
      <c r="Y2692" t="s">
        <v>58</v>
      </c>
      <c r="Z2692" t="s">
        <v>58</v>
      </c>
      <c r="AA2692" t="s">
        <v>58</v>
      </c>
      <c r="AC2692" t="s">
        <v>58</v>
      </c>
      <c r="AE2692" t="s">
        <v>58</v>
      </c>
      <c r="AG2692" t="s">
        <v>63</v>
      </c>
      <c r="AH2692" s="11" t="str">
        <f t="shared" si="168"/>
        <v>mailto: soilterrain@victoria1.gov.bc.ca</v>
      </c>
    </row>
    <row r="2693" spans="1:34">
      <c r="A2693" t="s">
        <v>5939</v>
      </c>
      <c r="B2693" t="s">
        <v>56</v>
      </c>
      <c r="C2693" s="10" t="s">
        <v>5258</v>
      </c>
      <c r="D2693" t="s">
        <v>58</v>
      </c>
      <c r="E2693" t="s">
        <v>2952</v>
      </c>
      <c r="F2693" t="s">
        <v>5935</v>
      </c>
      <c r="G2693">
        <v>20000</v>
      </c>
      <c r="H2693" t="s">
        <v>187</v>
      </c>
      <c r="I2693" t="s">
        <v>58</v>
      </c>
      <c r="J2693" t="s">
        <v>58</v>
      </c>
      <c r="K2693" t="s">
        <v>58</v>
      </c>
      <c r="L2693" t="s">
        <v>58</v>
      </c>
      <c r="M2693" t="s">
        <v>58</v>
      </c>
      <c r="P2693" t="s">
        <v>61</v>
      </c>
      <c r="Q2693" t="s">
        <v>58</v>
      </c>
      <c r="R2693" s="11" t="str">
        <f>HYPERLINK("\\imagefiles.bcgov\imagery\scanned_maps\moe_terrain_maps\Scanned_T_maps_all\R10\R10-1037","\\imagefiles.bcgov\imagery\scanned_maps\moe_terrain_maps\Scanned_T_maps_all\R10\R10-1037")</f>
        <v>\\imagefiles.bcgov\imagery\scanned_maps\moe_terrain_maps\Scanned_T_maps_all\R10\R10-1037</v>
      </c>
      <c r="S2693" t="s">
        <v>62</v>
      </c>
      <c r="T2693" s="11" t="str">
        <f>HYPERLINK("http://www.env.gov.bc.ca/esd/distdata/ecosystems/TEI_Scanned_Maps/R10/R10-1037","http://www.env.gov.bc.ca/esd/distdata/ecosystems/TEI_Scanned_Maps/R10/R10-1037")</f>
        <v>http://www.env.gov.bc.ca/esd/distdata/ecosystems/TEI_Scanned_Maps/R10/R10-1037</v>
      </c>
      <c r="U2693" t="s">
        <v>58</v>
      </c>
      <c r="V2693" t="s">
        <v>58</v>
      </c>
      <c r="W2693" t="s">
        <v>58</v>
      </c>
      <c r="X2693" t="s">
        <v>58</v>
      </c>
      <c r="Y2693" t="s">
        <v>58</v>
      </c>
      <c r="Z2693" t="s">
        <v>58</v>
      </c>
      <c r="AA2693" t="s">
        <v>58</v>
      </c>
      <c r="AC2693" t="s">
        <v>58</v>
      </c>
      <c r="AE2693" t="s">
        <v>58</v>
      </c>
      <c r="AG2693" t="s">
        <v>63</v>
      </c>
      <c r="AH2693" s="11" t="str">
        <f t="shared" si="168"/>
        <v>mailto: soilterrain@victoria1.gov.bc.ca</v>
      </c>
    </row>
    <row r="2694" spans="1:34">
      <c r="A2694" t="s">
        <v>5940</v>
      </c>
      <c r="B2694" t="s">
        <v>56</v>
      </c>
      <c r="C2694" s="10" t="s">
        <v>5335</v>
      </c>
      <c r="D2694" t="s">
        <v>58</v>
      </c>
      <c r="E2694" t="s">
        <v>2952</v>
      </c>
      <c r="F2694" t="s">
        <v>5935</v>
      </c>
      <c r="G2694">
        <v>20000</v>
      </c>
      <c r="H2694">
        <v>1971</v>
      </c>
      <c r="I2694" t="s">
        <v>58</v>
      </c>
      <c r="J2694" t="s">
        <v>58</v>
      </c>
      <c r="K2694" t="s">
        <v>58</v>
      </c>
      <c r="L2694" t="s">
        <v>58</v>
      </c>
      <c r="M2694" t="s">
        <v>58</v>
      </c>
      <c r="P2694" t="s">
        <v>61</v>
      </c>
      <c r="Q2694" t="s">
        <v>58</v>
      </c>
      <c r="R2694" s="11" t="str">
        <f>HYPERLINK("\\imagefiles.bcgov\imagery\scanned_maps\moe_terrain_maps\Scanned_T_maps_all\R10\R10-1045","\\imagefiles.bcgov\imagery\scanned_maps\moe_terrain_maps\Scanned_T_maps_all\R10\R10-1045")</f>
        <v>\\imagefiles.bcgov\imagery\scanned_maps\moe_terrain_maps\Scanned_T_maps_all\R10\R10-1045</v>
      </c>
      <c r="S2694" t="s">
        <v>62</v>
      </c>
      <c r="T2694" s="11" t="str">
        <f>HYPERLINK("http://www.env.gov.bc.ca/esd/distdata/ecosystems/TEI_Scanned_Maps/R10/R10-1045","http://www.env.gov.bc.ca/esd/distdata/ecosystems/TEI_Scanned_Maps/R10/R10-1045")</f>
        <v>http://www.env.gov.bc.ca/esd/distdata/ecosystems/TEI_Scanned_Maps/R10/R10-1045</v>
      </c>
      <c r="U2694" t="s">
        <v>58</v>
      </c>
      <c r="V2694" t="s">
        <v>58</v>
      </c>
      <c r="W2694" t="s">
        <v>58</v>
      </c>
      <c r="X2694" t="s">
        <v>58</v>
      </c>
      <c r="Y2694" t="s">
        <v>58</v>
      </c>
      <c r="Z2694" t="s">
        <v>58</v>
      </c>
      <c r="AA2694" t="s">
        <v>58</v>
      </c>
      <c r="AC2694" t="s">
        <v>58</v>
      </c>
      <c r="AE2694" t="s">
        <v>58</v>
      </c>
      <c r="AG2694" t="s">
        <v>63</v>
      </c>
      <c r="AH2694" s="11" t="str">
        <f t="shared" si="168"/>
        <v>mailto: soilterrain@victoria1.gov.bc.ca</v>
      </c>
    </row>
    <row r="2695" spans="1:34">
      <c r="A2695" t="s">
        <v>5941</v>
      </c>
      <c r="B2695" t="s">
        <v>56</v>
      </c>
      <c r="C2695" s="10" t="s">
        <v>5027</v>
      </c>
      <c r="D2695" t="s">
        <v>58</v>
      </c>
      <c r="E2695" t="s">
        <v>2952</v>
      </c>
      <c r="F2695" t="s">
        <v>5935</v>
      </c>
      <c r="G2695">
        <v>20000</v>
      </c>
      <c r="H2695">
        <v>1975</v>
      </c>
      <c r="I2695" t="s">
        <v>58</v>
      </c>
      <c r="J2695" t="s">
        <v>58</v>
      </c>
      <c r="K2695" t="s">
        <v>58</v>
      </c>
      <c r="L2695" t="s">
        <v>58</v>
      </c>
      <c r="M2695" t="s">
        <v>58</v>
      </c>
      <c r="P2695" t="s">
        <v>61</v>
      </c>
      <c r="Q2695" t="s">
        <v>58</v>
      </c>
      <c r="R2695" s="11" t="str">
        <f>HYPERLINK("\\imagefiles.bcgov\imagery\scanned_maps\moe_terrain_maps\Scanned_T_maps_all\R10\R10-1053","\\imagefiles.bcgov\imagery\scanned_maps\moe_terrain_maps\Scanned_T_maps_all\R10\R10-1053")</f>
        <v>\\imagefiles.bcgov\imagery\scanned_maps\moe_terrain_maps\Scanned_T_maps_all\R10\R10-1053</v>
      </c>
      <c r="S2695" t="s">
        <v>62</v>
      </c>
      <c r="T2695" s="11" t="str">
        <f>HYPERLINK("http://www.env.gov.bc.ca/esd/distdata/ecosystems/TEI_Scanned_Maps/R10/R10-1053","http://www.env.gov.bc.ca/esd/distdata/ecosystems/TEI_Scanned_Maps/R10/R10-1053")</f>
        <v>http://www.env.gov.bc.ca/esd/distdata/ecosystems/TEI_Scanned_Maps/R10/R10-1053</v>
      </c>
      <c r="U2695" t="s">
        <v>58</v>
      </c>
      <c r="V2695" t="s">
        <v>58</v>
      </c>
      <c r="W2695" t="s">
        <v>58</v>
      </c>
      <c r="X2695" t="s">
        <v>58</v>
      </c>
      <c r="Y2695" t="s">
        <v>58</v>
      </c>
      <c r="Z2695" t="s">
        <v>58</v>
      </c>
      <c r="AA2695" t="s">
        <v>58</v>
      </c>
      <c r="AC2695" t="s">
        <v>58</v>
      </c>
      <c r="AE2695" t="s">
        <v>58</v>
      </c>
      <c r="AG2695" t="s">
        <v>63</v>
      </c>
      <c r="AH2695" s="11" t="str">
        <f t="shared" si="168"/>
        <v>mailto: soilterrain@victoria1.gov.bc.ca</v>
      </c>
    </row>
    <row r="2696" spans="1:34">
      <c r="A2696" t="s">
        <v>5942</v>
      </c>
      <c r="B2696" t="s">
        <v>56</v>
      </c>
      <c r="C2696" s="10" t="s">
        <v>5338</v>
      </c>
      <c r="D2696" t="s">
        <v>58</v>
      </c>
      <c r="E2696" t="s">
        <v>2952</v>
      </c>
      <c r="F2696" t="s">
        <v>5935</v>
      </c>
      <c r="G2696">
        <v>20000</v>
      </c>
      <c r="H2696">
        <v>1972</v>
      </c>
      <c r="I2696" t="s">
        <v>58</v>
      </c>
      <c r="J2696" t="s">
        <v>58</v>
      </c>
      <c r="K2696" t="s">
        <v>58</v>
      </c>
      <c r="L2696" t="s">
        <v>58</v>
      </c>
      <c r="M2696" t="s">
        <v>58</v>
      </c>
      <c r="P2696" t="s">
        <v>61</v>
      </c>
      <c r="Q2696" t="s">
        <v>58</v>
      </c>
      <c r="R2696" s="11" t="str">
        <f>HYPERLINK("\\imagefiles.bcgov\imagery\scanned_maps\moe_terrain_maps\Scanned_T_maps_all\R10\R10-1121","\\imagefiles.bcgov\imagery\scanned_maps\moe_terrain_maps\Scanned_T_maps_all\R10\R10-1121")</f>
        <v>\\imagefiles.bcgov\imagery\scanned_maps\moe_terrain_maps\Scanned_T_maps_all\R10\R10-1121</v>
      </c>
      <c r="S2696" t="s">
        <v>62</v>
      </c>
      <c r="T2696" s="11" t="str">
        <f>HYPERLINK("http://www.env.gov.bc.ca/esd/distdata/ecosystems/TEI_Scanned_Maps/R10/R10-1121","http://www.env.gov.bc.ca/esd/distdata/ecosystems/TEI_Scanned_Maps/R10/R10-1121")</f>
        <v>http://www.env.gov.bc.ca/esd/distdata/ecosystems/TEI_Scanned_Maps/R10/R10-1121</v>
      </c>
      <c r="U2696" t="s">
        <v>58</v>
      </c>
      <c r="V2696" t="s">
        <v>58</v>
      </c>
      <c r="W2696" t="s">
        <v>58</v>
      </c>
      <c r="X2696" t="s">
        <v>58</v>
      </c>
      <c r="Y2696" t="s">
        <v>58</v>
      </c>
      <c r="Z2696" t="s">
        <v>58</v>
      </c>
      <c r="AA2696" t="s">
        <v>58</v>
      </c>
      <c r="AC2696" t="s">
        <v>58</v>
      </c>
      <c r="AE2696" t="s">
        <v>58</v>
      </c>
      <c r="AG2696" t="s">
        <v>63</v>
      </c>
      <c r="AH2696" s="11" t="str">
        <f t="shared" si="168"/>
        <v>mailto: soilterrain@victoria1.gov.bc.ca</v>
      </c>
    </row>
    <row r="2697" spans="1:34">
      <c r="A2697" t="s">
        <v>5943</v>
      </c>
      <c r="B2697" t="s">
        <v>56</v>
      </c>
      <c r="C2697" s="10" t="s">
        <v>5340</v>
      </c>
      <c r="D2697" t="s">
        <v>58</v>
      </c>
      <c r="E2697" t="s">
        <v>2952</v>
      </c>
      <c r="F2697" t="s">
        <v>5935</v>
      </c>
      <c r="G2697">
        <v>20000</v>
      </c>
      <c r="H2697" t="s">
        <v>187</v>
      </c>
      <c r="I2697" t="s">
        <v>58</v>
      </c>
      <c r="J2697" t="s">
        <v>58</v>
      </c>
      <c r="K2697" t="s">
        <v>58</v>
      </c>
      <c r="L2697" t="s">
        <v>58</v>
      </c>
      <c r="M2697" t="s">
        <v>58</v>
      </c>
      <c r="P2697" t="s">
        <v>61</v>
      </c>
      <c r="Q2697" t="s">
        <v>58</v>
      </c>
      <c r="R2697" s="11" t="str">
        <f>HYPERLINK("\\imagefiles.bcgov\imagery\scanned_maps\moe_terrain_maps\Scanned_T_maps_all\R10\R10-1129","\\imagefiles.bcgov\imagery\scanned_maps\moe_terrain_maps\Scanned_T_maps_all\R10\R10-1129")</f>
        <v>\\imagefiles.bcgov\imagery\scanned_maps\moe_terrain_maps\Scanned_T_maps_all\R10\R10-1129</v>
      </c>
      <c r="S2697" t="s">
        <v>62</v>
      </c>
      <c r="T2697" s="11" t="str">
        <f>HYPERLINK("http://www.env.gov.bc.ca/esd/distdata/ecosystems/TEI_Scanned_Maps/R10/R10-1129","http://www.env.gov.bc.ca/esd/distdata/ecosystems/TEI_Scanned_Maps/R10/R10-1129")</f>
        <v>http://www.env.gov.bc.ca/esd/distdata/ecosystems/TEI_Scanned_Maps/R10/R10-1129</v>
      </c>
      <c r="U2697" t="s">
        <v>58</v>
      </c>
      <c r="V2697" t="s">
        <v>58</v>
      </c>
      <c r="W2697" t="s">
        <v>58</v>
      </c>
      <c r="X2697" t="s">
        <v>58</v>
      </c>
      <c r="Y2697" t="s">
        <v>58</v>
      </c>
      <c r="Z2697" t="s">
        <v>58</v>
      </c>
      <c r="AA2697" t="s">
        <v>58</v>
      </c>
      <c r="AC2697" t="s">
        <v>58</v>
      </c>
      <c r="AE2697" t="s">
        <v>58</v>
      </c>
      <c r="AG2697" t="s">
        <v>63</v>
      </c>
      <c r="AH2697" s="11" t="str">
        <f t="shared" si="168"/>
        <v>mailto: soilterrain@victoria1.gov.bc.ca</v>
      </c>
    </row>
    <row r="2698" spans="1:34">
      <c r="A2698" t="s">
        <v>5944</v>
      </c>
      <c r="B2698" t="s">
        <v>56</v>
      </c>
      <c r="C2698" s="10" t="s">
        <v>5342</v>
      </c>
      <c r="D2698" t="s">
        <v>58</v>
      </c>
      <c r="E2698" t="s">
        <v>2952</v>
      </c>
      <c r="F2698" t="s">
        <v>5935</v>
      </c>
      <c r="G2698">
        <v>20000</v>
      </c>
      <c r="H2698">
        <v>1971</v>
      </c>
      <c r="I2698" t="s">
        <v>58</v>
      </c>
      <c r="J2698" t="s">
        <v>58</v>
      </c>
      <c r="K2698" t="s">
        <v>58</v>
      </c>
      <c r="L2698" t="s">
        <v>58</v>
      </c>
      <c r="M2698" t="s">
        <v>58</v>
      </c>
      <c r="P2698" t="s">
        <v>61</v>
      </c>
      <c r="Q2698" t="s">
        <v>58</v>
      </c>
      <c r="R2698" s="11" t="str">
        <f>HYPERLINK("\\imagefiles.bcgov\imagery\scanned_maps\moe_terrain_maps\Scanned_T_maps_all\R10\R10-1138","\\imagefiles.bcgov\imagery\scanned_maps\moe_terrain_maps\Scanned_T_maps_all\R10\R10-1138")</f>
        <v>\\imagefiles.bcgov\imagery\scanned_maps\moe_terrain_maps\Scanned_T_maps_all\R10\R10-1138</v>
      </c>
      <c r="S2698" t="s">
        <v>62</v>
      </c>
      <c r="T2698" s="11" t="str">
        <f>HYPERLINK("http://www.env.gov.bc.ca/esd/distdata/ecosystems/TEI_Scanned_Maps/R10/R10-1138","http://www.env.gov.bc.ca/esd/distdata/ecosystems/TEI_Scanned_Maps/R10/R10-1138")</f>
        <v>http://www.env.gov.bc.ca/esd/distdata/ecosystems/TEI_Scanned_Maps/R10/R10-1138</v>
      </c>
      <c r="U2698" t="s">
        <v>58</v>
      </c>
      <c r="V2698" t="s">
        <v>58</v>
      </c>
      <c r="W2698" t="s">
        <v>58</v>
      </c>
      <c r="X2698" t="s">
        <v>58</v>
      </c>
      <c r="Y2698" t="s">
        <v>58</v>
      </c>
      <c r="Z2698" t="s">
        <v>58</v>
      </c>
      <c r="AA2698" t="s">
        <v>58</v>
      </c>
      <c r="AC2698" t="s">
        <v>58</v>
      </c>
      <c r="AE2698" t="s">
        <v>58</v>
      </c>
      <c r="AG2698" t="s">
        <v>63</v>
      </c>
      <c r="AH2698" s="11" t="str">
        <f t="shared" si="168"/>
        <v>mailto: soilterrain@victoria1.gov.bc.ca</v>
      </c>
    </row>
    <row r="2699" spans="1:34">
      <c r="A2699" t="s">
        <v>5945</v>
      </c>
      <c r="B2699" t="s">
        <v>56</v>
      </c>
      <c r="C2699" s="10" t="s">
        <v>5344</v>
      </c>
      <c r="D2699" t="s">
        <v>58</v>
      </c>
      <c r="E2699" t="s">
        <v>2952</v>
      </c>
      <c r="F2699" t="s">
        <v>5935</v>
      </c>
      <c r="G2699">
        <v>20000</v>
      </c>
      <c r="H2699">
        <v>1978</v>
      </c>
      <c r="I2699" t="s">
        <v>58</v>
      </c>
      <c r="J2699" t="s">
        <v>58</v>
      </c>
      <c r="K2699" t="s">
        <v>58</v>
      </c>
      <c r="L2699" t="s">
        <v>58</v>
      </c>
      <c r="M2699" t="s">
        <v>58</v>
      </c>
      <c r="P2699" t="s">
        <v>61</v>
      </c>
      <c r="Q2699" t="s">
        <v>58</v>
      </c>
      <c r="R2699" s="11" t="str">
        <f>HYPERLINK("\\imagefiles.bcgov\imagery\scanned_maps\moe_terrain_maps\Scanned_T_maps_all\R10\R10-1148","\\imagefiles.bcgov\imagery\scanned_maps\moe_terrain_maps\Scanned_T_maps_all\R10\R10-1148")</f>
        <v>\\imagefiles.bcgov\imagery\scanned_maps\moe_terrain_maps\Scanned_T_maps_all\R10\R10-1148</v>
      </c>
      <c r="S2699" t="s">
        <v>62</v>
      </c>
      <c r="T2699" s="11" t="str">
        <f>HYPERLINK("http://www.env.gov.bc.ca/esd/distdata/ecosystems/TEI_Scanned_Maps/R10/R10-1148","http://www.env.gov.bc.ca/esd/distdata/ecosystems/TEI_Scanned_Maps/R10/R10-1148")</f>
        <v>http://www.env.gov.bc.ca/esd/distdata/ecosystems/TEI_Scanned_Maps/R10/R10-1148</v>
      </c>
      <c r="U2699" t="s">
        <v>58</v>
      </c>
      <c r="V2699" t="s">
        <v>58</v>
      </c>
      <c r="W2699" t="s">
        <v>58</v>
      </c>
      <c r="X2699" t="s">
        <v>58</v>
      </c>
      <c r="Y2699" t="s">
        <v>58</v>
      </c>
      <c r="Z2699" t="s">
        <v>58</v>
      </c>
      <c r="AA2699" t="s">
        <v>58</v>
      </c>
      <c r="AC2699" t="s">
        <v>58</v>
      </c>
      <c r="AE2699" t="s">
        <v>58</v>
      </c>
      <c r="AG2699" t="s">
        <v>63</v>
      </c>
      <c r="AH2699" s="11" t="str">
        <f t="shared" si="168"/>
        <v>mailto: soilterrain@victoria1.gov.bc.ca</v>
      </c>
    </row>
    <row r="2700" spans="1:34">
      <c r="A2700" t="s">
        <v>5946</v>
      </c>
      <c r="B2700" t="s">
        <v>56</v>
      </c>
      <c r="C2700" s="10" t="s">
        <v>5346</v>
      </c>
      <c r="D2700" t="s">
        <v>58</v>
      </c>
      <c r="E2700" t="s">
        <v>2952</v>
      </c>
      <c r="F2700" t="s">
        <v>5935</v>
      </c>
      <c r="G2700">
        <v>20000</v>
      </c>
      <c r="H2700">
        <v>1975</v>
      </c>
      <c r="I2700" t="s">
        <v>58</v>
      </c>
      <c r="J2700" t="s">
        <v>58</v>
      </c>
      <c r="K2700" t="s">
        <v>58</v>
      </c>
      <c r="L2700" t="s">
        <v>58</v>
      </c>
      <c r="M2700" t="s">
        <v>58</v>
      </c>
      <c r="P2700" t="s">
        <v>61</v>
      </c>
      <c r="Q2700" t="s">
        <v>58</v>
      </c>
      <c r="R2700" s="11" t="str">
        <f>HYPERLINK("\\imagefiles.bcgov\imagery\scanned_maps\moe_terrain_maps\Scanned_T_maps_all\R10\R10-1157","\\imagefiles.bcgov\imagery\scanned_maps\moe_terrain_maps\Scanned_T_maps_all\R10\R10-1157")</f>
        <v>\\imagefiles.bcgov\imagery\scanned_maps\moe_terrain_maps\Scanned_T_maps_all\R10\R10-1157</v>
      </c>
      <c r="S2700" t="s">
        <v>62</v>
      </c>
      <c r="T2700" s="11" t="str">
        <f>HYPERLINK("http://www.env.gov.bc.ca/esd/distdata/ecosystems/TEI_Scanned_Maps/R10/R10-1157","http://www.env.gov.bc.ca/esd/distdata/ecosystems/TEI_Scanned_Maps/R10/R10-1157")</f>
        <v>http://www.env.gov.bc.ca/esd/distdata/ecosystems/TEI_Scanned_Maps/R10/R10-1157</v>
      </c>
      <c r="U2700" t="s">
        <v>58</v>
      </c>
      <c r="V2700" t="s">
        <v>58</v>
      </c>
      <c r="W2700" t="s">
        <v>58</v>
      </c>
      <c r="X2700" t="s">
        <v>58</v>
      </c>
      <c r="Y2700" t="s">
        <v>58</v>
      </c>
      <c r="Z2700" t="s">
        <v>58</v>
      </c>
      <c r="AA2700" t="s">
        <v>58</v>
      </c>
      <c r="AC2700" t="s">
        <v>58</v>
      </c>
      <c r="AE2700" t="s">
        <v>58</v>
      </c>
      <c r="AG2700" t="s">
        <v>63</v>
      </c>
      <c r="AH2700" s="11" t="str">
        <f t="shared" si="168"/>
        <v>mailto: soilterrain@victoria1.gov.bc.ca</v>
      </c>
    </row>
    <row r="2701" spans="1:34">
      <c r="A2701" t="s">
        <v>5947</v>
      </c>
      <c r="B2701" t="s">
        <v>56</v>
      </c>
      <c r="C2701" s="10" t="s">
        <v>5348</v>
      </c>
      <c r="D2701" t="s">
        <v>58</v>
      </c>
      <c r="E2701" t="s">
        <v>2952</v>
      </c>
      <c r="F2701" t="s">
        <v>5935</v>
      </c>
      <c r="G2701">
        <v>20000</v>
      </c>
      <c r="H2701" t="s">
        <v>5948</v>
      </c>
      <c r="I2701" t="s">
        <v>58</v>
      </c>
      <c r="J2701" t="s">
        <v>58</v>
      </c>
      <c r="K2701" t="s">
        <v>58</v>
      </c>
      <c r="L2701" t="s">
        <v>58</v>
      </c>
      <c r="M2701" t="s">
        <v>58</v>
      </c>
      <c r="P2701" t="s">
        <v>61</v>
      </c>
      <c r="Q2701" t="s">
        <v>58</v>
      </c>
      <c r="R2701" s="11" t="str">
        <f>HYPERLINK("\\imagefiles.bcgov\imagery\scanned_maps\moe_terrain_maps\Scanned_T_maps_all\R10\R10-1165","\\imagefiles.bcgov\imagery\scanned_maps\moe_terrain_maps\Scanned_T_maps_all\R10\R10-1165")</f>
        <v>\\imagefiles.bcgov\imagery\scanned_maps\moe_terrain_maps\Scanned_T_maps_all\R10\R10-1165</v>
      </c>
      <c r="S2701" t="s">
        <v>62</v>
      </c>
      <c r="T2701" s="11" t="str">
        <f>HYPERLINK("http://www.env.gov.bc.ca/esd/distdata/ecosystems/TEI_Scanned_Maps/R10/R10-1165","http://www.env.gov.bc.ca/esd/distdata/ecosystems/TEI_Scanned_Maps/R10/R10-1165")</f>
        <v>http://www.env.gov.bc.ca/esd/distdata/ecosystems/TEI_Scanned_Maps/R10/R10-1165</v>
      </c>
      <c r="U2701" t="s">
        <v>58</v>
      </c>
      <c r="V2701" t="s">
        <v>58</v>
      </c>
      <c r="W2701" t="s">
        <v>58</v>
      </c>
      <c r="X2701" t="s">
        <v>58</v>
      </c>
      <c r="Y2701" t="s">
        <v>58</v>
      </c>
      <c r="Z2701" t="s">
        <v>58</v>
      </c>
      <c r="AA2701" t="s">
        <v>58</v>
      </c>
      <c r="AC2701" t="s">
        <v>58</v>
      </c>
      <c r="AE2701" t="s">
        <v>58</v>
      </c>
      <c r="AG2701" t="s">
        <v>63</v>
      </c>
      <c r="AH2701" s="11" t="str">
        <f t="shared" si="168"/>
        <v>mailto: soilterrain@victoria1.gov.bc.ca</v>
      </c>
    </row>
    <row r="2702" spans="1:34">
      <c r="A2702" t="s">
        <v>5949</v>
      </c>
      <c r="B2702" t="s">
        <v>56</v>
      </c>
      <c r="C2702" s="10" t="s">
        <v>5350</v>
      </c>
      <c r="D2702" t="s">
        <v>58</v>
      </c>
      <c r="E2702" t="s">
        <v>2952</v>
      </c>
      <c r="F2702" t="s">
        <v>5935</v>
      </c>
      <c r="G2702">
        <v>20000</v>
      </c>
      <c r="H2702">
        <v>1980</v>
      </c>
      <c r="I2702" t="s">
        <v>58</v>
      </c>
      <c r="J2702" t="s">
        <v>58</v>
      </c>
      <c r="K2702" t="s">
        <v>58</v>
      </c>
      <c r="L2702" t="s">
        <v>58</v>
      </c>
      <c r="M2702" t="s">
        <v>58</v>
      </c>
      <c r="P2702" t="s">
        <v>61</v>
      </c>
      <c r="Q2702" t="s">
        <v>58</v>
      </c>
      <c r="R2702" s="11" t="str">
        <f>HYPERLINK("\\imagefiles.bcgov\imagery\scanned_maps\moe_terrain_maps\Scanned_T_maps_all\R10\R10-1173","\\imagefiles.bcgov\imagery\scanned_maps\moe_terrain_maps\Scanned_T_maps_all\R10\R10-1173")</f>
        <v>\\imagefiles.bcgov\imagery\scanned_maps\moe_terrain_maps\Scanned_T_maps_all\R10\R10-1173</v>
      </c>
      <c r="S2702" t="s">
        <v>62</v>
      </c>
      <c r="T2702" s="11" t="str">
        <f>HYPERLINK("http://www.env.gov.bc.ca/esd/distdata/ecosystems/TEI_Scanned_Maps/R10/R10-1173","http://www.env.gov.bc.ca/esd/distdata/ecosystems/TEI_Scanned_Maps/R10/R10-1173")</f>
        <v>http://www.env.gov.bc.ca/esd/distdata/ecosystems/TEI_Scanned_Maps/R10/R10-1173</v>
      </c>
      <c r="U2702" t="s">
        <v>58</v>
      </c>
      <c r="V2702" t="s">
        <v>58</v>
      </c>
      <c r="W2702" t="s">
        <v>58</v>
      </c>
      <c r="X2702" t="s">
        <v>58</v>
      </c>
      <c r="Y2702" t="s">
        <v>58</v>
      </c>
      <c r="Z2702" t="s">
        <v>58</v>
      </c>
      <c r="AA2702" t="s">
        <v>58</v>
      </c>
      <c r="AC2702" t="s">
        <v>58</v>
      </c>
      <c r="AE2702" t="s">
        <v>58</v>
      </c>
      <c r="AG2702" t="s">
        <v>63</v>
      </c>
      <c r="AH2702" s="11" t="str">
        <f t="shared" si="168"/>
        <v>mailto: soilterrain@victoria1.gov.bc.ca</v>
      </c>
    </row>
    <row r="2703" spans="1:34">
      <c r="A2703" t="s">
        <v>5950</v>
      </c>
      <c r="B2703" t="s">
        <v>56</v>
      </c>
      <c r="C2703" s="10" t="s">
        <v>5352</v>
      </c>
      <c r="D2703" t="s">
        <v>58</v>
      </c>
      <c r="E2703" t="s">
        <v>2952</v>
      </c>
      <c r="F2703" t="s">
        <v>5935</v>
      </c>
      <c r="G2703">
        <v>20000</v>
      </c>
      <c r="H2703">
        <v>1980</v>
      </c>
      <c r="I2703" t="s">
        <v>58</v>
      </c>
      <c r="J2703" t="s">
        <v>58</v>
      </c>
      <c r="K2703" t="s">
        <v>58</v>
      </c>
      <c r="L2703" t="s">
        <v>58</v>
      </c>
      <c r="M2703" t="s">
        <v>58</v>
      </c>
      <c r="P2703" t="s">
        <v>61</v>
      </c>
      <c r="Q2703" t="s">
        <v>58</v>
      </c>
      <c r="R2703" s="11" t="str">
        <f>HYPERLINK("\\imagefiles.bcgov\imagery\scanned_maps\moe_terrain_maps\Scanned_T_maps_all\R10\R10-1181","\\imagefiles.bcgov\imagery\scanned_maps\moe_terrain_maps\Scanned_T_maps_all\R10\R10-1181")</f>
        <v>\\imagefiles.bcgov\imagery\scanned_maps\moe_terrain_maps\Scanned_T_maps_all\R10\R10-1181</v>
      </c>
      <c r="S2703" t="s">
        <v>62</v>
      </c>
      <c r="T2703" s="11" t="str">
        <f>HYPERLINK("http://www.env.gov.bc.ca/esd/distdata/ecosystems/TEI_Scanned_Maps/R10/R10-1181","http://www.env.gov.bc.ca/esd/distdata/ecosystems/TEI_Scanned_Maps/R10/R10-1181")</f>
        <v>http://www.env.gov.bc.ca/esd/distdata/ecosystems/TEI_Scanned_Maps/R10/R10-1181</v>
      </c>
      <c r="U2703" t="s">
        <v>58</v>
      </c>
      <c r="V2703" t="s">
        <v>58</v>
      </c>
      <c r="W2703" t="s">
        <v>58</v>
      </c>
      <c r="X2703" t="s">
        <v>58</v>
      </c>
      <c r="Y2703" t="s">
        <v>58</v>
      </c>
      <c r="Z2703" t="s">
        <v>58</v>
      </c>
      <c r="AA2703" t="s">
        <v>58</v>
      </c>
      <c r="AC2703" t="s">
        <v>58</v>
      </c>
      <c r="AE2703" t="s">
        <v>58</v>
      </c>
      <c r="AG2703" t="s">
        <v>63</v>
      </c>
      <c r="AH2703" s="11" t="str">
        <f t="shared" si="168"/>
        <v>mailto: soilterrain@victoria1.gov.bc.ca</v>
      </c>
    </row>
    <row r="2704" spans="1:34">
      <c r="A2704" t="s">
        <v>5951</v>
      </c>
      <c r="B2704" t="s">
        <v>56</v>
      </c>
      <c r="C2704" s="10" t="s">
        <v>5354</v>
      </c>
      <c r="D2704" t="s">
        <v>58</v>
      </c>
      <c r="E2704" t="s">
        <v>2952</v>
      </c>
      <c r="F2704" t="s">
        <v>5935</v>
      </c>
      <c r="G2704">
        <v>20000</v>
      </c>
      <c r="H2704">
        <v>1980</v>
      </c>
      <c r="I2704" t="s">
        <v>58</v>
      </c>
      <c r="J2704" t="s">
        <v>58</v>
      </c>
      <c r="K2704" t="s">
        <v>58</v>
      </c>
      <c r="L2704" t="s">
        <v>58</v>
      </c>
      <c r="M2704" t="s">
        <v>58</v>
      </c>
      <c r="P2704" t="s">
        <v>61</v>
      </c>
      <c r="Q2704" t="s">
        <v>58</v>
      </c>
      <c r="R2704" s="11" t="str">
        <f>HYPERLINK("\\imagefiles.bcgov\imagery\scanned_maps\moe_terrain_maps\Scanned_T_maps_all\R10\R10-1189","\\imagefiles.bcgov\imagery\scanned_maps\moe_terrain_maps\Scanned_T_maps_all\R10\R10-1189")</f>
        <v>\\imagefiles.bcgov\imagery\scanned_maps\moe_terrain_maps\Scanned_T_maps_all\R10\R10-1189</v>
      </c>
      <c r="S2704" t="s">
        <v>62</v>
      </c>
      <c r="T2704" s="11" t="str">
        <f>HYPERLINK("http://www.env.gov.bc.ca/esd/distdata/ecosystems/TEI_Scanned_Maps/R10/R10-1189","http://www.env.gov.bc.ca/esd/distdata/ecosystems/TEI_Scanned_Maps/R10/R10-1189")</f>
        <v>http://www.env.gov.bc.ca/esd/distdata/ecosystems/TEI_Scanned_Maps/R10/R10-1189</v>
      </c>
      <c r="U2704" t="s">
        <v>58</v>
      </c>
      <c r="V2704" t="s">
        <v>58</v>
      </c>
      <c r="W2704" t="s">
        <v>58</v>
      </c>
      <c r="X2704" t="s">
        <v>58</v>
      </c>
      <c r="Y2704" t="s">
        <v>58</v>
      </c>
      <c r="Z2704" t="s">
        <v>58</v>
      </c>
      <c r="AA2704" t="s">
        <v>58</v>
      </c>
      <c r="AC2704" t="s">
        <v>58</v>
      </c>
      <c r="AE2704" t="s">
        <v>58</v>
      </c>
      <c r="AG2704" t="s">
        <v>63</v>
      </c>
      <c r="AH2704" s="11" t="str">
        <f t="shared" si="168"/>
        <v>mailto: soilterrain@victoria1.gov.bc.ca</v>
      </c>
    </row>
    <row r="2705" spans="1:34">
      <c r="A2705" t="s">
        <v>5952</v>
      </c>
      <c r="B2705" t="s">
        <v>56</v>
      </c>
      <c r="C2705" s="10" t="s">
        <v>5356</v>
      </c>
      <c r="D2705" t="s">
        <v>58</v>
      </c>
      <c r="E2705" t="s">
        <v>2952</v>
      </c>
      <c r="F2705" t="s">
        <v>5935</v>
      </c>
      <c r="G2705">
        <v>20000</v>
      </c>
      <c r="H2705">
        <v>1980</v>
      </c>
      <c r="I2705" t="s">
        <v>58</v>
      </c>
      <c r="J2705" t="s">
        <v>58</v>
      </c>
      <c r="K2705" t="s">
        <v>58</v>
      </c>
      <c r="L2705" t="s">
        <v>58</v>
      </c>
      <c r="M2705" t="s">
        <v>58</v>
      </c>
      <c r="P2705" t="s">
        <v>61</v>
      </c>
      <c r="Q2705" t="s">
        <v>58</v>
      </c>
      <c r="R2705" s="11" t="str">
        <f>HYPERLINK("\\imagefiles.bcgov\imagery\scanned_maps\moe_terrain_maps\Scanned_T_maps_all\R10\R10-1197","\\imagefiles.bcgov\imagery\scanned_maps\moe_terrain_maps\Scanned_T_maps_all\R10\R10-1197")</f>
        <v>\\imagefiles.bcgov\imagery\scanned_maps\moe_terrain_maps\Scanned_T_maps_all\R10\R10-1197</v>
      </c>
      <c r="S2705" t="s">
        <v>62</v>
      </c>
      <c r="T2705" s="11" t="str">
        <f>HYPERLINK("http://www.env.gov.bc.ca/esd/distdata/ecosystems/TEI_Scanned_Maps/R10/R10-1197","http://www.env.gov.bc.ca/esd/distdata/ecosystems/TEI_Scanned_Maps/R10/R10-1197")</f>
        <v>http://www.env.gov.bc.ca/esd/distdata/ecosystems/TEI_Scanned_Maps/R10/R10-1197</v>
      </c>
      <c r="U2705" t="s">
        <v>58</v>
      </c>
      <c r="V2705" t="s">
        <v>58</v>
      </c>
      <c r="W2705" t="s">
        <v>58</v>
      </c>
      <c r="X2705" t="s">
        <v>58</v>
      </c>
      <c r="Y2705" t="s">
        <v>58</v>
      </c>
      <c r="Z2705" t="s">
        <v>58</v>
      </c>
      <c r="AA2705" t="s">
        <v>58</v>
      </c>
      <c r="AC2705" t="s">
        <v>58</v>
      </c>
      <c r="AE2705" t="s">
        <v>58</v>
      </c>
      <c r="AG2705" t="s">
        <v>63</v>
      </c>
      <c r="AH2705" s="11" t="str">
        <f t="shared" si="168"/>
        <v>mailto: soilterrain@victoria1.gov.bc.ca</v>
      </c>
    </row>
    <row r="2706" spans="1:34">
      <c r="A2706" t="s">
        <v>5953</v>
      </c>
      <c r="B2706" t="s">
        <v>56</v>
      </c>
      <c r="C2706" s="10" t="s">
        <v>5358</v>
      </c>
      <c r="D2706" t="s">
        <v>58</v>
      </c>
      <c r="E2706" t="s">
        <v>2952</v>
      </c>
      <c r="F2706" t="s">
        <v>5935</v>
      </c>
      <c r="G2706">
        <v>20000</v>
      </c>
      <c r="H2706">
        <v>1980</v>
      </c>
      <c r="I2706" t="s">
        <v>58</v>
      </c>
      <c r="J2706" t="s">
        <v>58</v>
      </c>
      <c r="K2706" t="s">
        <v>58</v>
      </c>
      <c r="L2706" t="s">
        <v>58</v>
      </c>
      <c r="M2706" t="s">
        <v>58</v>
      </c>
      <c r="P2706" t="s">
        <v>61</v>
      </c>
      <c r="Q2706" t="s">
        <v>58</v>
      </c>
      <c r="R2706" s="11" t="str">
        <f>HYPERLINK("\\imagefiles.bcgov\imagery\scanned_maps\moe_terrain_maps\Scanned_T_maps_all\R10\R10-1205","\\imagefiles.bcgov\imagery\scanned_maps\moe_terrain_maps\Scanned_T_maps_all\R10\R10-1205")</f>
        <v>\\imagefiles.bcgov\imagery\scanned_maps\moe_terrain_maps\Scanned_T_maps_all\R10\R10-1205</v>
      </c>
      <c r="S2706" t="s">
        <v>62</v>
      </c>
      <c r="T2706" s="11" t="str">
        <f>HYPERLINK("http://www.env.gov.bc.ca/esd/distdata/ecosystems/TEI_Scanned_Maps/R10/R10-1205","http://www.env.gov.bc.ca/esd/distdata/ecosystems/TEI_Scanned_Maps/R10/R10-1205")</f>
        <v>http://www.env.gov.bc.ca/esd/distdata/ecosystems/TEI_Scanned_Maps/R10/R10-1205</v>
      </c>
      <c r="U2706" t="s">
        <v>58</v>
      </c>
      <c r="V2706" t="s">
        <v>58</v>
      </c>
      <c r="W2706" t="s">
        <v>58</v>
      </c>
      <c r="X2706" t="s">
        <v>58</v>
      </c>
      <c r="Y2706" t="s">
        <v>58</v>
      </c>
      <c r="Z2706" t="s">
        <v>58</v>
      </c>
      <c r="AA2706" t="s">
        <v>58</v>
      </c>
      <c r="AC2706" t="s">
        <v>58</v>
      </c>
      <c r="AE2706" t="s">
        <v>58</v>
      </c>
      <c r="AG2706" t="s">
        <v>63</v>
      </c>
      <c r="AH2706" s="11" t="str">
        <f t="shared" si="168"/>
        <v>mailto: soilterrain@victoria1.gov.bc.ca</v>
      </c>
    </row>
    <row r="2707" spans="1:34">
      <c r="A2707" t="s">
        <v>5954</v>
      </c>
      <c r="B2707" t="s">
        <v>56</v>
      </c>
      <c r="C2707" s="10" t="s">
        <v>5360</v>
      </c>
      <c r="D2707" t="s">
        <v>58</v>
      </c>
      <c r="E2707" t="s">
        <v>2952</v>
      </c>
      <c r="F2707" t="s">
        <v>5955</v>
      </c>
      <c r="G2707">
        <v>20000</v>
      </c>
      <c r="H2707">
        <v>1980</v>
      </c>
      <c r="I2707" t="s">
        <v>58</v>
      </c>
      <c r="J2707" t="s">
        <v>58</v>
      </c>
      <c r="K2707" t="s">
        <v>58</v>
      </c>
      <c r="L2707" t="s">
        <v>58</v>
      </c>
      <c r="M2707" t="s">
        <v>58</v>
      </c>
      <c r="P2707" t="s">
        <v>61</v>
      </c>
      <c r="Q2707" t="s">
        <v>58</v>
      </c>
      <c r="R2707" s="11" t="str">
        <f>HYPERLINK("\\imagefiles.bcgov\imagery\scanned_maps\moe_terrain_maps\Scanned_T_maps_all\R10\R10-1213","\\imagefiles.bcgov\imagery\scanned_maps\moe_terrain_maps\Scanned_T_maps_all\R10\R10-1213")</f>
        <v>\\imagefiles.bcgov\imagery\scanned_maps\moe_terrain_maps\Scanned_T_maps_all\R10\R10-1213</v>
      </c>
      <c r="S2707" t="s">
        <v>62</v>
      </c>
      <c r="T2707" s="11" t="str">
        <f>HYPERLINK("http://www.env.gov.bc.ca/esd/distdata/ecosystems/TEI_Scanned_Maps/R10/R10-1213","http://www.env.gov.bc.ca/esd/distdata/ecosystems/TEI_Scanned_Maps/R10/R10-1213")</f>
        <v>http://www.env.gov.bc.ca/esd/distdata/ecosystems/TEI_Scanned_Maps/R10/R10-1213</v>
      </c>
      <c r="U2707" t="s">
        <v>58</v>
      </c>
      <c r="V2707" t="s">
        <v>58</v>
      </c>
      <c r="W2707" t="s">
        <v>58</v>
      </c>
      <c r="X2707" t="s">
        <v>58</v>
      </c>
      <c r="Y2707" t="s">
        <v>58</v>
      </c>
      <c r="Z2707" t="s">
        <v>58</v>
      </c>
      <c r="AA2707" t="s">
        <v>58</v>
      </c>
      <c r="AC2707" t="s">
        <v>58</v>
      </c>
      <c r="AE2707" t="s">
        <v>58</v>
      </c>
      <c r="AG2707" t="s">
        <v>63</v>
      </c>
      <c r="AH2707" s="11" t="str">
        <f t="shared" si="168"/>
        <v>mailto: soilterrain@victoria1.gov.bc.ca</v>
      </c>
    </row>
    <row r="2708" spans="1:34">
      <c r="A2708" t="s">
        <v>5956</v>
      </c>
      <c r="B2708" t="s">
        <v>56</v>
      </c>
      <c r="C2708" s="10" t="s">
        <v>5362</v>
      </c>
      <c r="D2708" t="s">
        <v>58</v>
      </c>
      <c r="E2708" t="s">
        <v>2952</v>
      </c>
      <c r="F2708" t="s">
        <v>5957</v>
      </c>
      <c r="G2708">
        <v>20000</v>
      </c>
      <c r="H2708">
        <v>1980</v>
      </c>
      <c r="I2708" t="s">
        <v>58</v>
      </c>
      <c r="J2708" t="s">
        <v>58</v>
      </c>
      <c r="K2708" t="s">
        <v>58</v>
      </c>
      <c r="L2708" t="s">
        <v>58</v>
      </c>
      <c r="M2708" t="s">
        <v>58</v>
      </c>
      <c r="P2708" t="s">
        <v>61</v>
      </c>
      <c r="Q2708" t="s">
        <v>58</v>
      </c>
      <c r="R2708" s="11" t="str">
        <f>HYPERLINK("\\imagefiles.bcgov\imagery\scanned_maps\moe_terrain_maps\Scanned_T_maps_all\R10\R10-1221","\\imagefiles.bcgov\imagery\scanned_maps\moe_terrain_maps\Scanned_T_maps_all\R10\R10-1221")</f>
        <v>\\imagefiles.bcgov\imagery\scanned_maps\moe_terrain_maps\Scanned_T_maps_all\R10\R10-1221</v>
      </c>
      <c r="S2708" t="s">
        <v>62</v>
      </c>
      <c r="T2708" s="11" t="str">
        <f>HYPERLINK("http://www.env.gov.bc.ca/esd/distdata/ecosystems/TEI_Scanned_Maps/R10/R10-1221","http://www.env.gov.bc.ca/esd/distdata/ecosystems/TEI_Scanned_Maps/R10/R10-1221")</f>
        <v>http://www.env.gov.bc.ca/esd/distdata/ecosystems/TEI_Scanned_Maps/R10/R10-1221</v>
      </c>
      <c r="U2708" t="s">
        <v>58</v>
      </c>
      <c r="V2708" t="s">
        <v>58</v>
      </c>
      <c r="W2708" t="s">
        <v>58</v>
      </c>
      <c r="X2708" t="s">
        <v>58</v>
      </c>
      <c r="Y2708" t="s">
        <v>58</v>
      </c>
      <c r="Z2708" t="s">
        <v>58</v>
      </c>
      <c r="AA2708" t="s">
        <v>58</v>
      </c>
      <c r="AC2708" t="s">
        <v>58</v>
      </c>
      <c r="AE2708" t="s">
        <v>58</v>
      </c>
      <c r="AG2708" t="s">
        <v>63</v>
      </c>
      <c r="AH2708" s="11" t="str">
        <f t="shared" si="168"/>
        <v>mailto: soilterrain@victoria1.gov.bc.ca</v>
      </c>
    </row>
    <row r="2709" spans="1:34">
      <c r="A2709" t="s">
        <v>5958</v>
      </c>
      <c r="B2709" t="s">
        <v>56</v>
      </c>
      <c r="C2709" s="10" t="s">
        <v>5365</v>
      </c>
      <c r="D2709" t="s">
        <v>58</v>
      </c>
      <c r="E2709" t="s">
        <v>2952</v>
      </c>
      <c r="F2709" t="s">
        <v>5935</v>
      </c>
      <c r="G2709">
        <v>20000</v>
      </c>
      <c r="H2709">
        <v>1980</v>
      </c>
      <c r="I2709" t="s">
        <v>58</v>
      </c>
      <c r="J2709" t="s">
        <v>58</v>
      </c>
      <c r="K2709" t="s">
        <v>58</v>
      </c>
      <c r="L2709" t="s">
        <v>58</v>
      </c>
      <c r="M2709" t="s">
        <v>58</v>
      </c>
      <c r="P2709" t="s">
        <v>61</v>
      </c>
      <c r="Q2709" t="s">
        <v>58</v>
      </c>
      <c r="R2709" s="11" t="str">
        <f>HYPERLINK("\\imagefiles.bcgov\imagery\scanned_maps\moe_terrain_maps\Scanned_T_maps_all\R10\R10-1235","\\imagefiles.bcgov\imagery\scanned_maps\moe_terrain_maps\Scanned_T_maps_all\R10\R10-1235")</f>
        <v>\\imagefiles.bcgov\imagery\scanned_maps\moe_terrain_maps\Scanned_T_maps_all\R10\R10-1235</v>
      </c>
      <c r="S2709" t="s">
        <v>62</v>
      </c>
      <c r="T2709" s="11" t="str">
        <f>HYPERLINK("http://www.env.gov.bc.ca/esd/distdata/ecosystems/TEI_Scanned_Maps/R10/R10-1235","http://www.env.gov.bc.ca/esd/distdata/ecosystems/TEI_Scanned_Maps/R10/R10-1235")</f>
        <v>http://www.env.gov.bc.ca/esd/distdata/ecosystems/TEI_Scanned_Maps/R10/R10-1235</v>
      </c>
      <c r="U2709" t="s">
        <v>58</v>
      </c>
      <c r="V2709" t="s">
        <v>58</v>
      </c>
      <c r="W2709" t="s">
        <v>58</v>
      </c>
      <c r="X2709" t="s">
        <v>58</v>
      </c>
      <c r="Y2709" t="s">
        <v>58</v>
      </c>
      <c r="Z2709" t="s">
        <v>58</v>
      </c>
      <c r="AA2709" t="s">
        <v>58</v>
      </c>
      <c r="AC2709" t="s">
        <v>58</v>
      </c>
      <c r="AE2709" t="s">
        <v>58</v>
      </c>
      <c r="AG2709" t="s">
        <v>63</v>
      </c>
      <c r="AH2709" s="11" t="str">
        <f t="shared" si="168"/>
        <v>mailto: soilterrain@victoria1.gov.bc.ca</v>
      </c>
    </row>
    <row r="2710" spans="1:34">
      <c r="A2710" t="s">
        <v>5959</v>
      </c>
      <c r="B2710" t="s">
        <v>56</v>
      </c>
      <c r="C2710" s="10" t="s">
        <v>5367</v>
      </c>
      <c r="D2710" t="s">
        <v>58</v>
      </c>
      <c r="E2710" t="s">
        <v>2952</v>
      </c>
      <c r="F2710" t="s">
        <v>5955</v>
      </c>
      <c r="G2710">
        <v>20000</v>
      </c>
      <c r="H2710">
        <v>1980</v>
      </c>
      <c r="I2710" t="s">
        <v>58</v>
      </c>
      <c r="J2710" t="s">
        <v>58</v>
      </c>
      <c r="K2710" t="s">
        <v>58</v>
      </c>
      <c r="L2710" t="s">
        <v>58</v>
      </c>
      <c r="M2710" t="s">
        <v>58</v>
      </c>
      <c r="P2710" t="s">
        <v>61</v>
      </c>
      <c r="Q2710" t="s">
        <v>58</v>
      </c>
      <c r="R2710" s="11" t="str">
        <f>HYPERLINK("\\imagefiles.bcgov\imagery\scanned_maps\moe_terrain_maps\Scanned_T_maps_all\R10\R10-1243","\\imagefiles.bcgov\imagery\scanned_maps\moe_terrain_maps\Scanned_T_maps_all\R10\R10-1243")</f>
        <v>\\imagefiles.bcgov\imagery\scanned_maps\moe_terrain_maps\Scanned_T_maps_all\R10\R10-1243</v>
      </c>
      <c r="S2710" t="s">
        <v>62</v>
      </c>
      <c r="T2710" s="11" t="str">
        <f>HYPERLINK("http://www.env.gov.bc.ca/esd/distdata/ecosystems/TEI_Scanned_Maps/R10/R10-1243","http://www.env.gov.bc.ca/esd/distdata/ecosystems/TEI_Scanned_Maps/R10/R10-1243")</f>
        <v>http://www.env.gov.bc.ca/esd/distdata/ecosystems/TEI_Scanned_Maps/R10/R10-1243</v>
      </c>
      <c r="U2710" t="s">
        <v>58</v>
      </c>
      <c r="V2710" t="s">
        <v>58</v>
      </c>
      <c r="W2710" t="s">
        <v>58</v>
      </c>
      <c r="X2710" t="s">
        <v>58</v>
      </c>
      <c r="Y2710" t="s">
        <v>58</v>
      </c>
      <c r="Z2710" t="s">
        <v>58</v>
      </c>
      <c r="AA2710" t="s">
        <v>58</v>
      </c>
      <c r="AC2710" t="s">
        <v>58</v>
      </c>
      <c r="AE2710" t="s">
        <v>58</v>
      </c>
      <c r="AG2710" t="s">
        <v>63</v>
      </c>
      <c r="AH2710" s="11" t="str">
        <f t="shared" si="168"/>
        <v>mailto: soilterrain@victoria1.gov.bc.ca</v>
      </c>
    </row>
    <row r="2711" spans="1:34">
      <c r="A2711" t="s">
        <v>5960</v>
      </c>
      <c r="B2711" t="s">
        <v>56</v>
      </c>
      <c r="C2711" s="10" t="s">
        <v>5369</v>
      </c>
      <c r="D2711" t="s">
        <v>58</v>
      </c>
      <c r="E2711" t="s">
        <v>2952</v>
      </c>
      <c r="F2711" t="s">
        <v>5961</v>
      </c>
      <c r="G2711">
        <v>20000</v>
      </c>
      <c r="H2711">
        <v>1980</v>
      </c>
      <c r="I2711" t="s">
        <v>58</v>
      </c>
      <c r="J2711" t="s">
        <v>58</v>
      </c>
      <c r="K2711" t="s">
        <v>58</v>
      </c>
      <c r="L2711" t="s">
        <v>58</v>
      </c>
      <c r="M2711" t="s">
        <v>58</v>
      </c>
      <c r="P2711" t="s">
        <v>61</v>
      </c>
      <c r="Q2711" t="s">
        <v>58</v>
      </c>
      <c r="R2711" s="11" t="str">
        <f>HYPERLINK("\\imagefiles.bcgov\imagery\scanned_maps\moe_terrain_maps\Scanned_T_maps_all\R10\R10-1251","\\imagefiles.bcgov\imagery\scanned_maps\moe_terrain_maps\Scanned_T_maps_all\R10\R10-1251")</f>
        <v>\\imagefiles.bcgov\imagery\scanned_maps\moe_terrain_maps\Scanned_T_maps_all\R10\R10-1251</v>
      </c>
      <c r="S2711" t="s">
        <v>62</v>
      </c>
      <c r="T2711" s="11" t="str">
        <f>HYPERLINK("http://www.env.gov.bc.ca/esd/distdata/ecosystems/TEI_Scanned_Maps/R10/R10-1251","http://www.env.gov.bc.ca/esd/distdata/ecosystems/TEI_Scanned_Maps/R10/R10-1251")</f>
        <v>http://www.env.gov.bc.ca/esd/distdata/ecosystems/TEI_Scanned_Maps/R10/R10-1251</v>
      </c>
      <c r="U2711" t="s">
        <v>58</v>
      </c>
      <c r="V2711" t="s">
        <v>58</v>
      </c>
      <c r="W2711" t="s">
        <v>58</v>
      </c>
      <c r="X2711" t="s">
        <v>58</v>
      </c>
      <c r="Y2711" t="s">
        <v>58</v>
      </c>
      <c r="Z2711" t="s">
        <v>58</v>
      </c>
      <c r="AA2711" t="s">
        <v>58</v>
      </c>
      <c r="AC2711" t="s">
        <v>58</v>
      </c>
      <c r="AE2711" t="s">
        <v>58</v>
      </c>
      <c r="AG2711" t="s">
        <v>63</v>
      </c>
      <c r="AH2711" s="11" t="str">
        <f t="shared" si="168"/>
        <v>mailto: soilterrain@victoria1.gov.bc.ca</v>
      </c>
    </row>
    <row r="2712" spans="1:34">
      <c r="A2712" t="s">
        <v>5962</v>
      </c>
      <c r="B2712" t="s">
        <v>56</v>
      </c>
      <c r="C2712" s="10" t="s">
        <v>5372</v>
      </c>
      <c r="D2712" t="s">
        <v>58</v>
      </c>
      <c r="E2712" t="s">
        <v>2952</v>
      </c>
      <c r="F2712" t="s">
        <v>5935</v>
      </c>
      <c r="G2712">
        <v>20000</v>
      </c>
      <c r="H2712">
        <v>1980</v>
      </c>
      <c r="I2712" t="s">
        <v>58</v>
      </c>
      <c r="J2712" t="s">
        <v>58</v>
      </c>
      <c r="K2712" t="s">
        <v>58</v>
      </c>
      <c r="L2712" t="s">
        <v>58</v>
      </c>
      <c r="M2712" t="s">
        <v>58</v>
      </c>
      <c r="P2712" t="s">
        <v>61</v>
      </c>
      <c r="Q2712" t="s">
        <v>58</v>
      </c>
      <c r="R2712" s="11" t="str">
        <f>HYPERLINK("\\imagefiles.bcgov\imagery\scanned_maps\moe_terrain_maps\Scanned_T_maps_all\R10\R10-1259","\\imagefiles.bcgov\imagery\scanned_maps\moe_terrain_maps\Scanned_T_maps_all\R10\R10-1259")</f>
        <v>\\imagefiles.bcgov\imagery\scanned_maps\moe_terrain_maps\Scanned_T_maps_all\R10\R10-1259</v>
      </c>
      <c r="S2712" t="s">
        <v>62</v>
      </c>
      <c r="T2712" s="11" t="str">
        <f>HYPERLINK("http://www.env.gov.bc.ca/esd/distdata/ecosystems/TEI_Scanned_Maps/R10/R10-1259","http://www.env.gov.bc.ca/esd/distdata/ecosystems/TEI_Scanned_Maps/R10/R10-1259")</f>
        <v>http://www.env.gov.bc.ca/esd/distdata/ecosystems/TEI_Scanned_Maps/R10/R10-1259</v>
      </c>
      <c r="U2712" t="s">
        <v>58</v>
      </c>
      <c r="V2712" t="s">
        <v>58</v>
      </c>
      <c r="W2712" t="s">
        <v>58</v>
      </c>
      <c r="X2712" t="s">
        <v>58</v>
      </c>
      <c r="Y2712" t="s">
        <v>58</v>
      </c>
      <c r="Z2712" t="s">
        <v>58</v>
      </c>
      <c r="AA2712" t="s">
        <v>58</v>
      </c>
      <c r="AC2712" t="s">
        <v>58</v>
      </c>
      <c r="AE2712" t="s">
        <v>58</v>
      </c>
      <c r="AG2712" t="s">
        <v>63</v>
      </c>
      <c r="AH2712" s="11" t="str">
        <f t="shared" si="168"/>
        <v>mailto: soilterrain@victoria1.gov.bc.ca</v>
      </c>
    </row>
    <row r="2713" spans="1:34">
      <c r="A2713" t="s">
        <v>5963</v>
      </c>
      <c r="B2713" t="s">
        <v>56</v>
      </c>
      <c r="C2713" s="10" t="s">
        <v>5033</v>
      </c>
      <c r="D2713" t="s">
        <v>58</v>
      </c>
      <c r="E2713" t="s">
        <v>2952</v>
      </c>
      <c r="F2713" t="s">
        <v>5957</v>
      </c>
      <c r="G2713">
        <v>20000</v>
      </c>
      <c r="H2713" t="s">
        <v>5948</v>
      </c>
      <c r="I2713" t="s">
        <v>58</v>
      </c>
      <c r="J2713" t="s">
        <v>58</v>
      </c>
      <c r="K2713" t="s">
        <v>58</v>
      </c>
      <c r="L2713" t="s">
        <v>58</v>
      </c>
      <c r="M2713" t="s">
        <v>58</v>
      </c>
      <c r="P2713" t="s">
        <v>61</v>
      </c>
      <c r="Q2713" t="s">
        <v>58</v>
      </c>
      <c r="R2713" s="11" t="str">
        <f>HYPERLINK("\\imagefiles.bcgov\imagery\scanned_maps\moe_terrain_maps\Scanned_T_maps_all\R10\R10-1267","\\imagefiles.bcgov\imagery\scanned_maps\moe_terrain_maps\Scanned_T_maps_all\R10\R10-1267")</f>
        <v>\\imagefiles.bcgov\imagery\scanned_maps\moe_terrain_maps\Scanned_T_maps_all\R10\R10-1267</v>
      </c>
      <c r="S2713" t="s">
        <v>62</v>
      </c>
      <c r="T2713" s="11" t="str">
        <f>HYPERLINK("http://www.env.gov.bc.ca/esd/distdata/ecosystems/TEI_Scanned_Maps/R10/R10-1267","http://www.env.gov.bc.ca/esd/distdata/ecosystems/TEI_Scanned_Maps/R10/R10-1267")</f>
        <v>http://www.env.gov.bc.ca/esd/distdata/ecosystems/TEI_Scanned_Maps/R10/R10-1267</v>
      </c>
      <c r="U2713" t="s">
        <v>58</v>
      </c>
      <c r="V2713" t="s">
        <v>58</v>
      </c>
      <c r="W2713" t="s">
        <v>58</v>
      </c>
      <c r="X2713" t="s">
        <v>58</v>
      </c>
      <c r="Y2713" t="s">
        <v>58</v>
      </c>
      <c r="Z2713" t="s">
        <v>58</v>
      </c>
      <c r="AA2713" t="s">
        <v>58</v>
      </c>
      <c r="AC2713" t="s">
        <v>58</v>
      </c>
      <c r="AE2713" t="s">
        <v>58</v>
      </c>
      <c r="AG2713" t="s">
        <v>63</v>
      </c>
      <c r="AH2713" s="11" t="str">
        <f t="shared" si="168"/>
        <v>mailto: soilterrain@victoria1.gov.bc.ca</v>
      </c>
    </row>
    <row r="2714" spans="1:34">
      <c r="A2714" t="s">
        <v>5964</v>
      </c>
      <c r="B2714" t="s">
        <v>56</v>
      </c>
      <c r="C2714" s="10" t="s">
        <v>5375</v>
      </c>
      <c r="D2714" t="s">
        <v>58</v>
      </c>
      <c r="E2714" t="s">
        <v>2952</v>
      </c>
      <c r="F2714" t="s">
        <v>5935</v>
      </c>
      <c r="G2714">
        <v>20000</v>
      </c>
      <c r="H2714" t="s">
        <v>5948</v>
      </c>
      <c r="I2714" t="s">
        <v>58</v>
      </c>
      <c r="J2714" t="s">
        <v>58</v>
      </c>
      <c r="K2714" t="s">
        <v>58</v>
      </c>
      <c r="L2714" t="s">
        <v>58</v>
      </c>
      <c r="M2714" t="s">
        <v>58</v>
      </c>
      <c r="P2714" t="s">
        <v>61</v>
      </c>
      <c r="Q2714" t="s">
        <v>58</v>
      </c>
      <c r="R2714" s="11" t="str">
        <f>HYPERLINK("\\imagefiles.bcgov\imagery\scanned_maps\moe_terrain_maps\Scanned_T_maps_all\R10\R10-1275","\\imagefiles.bcgov\imagery\scanned_maps\moe_terrain_maps\Scanned_T_maps_all\R10\R10-1275")</f>
        <v>\\imagefiles.bcgov\imagery\scanned_maps\moe_terrain_maps\Scanned_T_maps_all\R10\R10-1275</v>
      </c>
      <c r="S2714" t="s">
        <v>62</v>
      </c>
      <c r="T2714" s="11" t="str">
        <f>HYPERLINK("http://www.env.gov.bc.ca/esd/distdata/ecosystems/TEI_Scanned_Maps/R10/R10-1275","http://www.env.gov.bc.ca/esd/distdata/ecosystems/TEI_Scanned_Maps/R10/R10-1275")</f>
        <v>http://www.env.gov.bc.ca/esd/distdata/ecosystems/TEI_Scanned_Maps/R10/R10-1275</v>
      </c>
      <c r="U2714" t="s">
        <v>58</v>
      </c>
      <c r="V2714" t="s">
        <v>58</v>
      </c>
      <c r="W2714" t="s">
        <v>58</v>
      </c>
      <c r="X2714" t="s">
        <v>58</v>
      </c>
      <c r="Y2714" t="s">
        <v>58</v>
      </c>
      <c r="Z2714" t="s">
        <v>58</v>
      </c>
      <c r="AA2714" t="s">
        <v>58</v>
      </c>
      <c r="AC2714" t="s">
        <v>58</v>
      </c>
      <c r="AE2714" t="s">
        <v>58</v>
      </c>
      <c r="AG2714" t="s">
        <v>63</v>
      </c>
      <c r="AH2714" s="11" t="str">
        <f t="shared" si="168"/>
        <v>mailto: soilterrain@victoria1.gov.bc.ca</v>
      </c>
    </row>
    <row r="2715" spans="1:34">
      <c r="A2715" t="s">
        <v>5965</v>
      </c>
      <c r="B2715" t="s">
        <v>56</v>
      </c>
      <c r="C2715" s="10" t="s">
        <v>5096</v>
      </c>
      <c r="D2715" t="s">
        <v>58</v>
      </c>
      <c r="E2715" t="s">
        <v>2952</v>
      </c>
      <c r="F2715" t="s">
        <v>5935</v>
      </c>
      <c r="G2715">
        <v>20000</v>
      </c>
      <c r="H2715">
        <v>1974</v>
      </c>
      <c r="I2715" t="s">
        <v>58</v>
      </c>
      <c r="J2715" t="s">
        <v>58</v>
      </c>
      <c r="K2715" t="s">
        <v>58</v>
      </c>
      <c r="L2715" t="s">
        <v>58</v>
      </c>
      <c r="M2715" t="s">
        <v>58</v>
      </c>
      <c r="P2715" t="s">
        <v>61</v>
      </c>
      <c r="Q2715" t="s">
        <v>58</v>
      </c>
      <c r="R2715" s="11" t="str">
        <f>HYPERLINK("\\imagefiles.bcgov\imagery\scanned_maps\moe_terrain_maps\Scanned_T_maps_all\R10\R10-1283","\\imagefiles.bcgov\imagery\scanned_maps\moe_terrain_maps\Scanned_T_maps_all\R10\R10-1283")</f>
        <v>\\imagefiles.bcgov\imagery\scanned_maps\moe_terrain_maps\Scanned_T_maps_all\R10\R10-1283</v>
      </c>
      <c r="S2715" t="s">
        <v>62</v>
      </c>
      <c r="T2715" s="11" t="str">
        <f>HYPERLINK("http://www.env.gov.bc.ca/esd/distdata/ecosystems/TEI_Scanned_Maps/R10/R10-1283","http://www.env.gov.bc.ca/esd/distdata/ecosystems/TEI_Scanned_Maps/R10/R10-1283")</f>
        <v>http://www.env.gov.bc.ca/esd/distdata/ecosystems/TEI_Scanned_Maps/R10/R10-1283</v>
      </c>
      <c r="U2715" t="s">
        <v>58</v>
      </c>
      <c r="V2715" t="s">
        <v>58</v>
      </c>
      <c r="W2715" t="s">
        <v>58</v>
      </c>
      <c r="X2715" t="s">
        <v>58</v>
      </c>
      <c r="Y2715" t="s">
        <v>58</v>
      </c>
      <c r="Z2715" t="s">
        <v>58</v>
      </c>
      <c r="AA2715" t="s">
        <v>58</v>
      </c>
      <c r="AC2715" t="s">
        <v>58</v>
      </c>
      <c r="AE2715" t="s">
        <v>58</v>
      </c>
      <c r="AG2715" t="s">
        <v>63</v>
      </c>
      <c r="AH2715" s="11" t="str">
        <f t="shared" si="168"/>
        <v>mailto: soilterrain@victoria1.gov.bc.ca</v>
      </c>
    </row>
    <row r="2716" spans="1:34">
      <c r="A2716" t="s">
        <v>5966</v>
      </c>
      <c r="B2716" t="s">
        <v>56</v>
      </c>
      <c r="C2716" s="10" t="s">
        <v>5378</v>
      </c>
      <c r="D2716" t="s">
        <v>58</v>
      </c>
      <c r="E2716" t="s">
        <v>2952</v>
      </c>
      <c r="F2716" t="s">
        <v>5935</v>
      </c>
      <c r="G2716">
        <v>20000</v>
      </c>
      <c r="H2716">
        <v>1974</v>
      </c>
      <c r="I2716" t="s">
        <v>58</v>
      </c>
      <c r="J2716" t="s">
        <v>58</v>
      </c>
      <c r="K2716" t="s">
        <v>58</v>
      </c>
      <c r="L2716" t="s">
        <v>58</v>
      </c>
      <c r="M2716" t="s">
        <v>58</v>
      </c>
      <c r="P2716" t="s">
        <v>61</v>
      </c>
      <c r="Q2716" t="s">
        <v>58</v>
      </c>
      <c r="R2716" s="11" t="str">
        <f>HYPERLINK("\\imagefiles.bcgov\imagery\scanned_maps\moe_terrain_maps\Scanned_T_maps_all\R10\R10-1291","\\imagefiles.bcgov\imagery\scanned_maps\moe_terrain_maps\Scanned_T_maps_all\R10\R10-1291")</f>
        <v>\\imagefiles.bcgov\imagery\scanned_maps\moe_terrain_maps\Scanned_T_maps_all\R10\R10-1291</v>
      </c>
      <c r="S2716" t="s">
        <v>62</v>
      </c>
      <c r="T2716" s="11" t="str">
        <f>HYPERLINK("http://www.env.gov.bc.ca/esd/distdata/ecosystems/TEI_Scanned_Maps/R10/R10-1291","http://www.env.gov.bc.ca/esd/distdata/ecosystems/TEI_Scanned_Maps/R10/R10-1291")</f>
        <v>http://www.env.gov.bc.ca/esd/distdata/ecosystems/TEI_Scanned_Maps/R10/R10-1291</v>
      </c>
      <c r="U2716" t="s">
        <v>58</v>
      </c>
      <c r="V2716" t="s">
        <v>58</v>
      </c>
      <c r="W2716" t="s">
        <v>58</v>
      </c>
      <c r="X2716" t="s">
        <v>58</v>
      </c>
      <c r="Y2716" t="s">
        <v>58</v>
      </c>
      <c r="Z2716" t="s">
        <v>58</v>
      </c>
      <c r="AA2716" t="s">
        <v>58</v>
      </c>
      <c r="AC2716" t="s">
        <v>58</v>
      </c>
      <c r="AE2716" t="s">
        <v>58</v>
      </c>
      <c r="AG2716" t="s">
        <v>63</v>
      </c>
      <c r="AH2716" s="11" t="str">
        <f t="shared" si="168"/>
        <v>mailto: soilterrain@victoria1.gov.bc.ca</v>
      </c>
    </row>
    <row r="2717" spans="1:34">
      <c r="A2717" t="s">
        <v>5967</v>
      </c>
      <c r="B2717" t="s">
        <v>56</v>
      </c>
      <c r="C2717" s="10" t="s">
        <v>5143</v>
      </c>
      <c r="D2717" t="s">
        <v>58</v>
      </c>
      <c r="E2717" t="s">
        <v>2952</v>
      </c>
      <c r="F2717" t="s">
        <v>5935</v>
      </c>
      <c r="G2717">
        <v>20000</v>
      </c>
      <c r="H2717" t="s">
        <v>5948</v>
      </c>
      <c r="I2717" t="s">
        <v>58</v>
      </c>
      <c r="J2717" t="s">
        <v>58</v>
      </c>
      <c r="K2717" t="s">
        <v>58</v>
      </c>
      <c r="L2717" t="s">
        <v>58</v>
      </c>
      <c r="M2717" t="s">
        <v>58</v>
      </c>
      <c r="P2717" t="s">
        <v>61</v>
      </c>
      <c r="Q2717" t="s">
        <v>58</v>
      </c>
      <c r="R2717" s="11" t="str">
        <f>HYPERLINK("\\imagefiles.bcgov\imagery\scanned_maps\moe_terrain_maps\Scanned_T_maps_all\R10\R10-1299","\\imagefiles.bcgov\imagery\scanned_maps\moe_terrain_maps\Scanned_T_maps_all\R10\R10-1299")</f>
        <v>\\imagefiles.bcgov\imagery\scanned_maps\moe_terrain_maps\Scanned_T_maps_all\R10\R10-1299</v>
      </c>
      <c r="S2717" t="s">
        <v>62</v>
      </c>
      <c r="T2717" s="11" t="str">
        <f>HYPERLINK("http://www.env.gov.bc.ca/esd/distdata/ecosystems/TEI_Scanned_Maps/R10/R10-1299","http://www.env.gov.bc.ca/esd/distdata/ecosystems/TEI_Scanned_Maps/R10/R10-1299")</f>
        <v>http://www.env.gov.bc.ca/esd/distdata/ecosystems/TEI_Scanned_Maps/R10/R10-1299</v>
      </c>
      <c r="U2717" t="s">
        <v>58</v>
      </c>
      <c r="V2717" t="s">
        <v>58</v>
      </c>
      <c r="W2717" t="s">
        <v>58</v>
      </c>
      <c r="X2717" t="s">
        <v>58</v>
      </c>
      <c r="Y2717" t="s">
        <v>58</v>
      </c>
      <c r="Z2717" t="s">
        <v>58</v>
      </c>
      <c r="AA2717" t="s">
        <v>58</v>
      </c>
      <c r="AC2717" t="s">
        <v>58</v>
      </c>
      <c r="AE2717" t="s">
        <v>58</v>
      </c>
      <c r="AG2717" t="s">
        <v>63</v>
      </c>
      <c r="AH2717" s="11" t="str">
        <f t="shared" si="168"/>
        <v>mailto: soilterrain@victoria1.gov.bc.ca</v>
      </c>
    </row>
    <row r="2718" spans="1:34">
      <c r="A2718" t="s">
        <v>5968</v>
      </c>
      <c r="B2718" t="s">
        <v>56</v>
      </c>
      <c r="C2718" s="10" t="s">
        <v>5381</v>
      </c>
      <c r="D2718" t="s">
        <v>58</v>
      </c>
      <c r="E2718" t="s">
        <v>2952</v>
      </c>
      <c r="F2718" t="s">
        <v>5935</v>
      </c>
      <c r="G2718">
        <v>20000</v>
      </c>
      <c r="H2718" t="s">
        <v>5948</v>
      </c>
      <c r="I2718" t="s">
        <v>58</v>
      </c>
      <c r="J2718" t="s">
        <v>58</v>
      </c>
      <c r="K2718" t="s">
        <v>58</v>
      </c>
      <c r="L2718" t="s">
        <v>58</v>
      </c>
      <c r="M2718" t="s">
        <v>58</v>
      </c>
      <c r="P2718" t="s">
        <v>61</v>
      </c>
      <c r="Q2718" t="s">
        <v>58</v>
      </c>
      <c r="R2718" s="11" t="str">
        <f>HYPERLINK("\\imagefiles.bcgov\imagery\scanned_maps\moe_terrain_maps\Scanned_T_maps_all\R10\R10-1448","\\imagefiles.bcgov\imagery\scanned_maps\moe_terrain_maps\Scanned_T_maps_all\R10\R10-1448")</f>
        <v>\\imagefiles.bcgov\imagery\scanned_maps\moe_terrain_maps\Scanned_T_maps_all\R10\R10-1448</v>
      </c>
      <c r="S2718" t="s">
        <v>62</v>
      </c>
      <c r="T2718" s="11" t="str">
        <f>HYPERLINK("http://www.env.gov.bc.ca/esd/distdata/ecosystems/TEI_Scanned_Maps/R10/R10-1448","http://www.env.gov.bc.ca/esd/distdata/ecosystems/TEI_Scanned_Maps/R10/R10-1448")</f>
        <v>http://www.env.gov.bc.ca/esd/distdata/ecosystems/TEI_Scanned_Maps/R10/R10-1448</v>
      </c>
      <c r="U2718" t="s">
        <v>58</v>
      </c>
      <c r="V2718" t="s">
        <v>58</v>
      </c>
      <c r="W2718" t="s">
        <v>58</v>
      </c>
      <c r="X2718" t="s">
        <v>58</v>
      </c>
      <c r="Y2718" t="s">
        <v>58</v>
      </c>
      <c r="Z2718" t="s">
        <v>58</v>
      </c>
      <c r="AA2718" t="s">
        <v>58</v>
      </c>
      <c r="AC2718" t="s">
        <v>58</v>
      </c>
      <c r="AE2718" t="s">
        <v>58</v>
      </c>
      <c r="AG2718" t="s">
        <v>63</v>
      </c>
      <c r="AH2718" s="11" t="str">
        <f t="shared" si="168"/>
        <v>mailto: soilterrain@victoria1.gov.bc.ca</v>
      </c>
    </row>
    <row r="2719" spans="1:34">
      <c r="A2719" t="s">
        <v>5969</v>
      </c>
      <c r="B2719" t="s">
        <v>56</v>
      </c>
      <c r="C2719" s="10" t="s">
        <v>5030</v>
      </c>
      <c r="D2719" t="s">
        <v>58</v>
      </c>
      <c r="E2719" t="s">
        <v>2952</v>
      </c>
      <c r="F2719" t="s">
        <v>5935</v>
      </c>
      <c r="G2719">
        <v>20000</v>
      </c>
      <c r="H2719">
        <v>1971</v>
      </c>
      <c r="I2719" t="s">
        <v>58</v>
      </c>
      <c r="J2719" t="s">
        <v>58</v>
      </c>
      <c r="K2719" t="s">
        <v>58</v>
      </c>
      <c r="L2719" t="s">
        <v>58</v>
      </c>
      <c r="M2719" t="s">
        <v>58</v>
      </c>
      <c r="P2719" t="s">
        <v>61</v>
      </c>
      <c r="Q2719" t="s">
        <v>58</v>
      </c>
      <c r="R2719" s="11" t="str">
        <f>HYPERLINK("\\imagefiles.bcgov\imagery\scanned_maps\moe_terrain_maps\Scanned_T_maps_all\R10\R10-1456","\\imagefiles.bcgov\imagery\scanned_maps\moe_terrain_maps\Scanned_T_maps_all\R10\R10-1456")</f>
        <v>\\imagefiles.bcgov\imagery\scanned_maps\moe_terrain_maps\Scanned_T_maps_all\R10\R10-1456</v>
      </c>
      <c r="S2719" t="s">
        <v>62</v>
      </c>
      <c r="T2719" s="11" t="str">
        <f>HYPERLINK("http://www.env.gov.bc.ca/esd/distdata/ecosystems/TEI_Scanned_Maps/R10/R10-1456","http://www.env.gov.bc.ca/esd/distdata/ecosystems/TEI_Scanned_Maps/R10/R10-1456")</f>
        <v>http://www.env.gov.bc.ca/esd/distdata/ecosystems/TEI_Scanned_Maps/R10/R10-1456</v>
      </c>
      <c r="U2719" t="s">
        <v>58</v>
      </c>
      <c r="V2719" t="s">
        <v>58</v>
      </c>
      <c r="W2719" t="s">
        <v>58</v>
      </c>
      <c r="X2719" t="s">
        <v>58</v>
      </c>
      <c r="Y2719" t="s">
        <v>58</v>
      </c>
      <c r="Z2719" t="s">
        <v>58</v>
      </c>
      <c r="AA2719" t="s">
        <v>58</v>
      </c>
      <c r="AC2719" t="s">
        <v>58</v>
      </c>
      <c r="AE2719" t="s">
        <v>58</v>
      </c>
      <c r="AG2719" t="s">
        <v>63</v>
      </c>
      <c r="AH2719" s="11" t="str">
        <f t="shared" si="168"/>
        <v>mailto: soilterrain@victoria1.gov.bc.ca</v>
      </c>
    </row>
    <row r="2720" spans="1:34">
      <c r="A2720" t="s">
        <v>5970</v>
      </c>
      <c r="B2720" t="s">
        <v>56</v>
      </c>
      <c r="C2720" s="10" t="s">
        <v>5022</v>
      </c>
      <c r="D2720" t="s">
        <v>58</v>
      </c>
      <c r="E2720" t="s">
        <v>2952</v>
      </c>
      <c r="F2720" t="s">
        <v>5935</v>
      </c>
      <c r="G2720">
        <v>20000</v>
      </c>
      <c r="H2720">
        <v>1975</v>
      </c>
      <c r="I2720" t="s">
        <v>58</v>
      </c>
      <c r="J2720" t="s">
        <v>58</v>
      </c>
      <c r="K2720" t="s">
        <v>58</v>
      </c>
      <c r="L2720" t="s">
        <v>58</v>
      </c>
      <c r="M2720" t="s">
        <v>58</v>
      </c>
      <c r="P2720" t="s">
        <v>61</v>
      </c>
      <c r="Q2720" t="s">
        <v>58</v>
      </c>
      <c r="R2720" s="11" t="str">
        <f>HYPERLINK("\\imagefiles.bcgov\imagery\scanned_maps\moe_terrain_maps\Scanned_T_maps_all\R10\R10-1465","\\imagefiles.bcgov\imagery\scanned_maps\moe_terrain_maps\Scanned_T_maps_all\R10\R10-1465")</f>
        <v>\\imagefiles.bcgov\imagery\scanned_maps\moe_terrain_maps\Scanned_T_maps_all\R10\R10-1465</v>
      </c>
      <c r="S2720" t="s">
        <v>62</v>
      </c>
      <c r="T2720" s="11" t="str">
        <f>HYPERLINK("http://www.env.gov.bc.ca/esd/distdata/ecosystems/TEI_Scanned_Maps/R10/R10-1465","http://www.env.gov.bc.ca/esd/distdata/ecosystems/TEI_Scanned_Maps/R10/R10-1465")</f>
        <v>http://www.env.gov.bc.ca/esd/distdata/ecosystems/TEI_Scanned_Maps/R10/R10-1465</v>
      </c>
      <c r="U2720" t="s">
        <v>58</v>
      </c>
      <c r="V2720" t="s">
        <v>58</v>
      </c>
      <c r="W2720" t="s">
        <v>58</v>
      </c>
      <c r="X2720" t="s">
        <v>58</v>
      </c>
      <c r="Y2720" t="s">
        <v>58</v>
      </c>
      <c r="Z2720" t="s">
        <v>58</v>
      </c>
      <c r="AA2720" t="s">
        <v>58</v>
      </c>
      <c r="AC2720" t="s">
        <v>58</v>
      </c>
      <c r="AE2720" t="s">
        <v>58</v>
      </c>
      <c r="AG2720" t="s">
        <v>63</v>
      </c>
      <c r="AH2720" s="11" t="str">
        <f t="shared" si="168"/>
        <v>mailto: soilterrain@victoria1.gov.bc.ca</v>
      </c>
    </row>
    <row r="2721" spans="1:34">
      <c r="A2721" t="s">
        <v>5971</v>
      </c>
      <c r="B2721" t="s">
        <v>56</v>
      </c>
      <c r="C2721" s="10" t="s">
        <v>5233</v>
      </c>
      <c r="D2721" t="s">
        <v>58</v>
      </c>
      <c r="E2721" t="s">
        <v>2952</v>
      </c>
      <c r="F2721" t="s">
        <v>5935</v>
      </c>
      <c r="G2721">
        <v>20000</v>
      </c>
      <c r="H2721">
        <v>1970</v>
      </c>
      <c r="I2721" t="s">
        <v>58</v>
      </c>
      <c r="J2721" t="s">
        <v>58</v>
      </c>
      <c r="K2721" t="s">
        <v>58</v>
      </c>
      <c r="L2721" t="s">
        <v>58</v>
      </c>
      <c r="M2721" t="s">
        <v>58</v>
      </c>
      <c r="P2721" t="s">
        <v>61</v>
      </c>
      <c r="Q2721" t="s">
        <v>58</v>
      </c>
      <c r="R2721" s="11" t="str">
        <f>HYPERLINK("\\imagefiles.bcgov\imagery\scanned_maps\moe_terrain_maps\Scanned_T_maps_all\R10\R10-1475","\\imagefiles.bcgov\imagery\scanned_maps\moe_terrain_maps\Scanned_T_maps_all\R10\R10-1475")</f>
        <v>\\imagefiles.bcgov\imagery\scanned_maps\moe_terrain_maps\Scanned_T_maps_all\R10\R10-1475</v>
      </c>
      <c r="S2721" t="s">
        <v>62</v>
      </c>
      <c r="T2721" s="11" t="str">
        <f>HYPERLINK("http://www.env.gov.bc.ca/esd/distdata/ecosystems/TEI_Scanned_Maps/R10/R10-1475","http://www.env.gov.bc.ca/esd/distdata/ecosystems/TEI_Scanned_Maps/R10/R10-1475")</f>
        <v>http://www.env.gov.bc.ca/esd/distdata/ecosystems/TEI_Scanned_Maps/R10/R10-1475</v>
      </c>
      <c r="U2721" t="s">
        <v>58</v>
      </c>
      <c r="V2721" t="s">
        <v>58</v>
      </c>
      <c r="W2721" t="s">
        <v>58</v>
      </c>
      <c r="X2721" t="s">
        <v>58</v>
      </c>
      <c r="Y2721" t="s">
        <v>58</v>
      </c>
      <c r="Z2721" t="s">
        <v>58</v>
      </c>
      <c r="AA2721" t="s">
        <v>58</v>
      </c>
      <c r="AC2721" t="s">
        <v>58</v>
      </c>
      <c r="AE2721" t="s">
        <v>58</v>
      </c>
      <c r="AG2721" t="s">
        <v>63</v>
      </c>
      <c r="AH2721" s="11" t="str">
        <f t="shared" si="168"/>
        <v>mailto: soilterrain@victoria1.gov.bc.ca</v>
      </c>
    </row>
    <row r="2722" spans="1:34">
      <c r="A2722" t="s">
        <v>5972</v>
      </c>
      <c r="B2722" t="s">
        <v>56</v>
      </c>
      <c r="C2722" s="10" t="s">
        <v>5458</v>
      </c>
      <c r="D2722" t="s">
        <v>58</v>
      </c>
      <c r="E2722" t="s">
        <v>2952</v>
      </c>
      <c r="F2722" t="s">
        <v>5935</v>
      </c>
      <c r="G2722">
        <v>20000</v>
      </c>
      <c r="H2722">
        <v>1970</v>
      </c>
      <c r="I2722" t="s">
        <v>58</v>
      </c>
      <c r="J2722" t="s">
        <v>58</v>
      </c>
      <c r="K2722" t="s">
        <v>58</v>
      </c>
      <c r="L2722" t="s">
        <v>58</v>
      </c>
      <c r="M2722" t="s">
        <v>58</v>
      </c>
      <c r="P2722" t="s">
        <v>61</v>
      </c>
      <c r="Q2722" t="s">
        <v>58</v>
      </c>
      <c r="R2722" s="11" t="str">
        <f>HYPERLINK("\\imagefiles.bcgov\imagery\scanned_maps\moe_terrain_maps\Scanned_T_maps_all\R10\R10-949","\\imagefiles.bcgov\imagery\scanned_maps\moe_terrain_maps\Scanned_T_maps_all\R10\R10-949")</f>
        <v>\\imagefiles.bcgov\imagery\scanned_maps\moe_terrain_maps\Scanned_T_maps_all\R10\R10-949</v>
      </c>
      <c r="S2722" t="s">
        <v>62</v>
      </c>
      <c r="T2722" s="11" t="str">
        <f>HYPERLINK("http://www.env.gov.bc.ca/esd/distdata/ecosystems/TEI_Scanned_Maps/R10/R10-949","http://www.env.gov.bc.ca/esd/distdata/ecosystems/TEI_Scanned_Maps/R10/R10-949")</f>
        <v>http://www.env.gov.bc.ca/esd/distdata/ecosystems/TEI_Scanned_Maps/R10/R10-949</v>
      </c>
      <c r="U2722" t="s">
        <v>58</v>
      </c>
      <c r="V2722" t="s">
        <v>58</v>
      </c>
      <c r="W2722" t="s">
        <v>58</v>
      </c>
      <c r="X2722" t="s">
        <v>58</v>
      </c>
      <c r="Y2722" t="s">
        <v>58</v>
      </c>
      <c r="Z2722" t="s">
        <v>58</v>
      </c>
      <c r="AA2722" t="s">
        <v>58</v>
      </c>
      <c r="AC2722" t="s">
        <v>58</v>
      </c>
      <c r="AE2722" t="s">
        <v>58</v>
      </c>
      <c r="AG2722" t="s">
        <v>63</v>
      </c>
      <c r="AH2722" s="11" t="str">
        <f t="shared" si="168"/>
        <v>mailto: soilterrain@victoria1.gov.bc.ca</v>
      </c>
    </row>
    <row r="2723" spans="1:34">
      <c r="A2723" t="s">
        <v>5973</v>
      </c>
      <c r="B2723" t="s">
        <v>56</v>
      </c>
      <c r="C2723" s="10" t="s">
        <v>5460</v>
      </c>
      <c r="D2723" t="s">
        <v>58</v>
      </c>
      <c r="E2723" t="s">
        <v>2952</v>
      </c>
      <c r="F2723" t="s">
        <v>5935</v>
      </c>
      <c r="G2723">
        <v>20000</v>
      </c>
      <c r="H2723">
        <v>1970</v>
      </c>
      <c r="I2723" t="s">
        <v>58</v>
      </c>
      <c r="J2723" t="s">
        <v>58</v>
      </c>
      <c r="K2723" t="s">
        <v>58</v>
      </c>
      <c r="L2723" t="s">
        <v>58</v>
      </c>
      <c r="M2723" t="s">
        <v>58</v>
      </c>
      <c r="P2723" t="s">
        <v>61</v>
      </c>
      <c r="Q2723" t="s">
        <v>58</v>
      </c>
      <c r="R2723" s="11" t="str">
        <f>HYPERLINK("\\imagefiles.bcgov\imagery\scanned_maps\moe_terrain_maps\Scanned_T_maps_all\R10\R10-957","\\imagefiles.bcgov\imagery\scanned_maps\moe_terrain_maps\Scanned_T_maps_all\R10\R10-957")</f>
        <v>\\imagefiles.bcgov\imagery\scanned_maps\moe_terrain_maps\Scanned_T_maps_all\R10\R10-957</v>
      </c>
      <c r="S2723" t="s">
        <v>62</v>
      </c>
      <c r="T2723" s="11" t="str">
        <f>HYPERLINK("http://www.env.gov.bc.ca/esd/distdata/ecosystems/TEI_Scanned_Maps/R10/R10-957","http://www.env.gov.bc.ca/esd/distdata/ecosystems/TEI_Scanned_Maps/R10/R10-957")</f>
        <v>http://www.env.gov.bc.ca/esd/distdata/ecosystems/TEI_Scanned_Maps/R10/R10-957</v>
      </c>
      <c r="U2723" t="s">
        <v>58</v>
      </c>
      <c r="V2723" t="s">
        <v>58</v>
      </c>
      <c r="W2723" t="s">
        <v>58</v>
      </c>
      <c r="X2723" t="s">
        <v>58</v>
      </c>
      <c r="Y2723" t="s">
        <v>58</v>
      </c>
      <c r="Z2723" t="s">
        <v>58</v>
      </c>
      <c r="AA2723" t="s">
        <v>58</v>
      </c>
      <c r="AC2723" t="s">
        <v>58</v>
      </c>
      <c r="AE2723" t="s">
        <v>58</v>
      </c>
      <c r="AG2723" t="s">
        <v>63</v>
      </c>
      <c r="AH2723" s="11" t="str">
        <f t="shared" si="168"/>
        <v>mailto: soilterrain@victoria1.gov.bc.ca</v>
      </c>
    </row>
    <row r="2724" spans="1:34">
      <c r="A2724" t="s">
        <v>5974</v>
      </c>
      <c r="B2724" t="s">
        <v>56</v>
      </c>
      <c r="C2724" s="10" t="s">
        <v>5462</v>
      </c>
      <c r="D2724" t="s">
        <v>58</v>
      </c>
      <c r="E2724" t="s">
        <v>2952</v>
      </c>
      <c r="F2724" t="s">
        <v>5935</v>
      </c>
      <c r="G2724">
        <v>20000</v>
      </c>
      <c r="H2724">
        <v>1976</v>
      </c>
      <c r="I2724" t="s">
        <v>58</v>
      </c>
      <c r="J2724" t="s">
        <v>58</v>
      </c>
      <c r="K2724" t="s">
        <v>58</v>
      </c>
      <c r="L2724" t="s">
        <v>58</v>
      </c>
      <c r="M2724" t="s">
        <v>58</v>
      </c>
      <c r="P2724" t="s">
        <v>61</v>
      </c>
      <c r="Q2724" t="s">
        <v>58</v>
      </c>
      <c r="R2724" s="11" t="str">
        <f>HYPERLINK("\\imagefiles.bcgov\imagery\scanned_maps\moe_terrain_maps\Scanned_T_maps_all\R10\R10-966","\\imagefiles.bcgov\imagery\scanned_maps\moe_terrain_maps\Scanned_T_maps_all\R10\R10-966")</f>
        <v>\\imagefiles.bcgov\imagery\scanned_maps\moe_terrain_maps\Scanned_T_maps_all\R10\R10-966</v>
      </c>
      <c r="S2724" t="s">
        <v>62</v>
      </c>
      <c r="T2724" s="11" t="str">
        <f>HYPERLINK("http://www.env.gov.bc.ca/esd/distdata/ecosystems/TEI_Scanned_Maps/R10/R10-966","http://www.env.gov.bc.ca/esd/distdata/ecosystems/TEI_Scanned_Maps/R10/R10-966")</f>
        <v>http://www.env.gov.bc.ca/esd/distdata/ecosystems/TEI_Scanned_Maps/R10/R10-966</v>
      </c>
      <c r="U2724" t="s">
        <v>58</v>
      </c>
      <c r="V2724" t="s">
        <v>58</v>
      </c>
      <c r="W2724" t="s">
        <v>58</v>
      </c>
      <c r="X2724" t="s">
        <v>58</v>
      </c>
      <c r="Y2724" t="s">
        <v>58</v>
      </c>
      <c r="Z2724" t="s">
        <v>58</v>
      </c>
      <c r="AA2724" t="s">
        <v>58</v>
      </c>
      <c r="AC2724" t="s">
        <v>58</v>
      </c>
      <c r="AE2724" t="s">
        <v>58</v>
      </c>
      <c r="AG2724" t="s">
        <v>63</v>
      </c>
      <c r="AH2724" s="11" t="str">
        <f t="shared" si="168"/>
        <v>mailto: soilterrain@victoria1.gov.bc.ca</v>
      </c>
    </row>
    <row r="2725" spans="1:34">
      <c r="A2725" t="s">
        <v>5975</v>
      </c>
      <c r="B2725" t="s">
        <v>56</v>
      </c>
      <c r="C2725" s="10" t="s">
        <v>5464</v>
      </c>
      <c r="D2725" t="s">
        <v>58</v>
      </c>
      <c r="E2725" t="s">
        <v>2952</v>
      </c>
      <c r="F2725" t="s">
        <v>5935</v>
      </c>
      <c r="G2725">
        <v>20000</v>
      </c>
      <c r="H2725">
        <v>1970</v>
      </c>
      <c r="I2725" t="s">
        <v>58</v>
      </c>
      <c r="J2725" t="s">
        <v>58</v>
      </c>
      <c r="K2725" t="s">
        <v>58</v>
      </c>
      <c r="L2725" t="s">
        <v>58</v>
      </c>
      <c r="M2725" t="s">
        <v>58</v>
      </c>
      <c r="P2725" t="s">
        <v>61</v>
      </c>
      <c r="Q2725" t="s">
        <v>58</v>
      </c>
      <c r="R2725" s="11" t="str">
        <f>HYPERLINK("\\imagefiles.bcgov\imagery\scanned_maps\moe_terrain_maps\Scanned_T_maps_all\R10\R10-974","\\imagefiles.bcgov\imagery\scanned_maps\moe_terrain_maps\Scanned_T_maps_all\R10\R10-974")</f>
        <v>\\imagefiles.bcgov\imagery\scanned_maps\moe_terrain_maps\Scanned_T_maps_all\R10\R10-974</v>
      </c>
      <c r="S2725" t="s">
        <v>62</v>
      </c>
      <c r="T2725" s="11" t="str">
        <f>HYPERLINK("http://www.env.gov.bc.ca/esd/distdata/ecosystems/TEI_Scanned_Maps/R10/R10-974","http://www.env.gov.bc.ca/esd/distdata/ecosystems/TEI_Scanned_Maps/R10/R10-974")</f>
        <v>http://www.env.gov.bc.ca/esd/distdata/ecosystems/TEI_Scanned_Maps/R10/R10-974</v>
      </c>
      <c r="U2725" t="s">
        <v>58</v>
      </c>
      <c r="V2725" t="s">
        <v>58</v>
      </c>
      <c r="W2725" t="s">
        <v>58</v>
      </c>
      <c r="X2725" t="s">
        <v>58</v>
      </c>
      <c r="Y2725" t="s">
        <v>58</v>
      </c>
      <c r="Z2725" t="s">
        <v>58</v>
      </c>
      <c r="AA2725" t="s">
        <v>58</v>
      </c>
      <c r="AC2725" t="s">
        <v>58</v>
      </c>
      <c r="AE2725" t="s">
        <v>58</v>
      </c>
      <c r="AG2725" t="s">
        <v>63</v>
      </c>
      <c r="AH2725" s="11" t="str">
        <f t="shared" si="168"/>
        <v>mailto: soilterrain@victoria1.gov.bc.ca</v>
      </c>
    </row>
    <row r="2726" spans="1:34">
      <c r="A2726" t="s">
        <v>5976</v>
      </c>
      <c r="B2726" t="s">
        <v>56</v>
      </c>
      <c r="C2726" s="10" t="s">
        <v>5466</v>
      </c>
      <c r="D2726" t="s">
        <v>58</v>
      </c>
      <c r="E2726" t="s">
        <v>2952</v>
      </c>
      <c r="F2726" t="s">
        <v>5935</v>
      </c>
      <c r="G2726">
        <v>20000</v>
      </c>
      <c r="H2726">
        <v>1976</v>
      </c>
      <c r="I2726" t="s">
        <v>58</v>
      </c>
      <c r="J2726" t="s">
        <v>58</v>
      </c>
      <c r="K2726" t="s">
        <v>58</v>
      </c>
      <c r="L2726" t="s">
        <v>58</v>
      </c>
      <c r="M2726" t="s">
        <v>58</v>
      </c>
      <c r="P2726" t="s">
        <v>61</v>
      </c>
      <c r="Q2726" t="s">
        <v>58</v>
      </c>
      <c r="R2726" s="11" t="str">
        <f>HYPERLINK("\\imagefiles.bcgov\imagery\scanned_maps\moe_terrain_maps\Scanned_T_maps_all\R10\R10-983","\\imagefiles.bcgov\imagery\scanned_maps\moe_terrain_maps\Scanned_T_maps_all\R10\R10-983")</f>
        <v>\\imagefiles.bcgov\imagery\scanned_maps\moe_terrain_maps\Scanned_T_maps_all\R10\R10-983</v>
      </c>
      <c r="S2726" t="s">
        <v>62</v>
      </c>
      <c r="T2726" s="11" t="str">
        <f>HYPERLINK("http://www.env.gov.bc.ca/esd/distdata/ecosystems/TEI_Scanned_Maps/R10/R10-983","http://www.env.gov.bc.ca/esd/distdata/ecosystems/TEI_Scanned_Maps/R10/R10-983")</f>
        <v>http://www.env.gov.bc.ca/esd/distdata/ecosystems/TEI_Scanned_Maps/R10/R10-983</v>
      </c>
      <c r="U2726" t="s">
        <v>58</v>
      </c>
      <c r="V2726" t="s">
        <v>58</v>
      </c>
      <c r="W2726" t="s">
        <v>58</v>
      </c>
      <c r="X2726" t="s">
        <v>58</v>
      </c>
      <c r="Y2726" t="s">
        <v>58</v>
      </c>
      <c r="Z2726" t="s">
        <v>58</v>
      </c>
      <c r="AA2726" t="s">
        <v>58</v>
      </c>
      <c r="AC2726" t="s">
        <v>58</v>
      </c>
      <c r="AE2726" t="s">
        <v>58</v>
      </c>
      <c r="AG2726" t="s">
        <v>63</v>
      </c>
      <c r="AH2726" s="11" t="str">
        <f t="shared" si="168"/>
        <v>mailto: soilterrain@victoria1.gov.bc.ca</v>
      </c>
    </row>
    <row r="2727" spans="1:34">
      <c r="A2727" t="s">
        <v>5977</v>
      </c>
      <c r="B2727" t="s">
        <v>56</v>
      </c>
      <c r="C2727" s="10" t="s">
        <v>5469</v>
      </c>
      <c r="D2727" t="s">
        <v>58</v>
      </c>
      <c r="E2727" t="s">
        <v>2952</v>
      </c>
      <c r="F2727" t="s">
        <v>5935</v>
      </c>
      <c r="G2727">
        <v>20000</v>
      </c>
      <c r="H2727">
        <v>1972</v>
      </c>
      <c r="I2727" t="s">
        <v>58</v>
      </c>
      <c r="J2727" t="s">
        <v>58</v>
      </c>
      <c r="K2727" t="s">
        <v>58</v>
      </c>
      <c r="L2727" t="s">
        <v>58</v>
      </c>
      <c r="M2727" t="s">
        <v>58</v>
      </c>
      <c r="P2727" t="s">
        <v>61</v>
      </c>
      <c r="Q2727" t="s">
        <v>58</v>
      </c>
      <c r="R2727" s="11" t="str">
        <f>HYPERLINK("\\imagefiles.bcgov\imagery\scanned_maps\moe_terrain_maps\Scanned_T_maps_all\R10\R10-992","\\imagefiles.bcgov\imagery\scanned_maps\moe_terrain_maps\Scanned_T_maps_all\R10\R10-992")</f>
        <v>\\imagefiles.bcgov\imagery\scanned_maps\moe_terrain_maps\Scanned_T_maps_all\R10\R10-992</v>
      </c>
      <c r="S2727" t="s">
        <v>62</v>
      </c>
      <c r="T2727" s="11" t="str">
        <f>HYPERLINK("http://www.env.gov.bc.ca/esd/distdata/ecosystems/TEI_Scanned_Maps/R10/R10-992","http://www.env.gov.bc.ca/esd/distdata/ecosystems/TEI_Scanned_Maps/R10/R10-992")</f>
        <v>http://www.env.gov.bc.ca/esd/distdata/ecosystems/TEI_Scanned_Maps/R10/R10-992</v>
      </c>
      <c r="U2727" t="s">
        <v>58</v>
      </c>
      <c r="V2727" t="s">
        <v>58</v>
      </c>
      <c r="W2727" t="s">
        <v>58</v>
      </c>
      <c r="X2727" t="s">
        <v>58</v>
      </c>
      <c r="Y2727" t="s">
        <v>58</v>
      </c>
      <c r="Z2727" t="s">
        <v>58</v>
      </c>
      <c r="AA2727" t="s">
        <v>58</v>
      </c>
      <c r="AC2727" t="s">
        <v>58</v>
      </c>
      <c r="AE2727" t="s">
        <v>58</v>
      </c>
      <c r="AG2727" t="s">
        <v>63</v>
      </c>
      <c r="AH2727" s="11" t="str">
        <f t="shared" si="168"/>
        <v>mailto: soilterrain@victoria1.gov.bc.ca</v>
      </c>
    </row>
    <row r="2728" spans="1:34">
      <c r="A2728" t="s">
        <v>5978</v>
      </c>
      <c r="B2728" t="s">
        <v>56</v>
      </c>
      <c r="C2728" s="10" t="s">
        <v>5471</v>
      </c>
      <c r="D2728" t="s">
        <v>58</v>
      </c>
      <c r="E2728" t="s">
        <v>3063</v>
      </c>
      <c r="F2728" t="s">
        <v>5653</v>
      </c>
      <c r="G2728">
        <v>20000</v>
      </c>
      <c r="H2728" t="s">
        <v>187</v>
      </c>
      <c r="I2728" t="s">
        <v>5654</v>
      </c>
      <c r="J2728" t="s">
        <v>58</v>
      </c>
      <c r="K2728" t="s">
        <v>58</v>
      </c>
      <c r="L2728" t="s">
        <v>61</v>
      </c>
      <c r="M2728" t="s">
        <v>58</v>
      </c>
      <c r="Q2728" t="s">
        <v>58</v>
      </c>
      <c r="R2728" s="11" t="str">
        <f>HYPERLINK("\\imagefiles.bcgov\imagery\scanned_maps\moe_terrain_maps\Scanned_T_maps_all\R11\R11-1002","\\imagefiles.bcgov\imagery\scanned_maps\moe_terrain_maps\Scanned_T_maps_all\R11\R11-1002")</f>
        <v>\\imagefiles.bcgov\imagery\scanned_maps\moe_terrain_maps\Scanned_T_maps_all\R11\R11-1002</v>
      </c>
      <c r="S2728" t="s">
        <v>62</v>
      </c>
      <c r="T2728" s="11" t="str">
        <f>HYPERLINK("http://www.env.gov.bc.ca/esd/distdata/ecosystems/TEI_Scanned_Maps/R11/R11-1002","http://www.env.gov.bc.ca/esd/distdata/ecosystems/TEI_Scanned_Maps/R11/R11-1002")</f>
        <v>http://www.env.gov.bc.ca/esd/distdata/ecosystems/TEI_Scanned_Maps/R11/R11-1002</v>
      </c>
      <c r="U2728" t="s">
        <v>3353</v>
      </c>
      <c r="V2728" s="11" t="str">
        <f t="shared" ref="V2728:V2765" si="169">HYPERLINK("http://www.env.gov.bc.ca/esd/distdata/ecosystems/Soil_Data/CAPAMP/","http://www.env.gov.bc.ca/esd/distdata/ecosystems/Soil_Data/CAPAMP/")</f>
        <v>http://www.env.gov.bc.ca/esd/distdata/ecosystems/Soil_Data/CAPAMP/</v>
      </c>
      <c r="W2728" t="s">
        <v>269</v>
      </c>
      <c r="X2728" s="11" t="str">
        <f t="shared" ref="X2728:X2759" si="170">HYPERLINK("http://www.library.for.gov.bc.ca/#focus","http://www.library.for.gov.bc.ca/#focus")</f>
        <v>http://www.library.for.gov.bc.ca/#focus</v>
      </c>
      <c r="Y2728" t="s">
        <v>58</v>
      </c>
      <c r="Z2728" t="s">
        <v>58</v>
      </c>
      <c r="AA2728" t="s">
        <v>58</v>
      </c>
      <c r="AC2728" t="s">
        <v>58</v>
      </c>
      <c r="AE2728" t="s">
        <v>58</v>
      </c>
      <c r="AG2728" t="s">
        <v>63</v>
      </c>
      <c r="AH2728" s="11" t="str">
        <f t="shared" si="168"/>
        <v>mailto: soilterrain@victoria1.gov.bc.ca</v>
      </c>
    </row>
    <row r="2729" spans="1:34">
      <c r="A2729" t="s">
        <v>5979</v>
      </c>
      <c r="B2729" t="s">
        <v>56</v>
      </c>
      <c r="C2729" s="10" t="s">
        <v>2987</v>
      </c>
      <c r="D2729" t="s">
        <v>58</v>
      </c>
      <c r="E2729" t="s">
        <v>3063</v>
      </c>
      <c r="F2729" t="s">
        <v>5653</v>
      </c>
      <c r="G2729">
        <v>20000</v>
      </c>
      <c r="H2729">
        <v>1983</v>
      </c>
      <c r="I2729" t="s">
        <v>5654</v>
      </c>
      <c r="J2729" t="s">
        <v>58</v>
      </c>
      <c r="K2729" t="s">
        <v>58</v>
      </c>
      <c r="L2729" t="s">
        <v>61</v>
      </c>
      <c r="M2729" t="s">
        <v>58</v>
      </c>
      <c r="Q2729" t="s">
        <v>58</v>
      </c>
      <c r="R2729" s="11" t="str">
        <f>HYPERLINK("\\imagefiles.bcgov\imagery\scanned_maps\moe_terrain_maps\Scanned_T_maps_all\R11\R11-1011","\\imagefiles.bcgov\imagery\scanned_maps\moe_terrain_maps\Scanned_T_maps_all\R11\R11-1011")</f>
        <v>\\imagefiles.bcgov\imagery\scanned_maps\moe_terrain_maps\Scanned_T_maps_all\R11\R11-1011</v>
      </c>
      <c r="S2729" t="s">
        <v>62</v>
      </c>
      <c r="T2729" s="11" t="str">
        <f>HYPERLINK("http://www.env.gov.bc.ca/esd/distdata/ecosystems/TEI_Scanned_Maps/R11/R11-1011","http://www.env.gov.bc.ca/esd/distdata/ecosystems/TEI_Scanned_Maps/R11/R11-1011")</f>
        <v>http://www.env.gov.bc.ca/esd/distdata/ecosystems/TEI_Scanned_Maps/R11/R11-1011</v>
      </c>
      <c r="U2729" t="s">
        <v>3353</v>
      </c>
      <c r="V2729" s="11" t="str">
        <f t="shared" si="169"/>
        <v>http://www.env.gov.bc.ca/esd/distdata/ecosystems/Soil_Data/CAPAMP/</v>
      </c>
      <c r="W2729" t="s">
        <v>269</v>
      </c>
      <c r="X2729" s="11" t="str">
        <f t="shared" si="170"/>
        <v>http://www.library.for.gov.bc.ca/#focus</v>
      </c>
      <c r="Y2729" t="s">
        <v>58</v>
      </c>
      <c r="Z2729" t="s">
        <v>58</v>
      </c>
      <c r="AA2729" t="s">
        <v>58</v>
      </c>
      <c r="AC2729" t="s">
        <v>58</v>
      </c>
      <c r="AE2729" t="s">
        <v>58</v>
      </c>
      <c r="AG2729" t="s">
        <v>63</v>
      </c>
      <c r="AH2729" s="11" t="str">
        <f t="shared" si="168"/>
        <v>mailto: soilterrain@victoria1.gov.bc.ca</v>
      </c>
    </row>
    <row r="2730" spans="1:34">
      <c r="A2730" t="s">
        <v>5980</v>
      </c>
      <c r="B2730" t="s">
        <v>56</v>
      </c>
      <c r="C2730" s="10" t="s">
        <v>5330</v>
      </c>
      <c r="D2730" t="s">
        <v>58</v>
      </c>
      <c r="E2730" t="s">
        <v>3063</v>
      </c>
      <c r="F2730" t="s">
        <v>5653</v>
      </c>
      <c r="G2730">
        <v>20000</v>
      </c>
      <c r="H2730">
        <v>1975</v>
      </c>
      <c r="I2730" t="s">
        <v>5654</v>
      </c>
      <c r="J2730" t="s">
        <v>58</v>
      </c>
      <c r="K2730" t="s">
        <v>58</v>
      </c>
      <c r="L2730" t="s">
        <v>61</v>
      </c>
      <c r="M2730" t="s">
        <v>58</v>
      </c>
      <c r="Q2730" t="s">
        <v>58</v>
      </c>
      <c r="R2730" s="11" t="str">
        <f>HYPERLINK("\\imagefiles.bcgov\imagery\scanned_maps\moe_terrain_maps\Scanned_T_maps_all\R11\R11-1020","\\imagefiles.bcgov\imagery\scanned_maps\moe_terrain_maps\Scanned_T_maps_all\R11\R11-1020")</f>
        <v>\\imagefiles.bcgov\imagery\scanned_maps\moe_terrain_maps\Scanned_T_maps_all\R11\R11-1020</v>
      </c>
      <c r="S2730" t="s">
        <v>62</v>
      </c>
      <c r="T2730" s="11" t="str">
        <f>HYPERLINK("http://www.env.gov.bc.ca/esd/distdata/ecosystems/TEI_Scanned_Maps/R11/R11-1020","http://www.env.gov.bc.ca/esd/distdata/ecosystems/TEI_Scanned_Maps/R11/R11-1020")</f>
        <v>http://www.env.gov.bc.ca/esd/distdata/ecosystems/TEI_Scanned_Maps/R11/R11-1020</v>
      </c>
      <c r="U2730" t="s">
        <v>3353</v>
      </c>
      <c r="V2730" s="11" t="str">
        <f t="shared" si="169"/>
        <v>http://www.env.gov.bc.ca/esd/distdata/ecosystems/Soil_Data/CAPAMP/</v>
      </c>
      <c r="W2730" t="s">
        <v>269</v>
      </c>
      <c r="X2730" s="11" t="str">
        <f t="shared" si="170"/>
        <v>http://www.library.for.gov.bc.ca/#focus</v>
      </c>
      <c r="Y2730" t="s">
        <v>58</v>
      </c>
      <c r="Z2730" t="s">
        <v>58</v>
      </c>
      <c r="AA2730" t="s">
        <v>58</v>
      </c>
      <c r="AC2730" t="s">
        <v>58</v>
      </c>
      <c r="AE2730" t="s">
        <v>58</v>
      </c>
      <c r="AG2730" t="s">
        <v>63</v>
      </c>
      <c r="AH2730" s="11" t="str">
        <f t="shared" si="168"/>
        <v>mailto: soilterrain@victoria1.gov.bc.ca</v>
      </c>
    </row>
    <row r="2731" spans="1:34">
      <c r="A2731" t="s">
        <v>5981</v>
      </c>
      <c r="B2731" t="s">
        <v>56</v>
      </c>
      <c r="C2731" s="10" t="s">
        <v>5332</v>
      </c>
      <c r="D2731" t="s">
        <v>58</v>
      </c>
      <c r="E2731" t="s">
        <v>3063</v>
      </c>
      <c r="F2731" t="s">
        <v>5653</v>
      </c>
      <c r="G2731">
        <v>20000</v>
      </c>
      <c r="H2731">
        <v>1975</v>
      </c>
      <c r="I2731" t="s">
        <v>5654</v>
      </c>
      <c r="J2731" t="s">
        <v>58</v>
      </c>
      <c r="K2731" t="s">
        <v>58</v>
      </c>
      <c r="L2731" t="s">
        <v>61</v>
      </c>
      <c r="M2731" t="s">
        <v>58</v>
      </c>
      <c r="Q2731" t="s">
        <v>58</v>
      </c>
      <c r="R2731" s="11" t="str">
        <f>HYPERLINK("\\imagefiles.bcgov\imagery\scanned_maps\moe_terrain_maps\Scanned_T_maps_all\R11\R11-1029","\\imagefiles.bcgov\imagery\scanned_maps\moe_terrain_maps\Scanned_T_maps_all\R11\R11-1029")</f>
        <v>\\imagefiles.bcgov\imagery\scanned_maps\moe_terrain_maps\Scanned_T_maps_all\R11\R11-1029</v>
      </c>
      <c r="S2731" t="s">
        <v>62</v>
      </c>
      <c r="T2731" s="11" t="str">
        <f>HYPERLINK("http://www.env.gov.bc.ca/esd/distdata/ecosystems/TEI_Scanned_Maps/R11/R11-1029","http://www.env.gov.bc.ca/esd/distdata/ecosystems/TEI_Scanned_Maps/R11/R11-1029")</f>
        <v>http://www.env.gov.bc.ca/esd/distdata/ecosystems/TEI_Scanned_Maps/R11/R11-1029</v>
      </c>
      <c r="U2731" t="s">
        <v>3353</v>
      </c>
      <c r="V2731" s="11" t="str">
        <f t="shared" si="169"/>
        <v>http://www.env.gov.bc.ca/esd/distdata/ecosystems/Soil_Data/CAPAMP/</v>
      </c>
      <c r="W2731" t="s">
        <v>269</v>
      </c>
      <c r="X2731" s="11" t="str">
        <f t="shared" si="170"/>
        <v>http://www.library.for.gov.bc.ca/#focus</v>
      </c>
      <c r="Y2731" t="s">
        <v>58</v>
      </c>
      <c r="Z2731" t="s">
        <v>58</v>
      </c>
      <c r="AA2731" t="s">
        <v>58</v>
      </c>
      <c r="AC2731" t="s">
        <v>58</v>
      </c>
      <c r="AE2731" t="s">
        <v>58</v>
      </c>
      <c r="AG2731" t="s">
        <v>63</v>
      </c>
      <c r="AH2731" s="11" t="str">
        <f t="shared" si="168"/>
        <v>mailto: soilterrain@victoria1.gov.bc.ca</v>
      </c>
    </row>
    <row r="2732" spans="1:34">
      <c r="A2732" t="s">
        <v>5982</v>
      </c>
      <c r="B2732" t="s">
        <v>56</v>
      </c>
      <c r="C2732" s="10" t="s">
        <v>5258</v>
      </c>
      <c r="D2732" t="s">
        <v>58</v>
      </c>
      <c r="E2732" t="s">
        <v>3063</v>
      </c>
      <c r="F2732" t="s">
        <v>5653</v>
      </c>
      <c r="G2732">
        <v>20000</v>
      </c>
      <c r="H2732">
        <v>1975</v>
      </c>
      <c r="I2732" t="s">
        <v>5654</v>
      </c>
      <c r="J2732" t="s">
        <v>58</v>
      </c>
      <c r="K2732" t="s">
        <v>58</v>
      </c>
      <c r="L2732" t="s">
        <v>61</v>
      </c>
      <c r="M2732" t="s">
        <v>58</v>
      </c>
      <c r="Q2732" t="s">
        <v>58</v>
      </c>
      <c r="R2732" s="11" t="str">
        <f>HYPERLINK("\\imagefiles.bcgov\imagery\scanned_maps\moe_terrain_maps\Scanned_T_maps_all\R11\R11-1038","\\imagefiles.bcgov\imagery\scanned_maps\moe_terrain_maps\Scanned_T_maps_all\R11\R11-1038")</f>
        <v>\\imagefiles.bcgov\imagery\scanned_maps\moe_terrain_maps\Scanned_T_maps_all\R11\R11-1038</v>
      </c>
      <c r="S2732" t="s">
        <v>62</v>
      </c>
      <c r="T2732" s="11" t="str">
        <f>HYPERLINK("http://www.env.gov.bc.ca/esd/distdata/ecosystems/TEI_Scanned_Maps/R11/R11-1038","http://www.env.gov.bc.ca/esd/distdata/ecosystems/TEI_Scanned_Maps/R11/R11-1038")</f>
        <v>http://www.env.gov.bc.ca/esd/distdata/ecosystems/TEI_Scanned_Maps/R11/R11-1038</v>
      </c>
      <c r="U2732" t="s">
        <v>3353</v>
      </c>
      <c r="V2732" s="11" t="str">
        <f t="shared" si="169"/>
        <v>http://www.env.gov.bc.ca/esd/distdata/ecosystems/Soil_Data/CAPAMP/</v>
      </c>
      <c r="W2732" t="s">
        <v>269</v>
      </c>
      <c r="X2732" s="11" t="str">
        <f t="shared" si="170"/>
        <v>http://www.library.for.gov.bc.ca/#focus</v>
      </c>
      <c r="Y2732" t="s">
        <v>58</v>
      </c>
      <c r="Z2732" t="s">
        <v>58</v>
      </c>
      <c r="AA2732" t="s">
        <v>58</v>
      </c>
      <c r="AC2732" t="s">
        <v>58</v>
      </c>
      <c r="AE2732" t="s">
        <v>58</v>
      </c>
      <c r="AG2732" t="s">
        <v>63</v>
      </c>
      <c r="AH2732" s="11" t="str">
        <f t="shared" si="168"/>
        <v>mailto: soilterrain@victoria1.gov.bc.ca</v>
      </c>
    </row>
    <row r="2733" spans="1:34">
      <c r="A2733" t="s">
        <v>5983</v>
      </c>
      <c r="B2733" t="s">
        <v>56</v>
      </c>
      <c r="C2733" s="10" t="s">
        <v>5335</v>
      </c>
      <c r="D2733" t="s">
        <v>58</v>
      </c>
      <c r="E2733" t="s">
        <v>3063</v>
      </c>
      <c r="F2733" t="s">
        <v>5653</v>
      </c>
      <c r="G2733">
        <v>20000</v>
      </c>
      <c r="H2733">
        <v>1975</v>
      </c>
      <c r="I2733" t="s">
        <v>5654</v>
      </c>
      <c r="J2733" t="s">
        <v>58</v>
      </c>
      <c r="K2733" t="s">
        <v>58</v>
      </c>
      <c r="L2733" t="s">
        <v>61</v>
      </c>
      <c r="M2733" t="s">
        <v>58</v>
      </c>
      <c r="Q2733" t="s">
        <v>58</v>
      </c>
      <c r="R2733" s="11" t="str">
        <f>HYPERLINK("\\imagefiles.bcgov\imagery\scanned_maps\moe_terrain_maps\Scanned_T_maps_all\R11\R11-1046","\\imagefiles.bcgov\imagery\scanned_maps\moe_terrain_maps\Scanned_T_maps_all\R11\R11-1046")</f>
        <v>\\imagefiles.bcgov\imagery\scanned_maps\moe_terrain_maps\Scanned_T_maps_all\R11\R11-1046</v>
      </c>
      <c r="S2733" t="s">
        <v>62</v>
      </c>
      <c r="T2733" s="11" t="str">
        <f>HYPERLINK("http://www.env.gov.bc.ca/esd/distdata/ecosystems/TEI_Scanned_Maps/R11/R11-1046","http://www.env.gov.bc.ca/esd/distdata/ecosystems/TEI_Scanned_Maps/R11/R11-1046")</f>
        <v>http://www.env.gov.bc.ca/esd/distdata/ecosystems/TEI_Scanned_Maps/R11/R11-1046</v>
      </c>
      <c r="U2733" t="s">
        <v>3353</v>
      </c>
      <c r="V2733" s="11" t="str">
        <f t="shared" si="169"/>
        <v>http://www.env.gov.bc.ca/esd/distdata/ecosystems/Soil_Data/CAPAMP/</v>
      </c>
      <c r="W2733" t="s">
        <v>269</v>
      </c>
      <c r="X2733" s="11" t="str">
        <f t="shared" si="170"/>
        <v>http://www.library.for.gov.bc.ca/#focus</v>
      </c>
      <c r="Y2733" t="s">
        <v>58</v>
      </c>
      <c r="Z2733" t="s">
        <v>58</v>
      </c>
      <c r="AA2733" t="s">
        <v>58</v>
      </c>
      <c r="AC2733" t="s">
        <v>58</v>
      </c>
      <c r="AE2733" t="s">
        <v>58</v>
      </c>
      <c r="AG2733" t="s">
        <v>63</v>
      </c>
      <c r="AH2733" s="11" t="str">
        <f t="shared" si="168"/>
        <v>mailto: soilterrain@victoria1.gov.bc.ca</v>
      </c>
    </row>
    <row r="2734" spans="1:34">
      <c r="A2734" t="s">
        <v>5984</v>
      </c>
      <c r="B2734" t="s">
        <v>56</v>
      </c>
      <c r="C2734" s="10" t="s">
        <v>5027</v>
      </c>
      <c r="D2734" t="s">
        <v>58</v>
      </c>
      <c r="E2734" t="s">
        <v>3063</v>
      </c>
      <c r="F2734" t="s">
        <v>5653</v>
      </c>
      <c r="G2734">
        <v>20000</v>
      </c>
      <c r="H2734">
        <v>1975</v>
      </c>
      <c r="I2734" t="s">
        <v>5654</v>
      </c>
      <c r="J2734" t="s">
        <v>58</v>
      </c>
      <c r="K2734" t="s">
        <v>58</v>
      </c>
      <c r="L2734" t="s">
        <v>61</v>
      </c>
      <c r="M2734" t="s">
        <v>58</v>
      </c>
      <c r="Q2734" t="s">
        <v>58</v>
      </c>
      <c r="R2734" s="11" t="str">
        <f>HYPERLINK("\\imagefiles.bcgov\imagery\scanned_maps\moe_terrain_maps\Scanned_T_maps_all\R11\R11-1054","\\imagefiles.bcgov\imagery\scanned_maps\moe_terrain_maps\Scanned_T_maps_all\R11\R11-1054")</f>
        <v>\\imagefiles.bcgov\imagery\scanned_maps\moe_terrain_maps\Scanned_T_maps_all\R11\R11-1054</v>
      </c>
      <c r="S2734" t="s">
        <v>62</v>
      </c>
      <c r="T2734" s="11" t="str">
        <f>HYPERLINK("http://www.env.gov.bc.ca/esd/distdata/ecosystems/TEI_Scanned_Maps/R11/R11-1054","http://www.env.gov.bc.ca/esd/distdata/ecosystems/TEI_Scanned_Maps/R11/R11-1054")</f>
        <v>http://www.env.gov.bc.ca/esd/distdata/ecosystems/TEI_Scanned_Maps/R11/R11-1054</v>
      </c>
      <c r="U2734" t="s">
        <v>3353</v>
      </c>
      <c r="V2734" s="11" t="str">
        <f t="shared" si="169"/>
        <v>http://www.env.gov.bc.ca/esd/distdata/ecosystems/Soil_Data/CAPAMP/</v>
      </c>
      <c r="W2734" t="s">
        <v>269</v>
      </c>
      <c r="X2734" s="11" t="str">
        <f t="shared" si="170"/>
        <v>http://www.library.for.gov.bc.ca/#focus</v>
      </c>
      <c r="Y2734" t="s">
        <v>58</v>
      </c>
      <c r="Z2734" t="s">
        <v>58</v>
      </c>
      <c r="AA2734" t="s">
        <v>58</v>
      </c>
      <c r="AC2734" t="s">
        <v>58</v>
      </c>
      <c r="AE2734" t="s">
        <v>58</v>
      </c>
      <c r="AG2734" t="s">
        <v>63</v>
      </c>
      <c r="AH2734" s="11" t="str">
        <f t="shared" si="168"/>
        <v>mailto: soilterrain@victoria1.gov.bc.ca</v>
      </c>
    </row>
    <row r="2735" spans="1:34">
      <c r="A2735" t="s">
        <v>5985</v>
      </c>
      <c r="B2735" t="s">
        <v>56</v>
      </c>
      <c r="C2735" s="10" t="s">
        <v>5338</v>
      </c>
      <c r="D2735" t="s">
        <v>58</v>
      </c>
      <c r="E2735" t="s">
        <v>3063</v>
      </c>
      <c r="F2735" t="s">
        <v>5653</v>
      </c>
      <c r="G2735">
        <v>20000</v>
      </c>
      <c r="H2735">
        <v>1975</v>
      </c>
      <c r="I2735" t="s">
        <v>5654</v>
      </c>
      <c r="J2735" t="s">
        <v>58</v>
      </c>
      <c r="K2735" t="s">
        <v>58</v>
      </c>
      <c r="L2735" t="s">
        <v>61</v>
      </c>
      <c r="M2735" t="s">
        <v>58</v>
      </c>
      <c r="Q2735" t="s">
        <v>58</v>
      </c>
      <c r="R2735" s="11" t="str">
        <f>HYPERLINK("\\imagefiles.bcgov\imagery\scanned_maps\moe_terrain_maps\Scanned_T_maps_all\R11\R11-1122","\\imagefiles.bcgov\imagery\scanned_maps\moe_terrain_maps\Scanned_T_maps_all\R11\R11-1122")</f>
        <v>\\imagefiles.bcgov\imagery\scanned_maps\moe_terrain_maps\Scanned_T_maps_all\R11\R11-1122</v>
      </c>
      <c r="S2735" t="s">
        <v>62</v>
      </c>
      <c r="T2735" s="11" t="str">
        <f>HYPERLINK("http://www.env.gov.bc.ca/esd/distdata/ecosystems/TEI_Scanned_Maps/R11/R11-1122","http://www.env.gov.bc.ca/esd/distdata/ecosystems/TEI_Scanned_Maps/R11/R11-1122")</f>
        <v>http://www.env.gov.bc.ca/esd/distdata/ecosystems/TEI_Scanned_Maps/R11/R11-1122</v>
      </c>
      <c r="U2735" t="s">
        <v>3353</v>
      </c>
      <c r="V2735" s="11" t="str">
        <f t="shared" si="169"/>
        <v>http://www.env.gov.bc.ca/esd/distdata/ecosystems/Soil_Data/CAPAMP/</v>
      </c>
      <c r="W2735" t="s">
        <v>269</v>
      </c>
      <c r="X2735" s="11" t="str">
        <f t="shared" si="170"/>
        <v>http://www.library.for.gov.bc.ca/#focus</v>
      </c>
      <c r="Y2735" t="s">
        <v>58</v>
      </c>
      <c r="Z2735" t="s">
        <v>58</v>
      </c>
      <c r="AA2735" t="s">
        <v>58</v>
      </c>
      <c r="AC2735" t="s">
        <v>58</v>
      </c>
      <c r="AE2735" t="s">
        <v>58</v>
      </c>
      <c r="AG2735" t="s">
        <v>63</v>
      </c>
      <c r="AH2735" s="11" t="str">
        <f t="shared" si="168"/>
        <v>mailto: soilterrain@victoria1.gov.bc.ca</v>
      </c>
    </row>
    <row r="2736" spans="1:34">
      <c r="A2736" t="s">
        <v>5986</v>
      </c>
      <c r="B2736" t="s">
        <v>56</v>
      </c>
      <c r="C2736" s="10" t="s">
        <v>5340</v>
      </c>
      <c r="D2736" t="s">
        <v>58</v>
      </c>
      <c r="E2736" t="s">
        <v>3063</v>
      </c>
      <c r="F2736" t="s">
        <v>5987</v>
      </c>
      <c r="G2736">
        <v>20000</v>
      </c>
      <c r="H2736">
        <v>1971</v>
      </c>
      <c r="I2736" t="s">
        <v>5651</v>
      </c>
      <c r="J2736" t="s">
        <v>58</v>
      </c>
      <c r="K2736" t="s">
        <v>58</v>
      </c>
      <c r="L2736" t="s">
        <v>61</v>
      </c>
      <c r="M2736" t="s">
        <v>58</v>
      </c>
      <c r="Q2736" t="s">
        <v>58</v>
      </c>
      <c r="R2736" s="11" t="str">
        <f>HYPERLINK("\\imagefiles.bcgov\imagery\scanned_maps\moe_terrain_maps\Scanned_T_maps_all\R11\R11-1130","\\imagefiles.bcgov\imagery\scanned_maps\moe_terrain_maps\Scanned_T_maps_all\R11\R11-1130")</f>
        <v>\\imagefiles.bcgov\imagery\scanned_maps\moe_terrain_maps\Scanned_T_maps_all\R11\R11-1130</v>
      </c>
      <c r="S2736" t="s">
        <v>62</v>
      </c>
      <c r="T2736" s="11" t="str">
        <f>HYPERLINK("http://www.env.gov.bc.ca/esd/distdata/ecosystems/TEI_Scanned_Maps/R11/R11-1130","http://www.env.gov.bc.ca/esd/distdata/ecosystems/TEI_Scanned_Maps/R11/R11-1130")</f>
        <v>http://www.env.gov.bc.ca/esd/distdata/ecosystems/TEI_Scanned_Maps/R11/R11-1130</v>
      </c>
      <c r="U2736" t="s">
        <v>3353</v>
      </c>
      <c r="V2736" s="11" t="str">
        <f t="shared" si="169"/>
        <v>http://www.env.gov.bc.ca/esd/distdata/ecosystems/Soil_Data/CAPAMP/</v>
      </c>
      <c r="W2736" t="s">
        <v>269</v>
      </c>
      <c r="X2736" s="11" t="str">
        <f t="shared" si="170"/>
        <v>http://www.library.for.gov.bc.ca/#focus</v>
      </c>
      <c r="Y2736" t="s">
        <v>58</v>
      </c>
      <c r="Z2736" t="s">
        <v>58</v>
      </c>
      <c r="AA2736" t="s">
        <v>58</v>
      </c>
      <c r="AC2736" t="s">
        <v>58</v>
      </c>
      <c r="AE2736" t="s">
        <v>58</v>
      </c>
      <c r="AG2736" t="s">
        <v>63</v>
      </c>
      <c r="AH2736" s="11" t="str">
        <f t="shared" si="168"/>
        <v>mailto: soilterrain@victoria1.gov.bc.ca</v>
      </c>
    </row>
    <row r="2737" spans="1:34">
      <c r="A2737" t="s">
        <v>5988</v>
      </c>
      <c r="B2737" t="s">
        <v>56</v>
      </c>
      <c r="C2737" s="10" t="s">
        <v>5342</v>
      </c>
      <c r="D2737" t="s">
        <v>58</v>
      </c>
      <c r="E2737" t="s">
        <v>3063</v>
      </c>
      <c r="F2737" t="s">
        <v>5653</v>
      </c>
      <c r="G2737">
        <v>20000</v>
      </c>
      <c r="H2737">
        <v>1971</v>
      </c>
      <c r="I2737" t="s">
        <v>5654</v>
      </c>
      <c r="J2737" t="s">
        <v>58</v>
      </c>
      <c r="K2737" t="s">
        <v>58</v>
      </c>
      <c r="L2737" t="s">
        <v>61</v>
      </c>
      <c r="M2737" t="s">
        <v>58</v>
      </c>
      <c r="Q2737" t="s">
        <v>58</v>
      </c>
      <c r="R2737" s="11" t="str">
        <f>HYPERLINK("\\imagefiles.bcgov\imagery\scanned_maps\moe_terrain_maps\Scanned_T_maps_all\R11\R11-1139","\\imagefiles.bcgov\imagery\scanned_maps\moe_terrain_maps\Scanned_T_maps_all\R11\R11-1139")</f>
        <v>\\imagefiles.bcgov\imagery\scanned_maps\moe_terrain_maps\Scanned_T_maps_all\R11\R11-1139</v>
      </c>
      <c r="S2737" t="s">
        <v>62</v>
      </c>
      <c r="T2737" s="11" t="str">
        <f>HYPERLINK("http://www.env.gov.bc.ca/esd/distdata/ecosystems/TEI_Scanned_Maps/R11/R11-1139","http://www.env.gov.bc.ca/esd/distdata/ecosystems/TEI_Scanned_Maps/R11/R11-1139")</f>
        <v>http://www.env.gov.bc.ca/esd/distdata/ecosystems/TEI_Scanned_Maps/R11/R11-1139</v>
      </c>
      <c r="U2737" t="s">
        <v>3353</v>
      </c>
      <c r="V2737" s="11" t="str">
        <f t="shared" si="169"/>
        <v>http://www.env.gov.bc.ca/esd/distdata/ecosystems/Soil_Data/CAPAMP/</v>
      </c>
      <c r="W2737" t="s">
        <v>269</v>
      </c>
      <c r="X2737" s="11" t="str">
        <f t="shared" si="170"/>
        <v>http://www.library.for.gov.bc.ca/#focus</v>
      </c>
      <c r="Y2737" t="s">
        <v>58</v>
      </c>
      <c r="Z2737" t="s">
        <v>58</v>
      </c>
      <c r="AA2737" t="s">
        <v>58</v>
      </c>
      <c r="AC2737" t="s">
        <v>58</v>
      </c>
      <c r="AE2737" t="s">
        <v>58</v>
      </c>
      <c r="AG2737" t="s">
        <v>63</v>
      </c>
      <c r="AH2737" s="11" t="str">
        <f t="shared" si="168"/>
        <v>mailto: soilterrain@victoria1.gov.bc.ca</v>
      </c>
    </row>
    <row r="2738" spans="1:34">
      <c r="A2738" t="s">
        <v>5989</v>
      </c>
      <c r="B2738" t="s">
        <v>56</v>
      </c>
      <c r="C2738" s="10" t="s">
        <v>5344</v>
      </c>
      <c r="D2738" t="s">
        <v>58</v>
      </c>
      <c r="E2738" t="s">
        <v>3063</v>
      </c>
      <c r="F2738" t="s">
        <v>5987</v>
      </c>
      <c r="G2738">
        <v>20000</v>
      </c>
      <c r="H2738">
        <v>1975</v>
      </c>
      <c r="I2738" t="s">
        <v>5651</v>
      </c>
      <c r="J2738" t="s">
        <v>58</v>
      </c>
      <c r="K2738" t="s">
        <v>58</v>
      </c>
      <c r="L2738" t="s">
        <v>61</v>
      </c>
      <c r="M2738" t="s">
        <v>58</v>
      </c>
      <c r="Q2738" t="s">
        <v>58</v>
      </c>
      <c r="R2738" s="11" t="str">
        <f>HYPERLINK("\\imagefiles.bcgov\imagery\scanned_maps\moe_terrain_maps\Scanned_T_maps_all\R11\R11-1149","\\imagefiles.bcgov\imagery\scanned_maps\moe_terrain_maps\Scanned_T_maps_all\R11\R11-1149")</f>
        <v>\\imagefiles.bcgov\imagery\scanned_maps\moe_terrain_maps\Scanned_T_maps_all\R11\R11-1149</v>
      </c>
      <c r="S2738" t="s">
        <v>62</v>
      </c>
      <c r="T2738" s="11" t="str">
        <f>HYPERLINK("http://www.env.gov.bc.ca/esd/distdata/ecosystems/TEI_Scanned_Maps/R11/R11-1149","http://www.env.gov.bc.ca/esd/distdata/ecosystems/TEI_Scanned_Maps/R11/R11-1149")</f>
        <v>http://www.env.gov.bc.ca/esd/distdata/ecosystems/TEI_Scanned_Maps/R11/R11-1149</v>
      </c>
      <c r="U2738" t="s">
        <v>3353</v>
      </c>
      <c r="V2738" s="11" t="str">
        <f t="shared" si="169"/>
        <v>http://www.env.gov.bc.ca/esd/distdata/ecosystems/Soil_Data/CAPAMP/</v>
      </c>
      <c r="W2738" t="s">
        <v>269</v>
      </c>
      <c r="X2738" s="11" t="str">
        <f t="shared" si="170"/>
        <v>http://www.library.for.gov.bc.ca/#focus</v>
      </c>
      <c r="Y2738" t="s">
        <v>58</v>
      </c>
      <c r="Z2738" t="s">
        <v>58</v>
      </c>
      <c r="AA2738" t="s">
        <v>58</v>
      </c>
      <c r="AC2738" t="s">
        <v>58</v>
      </c>
      <c r="AE2738" t="s">
        <v>58</v>
      </c>
      <c r="AG2738" t="s">
        <v>63</v>
      </c>
      <c r="AH2738" s="11" t="str">
        <f t="shared" si="168"/>
        <v>mailto: soilterrain@victoria1.gov.bc.ca</v>
      </c>
    </row>
    <row r="2739" spans="1:34">
      <c r="A2739" t="s">
        <v>5990</v>
      </c>
      <c r="B2739" t="s">
        <v>56</v>
      </c>
      <c r="C2739" s="10" t="s">
        <v>5346</v>
      </c>
      <c r="D2739" t="s">
        <v>58</v>
      </c>
      <c r="E2739" t="s">
        <v>3063</v>
      </c>
      <c r="F2739" t="s">
        <v>5987</v>
      </c>
      <c r="G2739">
        <v>20000</v>
      </c>
      <c r="H2739">
        <v>1969</v>
      </c>
      <c r="I2739" t="s">
        <v>5651</v>
      </c>
      <c r="J2739" t="s">
        <v>58</v>
      </c>
      <c r="K2739" t="s">
        <v>58</v>
      </c>
      <c r="L2739" t="s">
        <v>61</v>
      </c>
      <c r="M2739" t="s">
        <v>58</v>
      </c>
      <c r="Q2739" t="s">
        <v>58</v>
      </c>
      <c r="R2739" s="11" t="str">
        <f>HYPERLINK("\\imagefiles.bcgov\imagery\scanned_maps\moe_terrain_maps\Scanned_T_maps_all\R11\R11-1158","\\imagefiles.bcgov\imagery\scanned_maps\moe_terrain_maps\Scanned_T_maps_all\R11\R11-1158")</f>
        <v>\\imagefiles.bcgov\imagery\scanned_maps\moe_terrain_maps\Scanned_T_maps_all\R11\R11-1158</v>
      </c>
      <c r="S2739" t="s">
        <v>62</v>
      </c>
      <c r="T2739" s="11" t="str">
        <f>HYPERLINK("http://www.env.gov.bc.ca/esd/distdata/ecosystems/TEI_Scanned_Maps/R11/R11-1158","http://www.env.gov.bc.ca/esd/distdata/ecosystems/TEI_Scanned_Maps/R11/R11-1158")</f>
        <v>http://www.env.gov.bc.ca/esd/distdata/ecosystems/TEI_Scanned_Maps/R11/R11-1158</v>
      </c>
      <c r="U2739" t="s">
        <v>3353</v>
      </c>
      <c r="V2739" s="11" t="str">
        <f t="shared" si="169"/>
        <v>http://www.env.gov.bc.ca/esd/distdata/ecosystems/Soil_Data/CAPAMP/</v>
      </c>
      <c r="W2739" t="s">
        <v>269</v>
      </c>
      <c r="X2739" s="11" t="str">
        <f t="shared" si="170"/>
        <v>http://www.library.for.gov.bc.ca/#focus</v>
      </c>
      <c r="Y2739" t="s">
        <v>58</v>
      </c>
      <c r="Z2739" t="s">
        <v>58</v>
      </c>
      <c r="AA2739" t="s">
        <v>58</v>
      </c>
      <c r="AC2739" t="s">
        <v>58</v>
      </c>
      <c r="AE2739" t="s">
        <v>58</v>
      </c>
      <c r="AG2739" t="s">
        <v>63</v>
      </c>
      <c r="AH2739" s="11" t="str">
        <f t="shared" si="168"/>
        <v>mailto: soilterrain@victoria1.gov.bc.ca</v>
      </c>
    </row>
    <row r="2740" spans="1:34">
      <c r="A2740" t="s">
        <v>5991</v>
      </c>
      <c r="B2740" t="s">
        <v>56</v>
      </c>
      <c r="C2740" s="10" t="s">
        <v>5348</v>
      </c>
      <c r="D2740" t="s">
        <v>58</v>
      </c>
      <c r="E2740" t="s">
        <v>3063</v>
      </c>
      <c r="F2740" t="s">
        <v>5650</v>
      </c>
      <c r="G2740">
        <v>20000</v>
      </c>
      <c r="H2740">
        <v>1972</v>
      </c>
      <c r="I2740" t="s">
        <v>5651</v>
      </c>
      <c r="J2740" t="s">
        <v>58</v>
      </c>
      <c r="K2740" t="s">
        <v>58</v>
      </c>
      <c r="L2740" t="s">
        <v>61</v>
      </c>
      <c r="M2740" t="s">
        <v>58</v>
      </c>
      <c r="Q2740" t="s">
        <v>58</v>
      </c>
      <c r="R2740" s="11" t="str">
        <f>HYPERLINK("\\imagefiles.bcgov\imagery\scanned_maps\moe_terrain_maps\Scanned_T_maps_all\R11\R11-1166","\\imagefiles.bcgov\imagery\scanned_maps\moe_terrain_maps\Scanned_T_maps_all\R11\R11-1166")</f>
        <v>\\imagefiles.bcgov\imagery\scanned_maps\moe_terrain_maps\Scanned_T_maps_all\R11\R11-1166</v>
      </c>
      <c r="S2740" t="s">
        <v>62</v>
      </c>
      <c r="T2740" s="11" t="str">
        <f>HYPERLINK("http://www.env.gov.bc.ca/esd/distdata/ecosystems/TEI_Scanned_Maps/R11/R11-1166","http://www.env.gov.bc.ca/esd/distdata/ecosystems/TEI_Scanned_Maps/R11/R11-1166")</f>
        <v>http://www.env.gov.bc.ca/esd/distdata/ecosystems/TEI_Scanned_Maps/R11/R11-1166</v>
      </c>
      <c r="U2740" t="s">
        <v>3353</v>
      </c>
      <c r="V2740" s="11" t="str">
        <f t="shared" si="169"/>
        <v>http://www.env.gov.bc.ca/esd/distdata/ecosystems/Soil_Data/CAPAMP/</v>
      </c>
      <c r="W2740" t="s">
        <v>269</v>
      </c>
      <c r="X2740" s="11" t="str">
        <f t="shared" si="170"/>
        <v>http://www.library.for.gov.bc.ca/#focus</v>
      </c>
      <c r="Y2740" t="s">
        <v>58</v>
      </c>
      <c r="Z2740" t="s">
        <v>58</v>
      </c>
      <c r="AA2740" t="s">
        <v>58</v>
      </c>
      <c r="AC2740" t="s">
        <v>58</v>
      </c>
      <c r="AE2740" t="s">
        <v>58</v>
      </c>
      <c r="AG2740" t="s">
        <v>63</v>
      </c>
      <c r="AH2740" s="11" t="str">
        <f t="shared" si="168"/>
        <v>mailto: soilterrain@victoria1.gov.bc.ca</v>
      </c>
    </row>
    <row r="2741" spans="1:34">
      <c r="A2741" t="s">
        <v>5992</v>
      </c>
      <c r="B2741" t="s">
        <v>56</v>
      </c>
      <c r="C2741" s="10" t="s">
        <v>5354</v>
      </c>
      <c r="D2741" t="s">
        <v>58</v>
      </c>
      <c r="E2741" t="s">
        <v>3063</v>
      </c>
      <c r="F2741" t="s">
        <v>5987</v>
      </c>
      <c r="G2741">
        <v>20000</v>
      </c>
      <c r="H2741">
        <v>1970</v>
      </c>
      <c r="I2741" t="s">
        <v>5651</v>
      </c>
      <c r="J2741" t="s">
        <v>58</v>
      </c>
      <c r="K2741" t="s">
        <v>58</v>
      </c>
      <c r="L2741" t="s">
        <v>61</v>
      </c>
      <c r="M2741" t="s">
        <v>58</v>
      </c>
      <c r="Q2741" t="s">
        <v>58</v>
      </c>
      <c r="R2741" s="11" t="str">
        <f>HYPERLINK("\\imagefiles.bcgov\imagery\scanned_maps\moe_terrain_maps\Scanned_T_maps_all\R11\R11-1190","\\imagefiles.bcgov\imagery\scanned_maps\moe_terrain_maps\Scanned_T_maps_all\R11\R11-1190")</f>
        <v>\\imagefiles.bcgov\imagery\scanned_maps\moe_terrain_maps\Scanned_T_maps_all\R11\R11-1190</v>
      </c>
      <c r="S2741" t="s">
        <v>62</v>
      </c>
      <c r="T2741" s="11" t="str">
        <f>HYPERLINK("http://www.env.gov.bc.ca/esd/distdata/ecosystems/TEI_Scanned_Maps/R11/R11-1190","http://www.env.gov.bc.ca/esd/distdata/ecosystems/TEI_Scanned_Maps/R11/R11-1190")</f>
        <v>http://www.env.gov.bc.ca/esd/distdata/ecosystems/TEI_Scanned_Maps/R11/R11-1190</v>
      </c>
      <c r="U2741" t="s">
        <v>3353</v>
      </c>
      <c r="V2741" s="11" t="str">
        <f t="shared" si="169"/>
        <v>http://www.env.gov.bc.ca/esd/distdata/ecosystems/Soil_Data/CAPAMP/</v>
      </c>
      <c r="W2741" t="s">
        <v>269</v>
      </c>
      <c r="X2741" s="11" t="str">
        <f t="shared" si="170"/>
        <v>http://www.library.for.gov.bc.ca/#focus</v>
      </c>
      <c r="Y2741" t="s">
        <v>58</v>
      </c>
      <c r="Z2741" t="s">
        <v>58</v>
      </c>
      <c r="AA2741" t="s">
        <v>58</v>
      </c>
      <c r="AC2741" t="s">
        <v>58</v>
      </c>
      <c r="AE2741" t="s">
        <v>58</v>
      </c>
      <c r="AG2741" t="s">
        <v>63</v>
      </c>
      <c r="AH2741" s="11" t="str">
        <f t="shared" si="168"/>
        <v>mailto: soilterrain@victoria1.gov.bc.ca</v>
      </c>
    </row>
    <row r="2742" spans="1:34">
      <c r="A2742" t="s">
        <v>5993</v>
      </c>
      <c r="B2742" t="s">
        <v>56</v>
      </c>
      <c r="C2742" s="10" t="s">
        <v>5356</v>
      </c>
      <c r="D2742" t="s">
        <v>58</v>
      </c>
      <c r="E2742" t="s">
        <v>3063</v>
      </c>
      <c r="F2742" t="s">
        <v>5987</v>
      </c>
      <c r="G2742">
        <v>20000</v>
      </c>
      <c r="H2742">
        <v>1972</v>
      </c>
      <c r="I2742" t="s">
        <v>5651</v>
      </c>
      <c r="J2742" t="s">
        <v>58</v>
      </c>
      <c r="K2742" t="s">
        <v>58</v>
      </c>
      <c r="L2742" t="s">
        <v>61</v>
      </c>
      <c r="M2742" t="s">
        <v>58</v>
      </c>
      <c r="Q2742" t="s">
        <v>58</v>
      </c>
      <c r="R2742" s="11" t="str">
        <f>HYPERLINK("\\imagefiles.bcgov\imagery\scanned_maps\moe_terrain_maps\Scanned_T_maps_all\R11\R11-1198","\\imagefiles.bcgov\imagery\scanned_maps\moe_terrain_maps\Scanned_T_maps_all\R11\R11-1198")</f>
        <v>\\imagefiles.bcgov\imagery\scanned_maps\moe_terrain_maps\Scanned_T_maps_all\R11\R11-1198</v>
      </c>
      <c r="S2742" t="s">
        <v>62</v>
      </c>
      <c r="T2742" s="11" t="str">
        <f>HYPERLINK("http://www.env.gov.bc.ca/esd/distdata/ecosystems/TEI_Scanned_Maps/R11/R11-1198","http://www.env.gov.bc.ca/esd/distdata/ecosystems/TEI_Scanned_Maps/R11/R11-1198")</f>
        <v>http://www.env.gov.bc.ca/esd/distdata/ecosystems/TEI_Scanned_Maps/R11/R11-1198</v>
      </c>
      <c r="U2742" t="s">
        <v>3353</v>
      </c>
      <c r="V2742" s="11" t="str">
        <f t="shared" si="169"/>
        <v>http://www.env.gov.bc.ca/esd/distdata/ecosystems/Soil_Data/CAPAMP/</v>
      </c>
      <c r="W2742" t="s">
        <v>269</v>
      </c>
      <c r="X2742" s="11" t="str">
        <f t="shared" si="170"/>
        <v>http://www.library.for.gov.bc.ca/#focus</v>
      </c>
      <c r="Y2742" t="s">
        <v>58</v>
      </c>
      <c r="Z2742" t="s">
        <v>58</v>
      </c>
      <c r="AA2742" t="s">
        <v>58</v>
      </c>
      <c r="AC2742" t="s">
        <v>58</v>
      </c>
      <c r="AE2742" t="s">
        <v>58</v>
      </c>
      <c r="AG2742" t="s">
        <v>63</v>
      </c>
      <c r="AH2742" s="11" t="str">
        <f t="shared" si="168"/>
        <v>mailto: soilterrain@victoria1.gov.bc.ca</v>
      </c>
    </row>
    <row r="2743" spans="1:34">
      <c r="A2743" t="s">
        <v>5994</v>
      </c>
      <c r="B2743" t="s">
        <v>56</v>
      </c>
      <c r="C2743" s="10" t="s">
        <v>5358</v>
      </c>
      <c r="D2743" t="s">
        <v>58</v>
      </c>
      <c r="E2743" t="s">
        <v>3063</v>
      </c>
      <c r="F2743" t="s">
        <v>5650</v>
      </c>
      <c r="G2743">
        <v>20000</v>
      </c>
      <c r="H2743">
        <v>1970</v>
      </c>
      <c r="I2743" t="s">
        <v>5651</v>
      </c>
      <c r="J2743" t="s">
        <v>58</v>
      </c>
      <c r="K2743" t="s">
        <v>58</v>
      </c>
      <c r="L2743" t="s">
        <v>61</v>
      </c>
      <c r="M2743" t="s">
        <v>58</v>
      </c>
      <c r="Q2743" t="s">
        <v>58</v>
      </c>
      <c r="R2743" s="11" t="str">
        <f>HYPERLINK("\\imagefiles.bcgov\imagery\scanned_maps\moe_terrain_maps\Scanned_T_maps_all\R11\R11-1206","\\imagefiles.bcgov\imagery\scanned_maps\moe_terrain_maps\Scanned_T_maps_all\R11\R11-1206")</f>
        <v>\\imagefiles.bcgov\imagery\scanned_maps\moe_terrain_maps\Scanned_T_maps_all\R11\R11-1206</v>
      </c>
      <c r="S2743" t="s">
        <v>62</v>
      </c>
      <c r="T2743" s="11" t="str">
        <f>HYPERLINK("http://www.env.gov.bc.ca/esd/distdata/ecosystems/TEI_Scanned_Maps/R11/R11-1206","http://www.env.gov.bc.ca/esd/distdata/ecosystems/TEI_Scanned_Maps/R11/R11-1206")</f>
        <v>http://www.env.gov.bc.ca/esd/distdata/ecosystems/TEI_Scanned_Maps/R11/R11-1206</v>
      </c>
      <c r="U2743" t="s">
        <v>3353</v>
      </c>
      <c r="V2743" s="11" t="str">
        <f t="shared" si="169"/>
        <v>http://www.env.gov.bc.ca/esd/distdata/ecosystems/Soil_Data/CAPAMP/</v>
      </c>
      <c r="W2743" t="s">
        <v>269</v>
      </c>
      <c r="X2743" s="11" t="str">
        <f t="shared" si="170"/>
        <v>http://www.library.for.gov.bc.ca/#focus</v>
      </c>
      <c r="Y2743" t="s">
        <v>58</v>
      </c>
      <c r="Z2743" t="s">
        <v>58</v>
      </c>
      <c r="AA2743" t="s">
        <v>58</v>
      </c>
      <c r="AC2743" t="s">
        <v>58</v>
      </c>
      <c r="AE2743" t="s">
        <v>58</v>
      </c>
      <c r="AG2743" t="s">
        <v>63</v>
      </c>
      <c r="AH2743" s="11" t="str">
        <f t="shared" si="168"/>
        <v>mailto: soilterrain@victoria1.gov.bc.ca</v>
      </c>
    </row>
    <row r="2744" spans="1:34">
      <c r="A2744" t="s">
        <v>5995</v>
      </c>
      <c r="B2744" t="s">
        <v>56</v>
      </c>
      <c r="C2744" s="10" t="s">
        <v>5360</v>
      </c>
      <c r="D2744" t="s">
        <v>58</v>
      </c>
      <c r="E2744" t="s">
        <v>3063</v>
      </c>
      <c r="F2744" t="s">
        <v>5650</v>
      </c>
      <c r="G2744">
        <v>20000</v>
      </c>
      <c r="H2744">
        <v>1972</v>
      </c>
      <c r="I2744" t="s">
        <v>5651</v>
      </c>
      <c r="J2744" t="s">
        <v>58</v>
      </c>
      <c r="K2744" t="s">
        <v>58</v>
      </c>
      <c r="L2744" t="s">
        <v>61</v>
      </c>
      <c r="M2744" t="s">
        <v>58</v>
      </c>
      <c r="Q2744" t="s">
        <v>58</v>
      </c>
      <c r="R2744" s="11" t="str">
        <f>HYPERLINK("\\imagefiles.bcgov\imagery\scanned_maps\moe_terrain_maps\Scanned_T_maps_all\R11\R11-1214","\\imagefiles.bcgov\imagery\scanned_maps\moe_terrain_maps\Scanned_T_maps_all\R11\R11-1214")</f>
        <v>\\imagefiles.bcgov\imagery\scanned_maps\moe_terrain_maps\Scanned_T_maps_all\R11\R11-1214</v>
      </c>
      <c r="S2744" t="s">
        <v>62</v>
      </c>
      <c r="T2744" s="11" t="str">
        <f>HYPERLINK("http://www.env.gov.bc.ca/esd/distdata/ecosystems/TEI_Scanned_Maps/R11/R11-1214","http://www.env.gov.bc.ca/esd/distdata/ecosystems/TEI_Scanned_Maps/R11/R11-1214")</f>
        <v>http://www.env.gov.bc.ca/esd/distdata/ecosystems/TEI_Scanned_Maps/R11/R11-1214</v>
      </c>
      <c r="U2744" t="s">
        <v>3353</v>
      </c>
      <c r="V2744" s="11" t="str">
        <f t="shared" si="169"/>
        <v>http://www.env.gov.bc.ca/esd/distdata/ecosystems/Soil_Data/CAPAMP/</v>
      </c>
      <c r="W2744" t="s">
        <v>269</v>
      </c>
      <c r="X2744" s="11" t="str">
        <f t="shared" si="170"/>
        <v>http://www.library.for.gov.bc.ca/#focus</v>
      </c>
      <c r="Y2744" t="s">
        <v>58</v>
      </c>
      <c r="Z2744" t="s">
        <v>58</v>
      </c>
      <c r="AA2744" t="s">
        <v>58</v>
      </c>
      <c r="AC2744" t="s">
        <v>58</v>
      </c>
      <c r="AE2744" t="s">
        <v>58</v>
      </c>
      <c r="AG2744" t="s">
        <v>63</v>
      </c>
      <c r="AH2744" s="11" t="str">
        <f t="shared" si="168"/>
        <v>mailto: soilterrain@victoria1.gov.bc.ca</v>
      </c>
    </row>
    <row r="2745" spans="1:34">
      <c r="A2745" t="s">
        <v>5996</v>
      </c>
      <c r="B2745" t="s">
        <v>56</v>
      </c>
      <c r="C2745" s="10" t="s">
        <v>5362</v>
      </c>
      <c r="D2745" t="s">
        <v>58</v>
      </c>
      <c r="E2745" t="s">
        <v>3063</v>
      </c>
      <c r="F2745" t="s">
        <v>5650</v>
      </c>
      <c r="G2745">
        <v>20000</v>
      </c>
      <c r="H2745">
        <v>1970</v>
      </c>
      <c r="I2745" t="s">
        <v>5651</v>
      </c>
      <c r="J2745" t="s">
        <v>58</v>
      </c>
      <c r="K2745" t="s">
        <v>58</v>
      </c>
      <c r="L2745" t="s">
        <v>61</v>
      </c>
      <c r="M2745" t="s">
        <v>58</v>
      </c>
      <c r="Q2745" t="s">
        <v>58</v>
      </c>
      <c r="R2745" s="11" t="str">
        <f>HYPERLINK("\\imagefiles.bcgov\imagery\scanned_maps\moe_terrain_maps\Scanned_T_maps_all\R11\R11-1222","\\imagefiles.bcgov\imagery\scanned_maps\moe_terrain_maps\Scanned_T_maps_all\R11\R11-1222")</f>
        <v>\\imagefiles.bcgov\imagery\scanned_maps\moe_terrain_maps\Scanned_T_maps_all\R11\R11-1222</v>
      </c>
      <c r="S2745" t="s">
        <v>62</v>
      </c>
      <c r="T2745" s="11" t="str">
        <f>HYPERLINK("http://www.env.gov.bc.ca/esd/distdata/ecosystems/TEI_Scanned_Maps/R11/R11-1222","http://www.env.gov.bc.ca/esd/distdata/ecosystems/TEI_Scanned_Maps/R11/R11-1222")</f>
        <v>http://www.env.gov.bc.ca/esd/distdata/ecosystems/TEI_Scanned_Maps/R11/R11-1222</v>
      </c>
      <c r="U2745" t="s">
        <v>3353</v>
      </c>
      <c r="V2745" s="11" t="str">
        <f t="shared" si="169"/>
        <v>http://www.env.gov.bc.ca/esd/distdata/ecosystems/Soil_Data/CAPAMP/</v>
      </c>
      <c r="W2745" t="s">
        <v>269</v>
      </c>
      <c r="X2745" s="11" t="str">
        <f t="shared" si="170"/>
        <v>http://www.library.for.gov.bc.ca/#focus</v>
      </c>
      <c r="Y2745" t="s">
        <v>58</v>
      </c>
      <c r="Z2745" t="s">
        <v>58</v>
      </c>
      <c r="AA2745" t="s">
        <v>58</v>
      </c>
      <c r="AC2745" t="s">
        <v>58</v>
      </c>
      <c r="AE2745" t="s">
        <v>58</v>
      </c>
      <c r="AG2745" t="s">
        <v>63</v>
      </c>
      <c r="AH2745" s="11" t="str">
        <f t="shared" si="168"/>
        <v>mailto: soilterrain@victoria1.gov.bc.ca</v>
      </c>
    </row>
    <row r="2746" spans="1:34">
      <c r="A2746" t="s">
        <v>5997</v>
      </c>
      <c r="B2746" t="s">
        <v>56</v>
      </c>
      <c r="C2746" s="10" t="s">
        <v>5589</v>
      </c>
      <c r="D2746" t="s">
        <v>58</v>
      </c>
      <c r="E2746" t="s">
        <v>3063</v>
      </c>
      <c r="F2746" t="s">
        <v>5650</v>
      </c>
      <c r="G2746">
        <v>20000</v>
      </c>
      <c r="H2746">
        <v>1972</v>
      </c>
      <c r="I2746" t="s">
        <v>5651</v>
      </c>
      <c r="J2746" t="s">
        <v>58</v>
      </c>
      <c r="K2746" t="s">
        <v>58</v>
      </c>
      <c r="L2746" t="s">
        <v>61</v>
      </c>
      <c r="M2746" t="s">
        <v>58</v>
      </c>
      <c r="Q2746" t="s">
        <v>58</v>
      </c>
      <c r="R2746" s="11" t="str">
        <f>HYPERLINK("\\imagefiles.bcgov\imagery\scanned_maps\moe_terrain_maps\Scanned_T_maps_all\R11\R11-1228","\\imagefiles.bcgov\imagery\scanned_maps\moe_terrain_maps\Scanned_T_maps_all\R11\R11-1228")</f>
        <v>\\imagefiles.bcgov\imagery\scanned_maps\moe_terrain_maps\Scanned_T_maps_all\R11\R11-1228</v>
      </c>
      <c r="S2746" t="s">
        <v>62</v>
      </c>
      <c r="T2746" s="11" t="str">
        <f>HYPERLINK("http://www.env.gov.bc.ca/esd/distdata/ecosystems/TEI_Scanned_Maps/R11/R11-1228","http://www.env.gov.bc.ca/esd/distdata/ecosystems/TEI_Scanned_Maps/R11/R11-1228")</f>
        <v>http://www.env.gov.bc.ca/esd/distdata/ecosystems/TEI_Scanned_Maps/R11/R11-1228</v>
      </c>
      <c r="U2746" t="s">
        <v>3353</v>
      </c>
      <c r="V2746" s="11" t="str">
        <f t="shared" si="169"/>
        <v>http://www.env.gov.bc.ca/esd/distdata/ecosystems/Soil_Data/CAPAMP/</v>
      </c>
      <c r="W2746" t="s">
        <v>269</v>
      </c>
      <c r="X2746" s="11" t="str">
        <f t="shared" si="170"/>
        <v>http://www.library.for.gov.bc.ca/#focus</v>
      </c>
      <c r="Y2746" t="s">
        <v>58</v>
      </c>
      <c r="Z2746" t="s">
        <v>58</v>
      </c>
      <c r="AA2746" t="s">
        <v>58</v>
      </c>
      <c r="AC2746" t="s">
        <v>58</v>
      </c>
      <c r="AE2746" t="s">
        <v>58</v>
      </c>
      <c r="AG2746" t="s">
        <v>63</v>
      </c>
      <c r="AH2746" s="11" t="str">
        <f t="shared" si="168"/>
        <v>mailto: soilterrain@victoria1.gov.bc.ca</v>
      </c>
    </row>
    <row r="2747" spans="1:34">
      <c r="A2747" t="s">
        <v>5998</v>
      </c>
      <c r="B2747" t="s">
        <v>56</v>
      </c>
      <c r="C2747" s="10" t="s">
        <v>5365</v>
      </c>
      <c r="D2747" t="s">
        <v>58</v>
      </c>
      <c r="E2747" t="s">
        <v>3063</v>
      </c>
      <c r="F2747" t="s">
        <v>5650</v>
      </c>
      <c r="G2747">
        <v>20000</v>
      </c>
      <c r="H2747">
        <v>1970</v>
      </c>
      <c r="I2747" t="s">
        <v>5651</v>
      </c>
      <c r="J2747" t="s">
        <v>58</v>
      </c>
      <c r="K2747" t="s">
        <v>58</v>
      </c>
      <c r="L2747" t="s">
        <v>61</v>
      </c>
      <c r="M2747" t="s">
        <v>58</v>
      </c>
      <c r="Q2747" t="s">
        <v>58</v>
      </c>
      <c r="R2747" s="11" t="str">
        <f>HYPERLINK("\\imagefiles.bcgov\imagery\scanned_maps\moe_terrain_maps\Scanned_T_maps_all\R11\R11-1236","\\imagefiles.bcgov\imagery\scanned_maps\moe_terrain_maps\Scanned_T_maps_all\R11\R11-1236")</f>
        <v>\\imagefiles.bcgov\imagery\scanned_maps\moe_terrain_maps\Scanned_T_maps_all\R11\R11-1236</v>
      </c>
      <c r="S2747" t="s">
        <v>62</v>
      </c>
      <c r="T2747" s="11" t="str">
        <f>HYPERLINK("http://www.env.gov.bc.ca/esd/distdata/ecosystems/TEI_Scanned_Maps/R11/R11-1236","http://www.env.gov.bc.ca/esd/distdata/ecosystems/TEI_Scanned_Maps/R11/R11-1236")</f>
        <v>http://www.env.gov.bc.ca/esd/distdata/ecosystems/TEI_Scanned_Maps/R11/R11-1236</v>
      </c>
      <c r="U2747" t="s">
        <v>3353</v>
      </c>
      <c r="V2747" s="11" t="str">
        <f t="shared" si="169"/>
        <v>http://www.env.gov.bc.ca/esd/distdata/ecosystems/Soil_Data/CAPAMP/</v>
      </c>
      <c r="W2747" t="s">
        <v>269</v>
      </c>
      <c r="X2747" s="11" t="str">
        <f t="shared" si="170"/>
        <v>http://www.library.for.gov.bc.ca/#focus</v>
      </c>
      <c r="Y2747" t="s">
        <v>58</v>
      </c>
      <c r="Z2747" t="s">
        <v>58</v>
      </c>
      <c r="AA2747" t="s">
        <v>58</v>
      </c>
      <c r="AC2747" t="s">
        <v>58</v>
      </c>
      <c r="AE2747" t="s">
        <v>58</v>
      </c>
      <c r="AG2747" t="s">
        <v>63</v>
      </c>
      <c r="AH2747" s="11" t="str">
        <f t="shared" si="168"/>
        <v>mailto: soilterrain@victoria1.gov.bc.ca</v>
      </c>
    </row>
    <row r="2748" spans="1:34">
      <c r="A2748" t="s">
        <v>5999</v>
      </c>
      <c r="B2748" t="s">
        <v>56</v>
      </c>
      <c r="C2748" s="10" t="s">
        <v>5367</v>
      </c>
      <c r="D2748" t="s">
        <v>58</v>
      </c>
      <c r="E2748" t="s">
        <v>3063</v>
      </c>
      <c r="F2748" t="s">
        <v>5650</v>
      </c>
      <c r="G2748">
        <v>20000</v>
      </c>
      <c r="H2748">
        <v>1972</v>
      </c>
      <c r="I2748" t="s">
        <v>5651</v>
      </c>
      <c r="J2748" t="s">
        <v>58</v>
      </c>
      <c r="K2748" t="s">
        <v>58</v>
      </c>
      <c r="L2748" t="s">
        <v>61</v>
      </c>
      <c r="M2748" t="s">
        <v>58</v>
      </c>
      <c r="Q2748" t="s">
        <v>58</v>
      </c>
      <c r="R2748" s="11" t="str">
        <f>HYPERLINK("\\imagefiles.bcgov\imagery\scanned_maps\moe_terrain_maps\Scanned_T_maps_all\R11\R11-1244","\\imagefiles.bcgov\imagery\scanned_maps\moe_terrain_maps\Scanned_T_maps_all\R11\R11-1244")</f>
        <v>\\imagefiles.bcgov\imagery\scanned_maps\moe_terrain_maps\Scanned_T_maps_all\R11\R11-1244</v>
      </c>
      <c r="S2748" t="s">
        <v>62</v>
      </c>
      <c r="T2748" s="11" t="str">
        <f>HYPERLINK("http://www.env.gov.bc.ca/esd/distdata/ecosystems/TEI_Scanned_Maps/R11/R11-1244","http://www.env.gov.bc.ca/esd/distdata/ecosystems/TEI_Scanned_Maps/R11/R11-1244")</f>
        <v>http://www.env.gov.bc.ca/esd/distdata/ecosystems/TEI_Scanned_Maps/R11/R11-1244</v>
      </c>
      <c r="U2748" t="s">
        <v>3353</v>
      </c>
      <c r="V2748" s="11" t="str">
        <f t="shared" si="169"/>
        <v>http://www.env.gov.bc.ca/esd/distdata/ecosystems/Soil_Data/CAPAMP/</v>
      </c>
      <c r="W2748" t="s">
        <v>269</v>
      </c>
      <c r="X2748" s="11" t="str">
        <f t="shared" si="170"/>
        <v>http://www.library.for.gov.bc.ca/#focus</v>
      </c>
      <c r="Y2748" t="s">
        <v>58</v>
      </c>
      <c r="Z2748" t="s">
        <v>58</v>
      </c>
      <c r="AA2748" t="s">
        <v>58</v>
      </c>
      <c r="AC2748" t="s">
        <v>58</v>
      </c>
      <c r="AE2748" t="s">
        <v>58</v>
      </c>
      <c r="AG2748" t="s">
        <v>63</v>
      </c>
      <c r="AH2748" s="11" t="str">
        <f t="shared" si="168"/>
        <v>mailto: soilterrain@victoria1.gov.bc.ca</v>
      </c>
    </row>
    <row r="2749" spans="1:34">
      <c r="A2749" t="s">
        <v>6000</v>
      </c>
      <c r="B2749" t="s">
        <v>56</v>
      </c>
      <c r="C2749" s="10" t="s">
        <v>5369</v>
      </c>
      <c r="D2749" t="s">
        <v>58</v>
      </c>
      <c r="E2749" t="s">
        <v>3063</v>
      </c>
      <c r="F2749" t="s">
        <v>5650</v>
      </c>
      <c r="G2749">
        <v>20000</v>
      </c>
      <c r="H2749">
        <v>1969</v>
      </c>
      <c r="I2749" t="s">
        <v>5651</v>
      </c>
      <c r="J2749" t="s">
        <v>58</v>
      </c>
      <c r="K2749" t="s">
        <v>58</v>
      </c>
      <c r="L2749" t="s">
        <v>61</v>
      </c>
      <c r="M2749" t="s">
        <v>58</v>
      </c>
      <c r="Q2749" t="s">
        <v>58</v>
      </c>
      <c r="R2749" s="11" t="str">
        <f>HYPERLINK("\\imagefiles.bcgov\imagery\scanned_maps\moe_terrain_maps\Scanned_T_maps_all\R11\R11-1252","\\imagefiles.bcgov\imagery\scanned_maps\moe_terrain_maps\Scanned_T_maps_all\R11\R11-1252")</f>
        <v>\\imagefiles.bcgov\imagery\scanned_maps\moe_terrain_maps\Scanned_T_maps_all\R11\R11-1252</v>
      </c>
      <c r="S2749" t="s">
        <v>62</v>
      </c>
      <c r="T2749" s="11" t="str">
        <f>HYPERLINK("http://www.env.gov.bc.ca/esd/distdata/ecosystems/TEI_Scanned_Maps/R11/R11-1252","http://www.env.gov.bc.ca/esd/distdata/ecosystems/TEI_Scanned_Maps/R11/R11-1252")</f>
        <v>http://www.env.gov.bc.ca/esd/distdata/ecosystems/TEI_Scanned_Maps/R11/R11-1252</v>
      </c>
      <c r="U2749" t="s">
        <v>3353</v>
      </c>
      <c r="V2749" s="11" t="str">
        <f t="shared" si="169"/>
        <v>http://www.env.gov.bc.ca/esd/distdata/ecosystems/Soil_Data/CAPAMP/</v>
      </c>
      <c r="W2749" t="s">
        <v>269</v>
      </c>
      <c r="X2749" s="11" t="str">
        <f t="shared" si="170"/>
        <v>http://www.library.for.gov.bc.ca/#focus</v>
      </c>
      <c r="Y2749" t="s">
        <v>58</v>
      </c>
      <c r="Z2749" t="s">
        <v>58</v>
      </c>
      <c r="AA2749" t="s">
        <v>58</v>
      </c>
      <c r="AC2749" t="s">
        <v>58</v>
      </c>
      <c r="AE2749" t="s">
        <v>58</v>
      </c>
      <c r="AG2749" t="s">
        <v>63</v>
      </c>
      <c r="AH2749" s="11" t="str">
        <f t="shared" si="168"/>
        <v>mailto: soilterrain@victoria1.gov.bc.ca</v>
      </c>
    </row>
    <row r="2750" spans="1:34">
      <c r="A2750" t="s">
        <v>6001</v>
      </c>
      <c r="B2750" t="s">
        <v>56</v>
      </c>
      <c r="C2750" s="10" t="s">
        <v>5372</v>
      </c>
      <c r="D2750" t="s">
        <v>58</v>
      </c>
      <c r="E2750" t="s">
        <v>3063</v>
      </c>
      <c r="F2750" t="s">
        <v>5650</v>
      </c>
      <c r="G2750">
        <v>20000</v>
      </c>
      <c r="H2750">
        <v>1972</v>
      </c>
      <c r="I2750" t="s">
        <v>5651</v>
      </c>
      <c r="J2750" t="s">
        <v>58</v>
      </c>
      <c r="K2750" t="s">
        <v>58</v>
      </c>
      <c r="L2750" t="s">
        <v>61</v>
      </c>
      <c r="M2750" t="s">
        <v>58</v>
      </c>
      <c r="Q2750" t="s">
        <v>58</v>
      </c>
      <c r="R2750" s="11" t="str">
        <f>HYPERLINK("\\imagefiles.bcgov\imagery\scanned_maps\moe_terrain_maps\Scanned_T_maps_all\R11\R11-1260","\\imagefiles.bcgov\imagery\scanned_maps\moe_terrain_maps\Scanned_T_maps_all\R11\R11-1260")</f>
        <v>\\imagefiles.bcgov\imagery\scanned_maps\moe_terrain_maps\Scanned_T_maps_all\R11\R11-1260</v>
      </c>
      <c r="S2750" t="s">
        <v>62</v>
      </c>
      <c r="T2750" s="11" t="str">
        <f>HYPERLINK("http://www.env.gov.bc.ca/esd/distdata/ecosystems/TEI_Scanned_Maps/R11/R11-1260","http://www.env.gov.bc.ca/esd/distdata/ecosystems/TEI_Scanned_Maps/R11/R11-1260")</f>
        <v>http://www.env.gov.bc.ca/esd/distdata/ecosystems/TEI_Scanned_Maps/R11/R11-1260</v>
      </c>
      <c r="U2750" t="s">
        <v>3353</v>
      </c>
      <c r="V2750" s="11" t="str">
        <f t="shared" si="169"/>
        <v>http://www.env.gov.bc.ca/esd/distdata/ecosystems/Soil_Data/CAPAMP/</v>
      </c>
      <c r="W2750" t="s">
        <v>269</v>
      </c>
      <c r="X2750" s="11" t="str">
        <f t="shared" si="170"/>
        <v>http://www.library.for.gov.bc.ca/#focus</v>
      </c>
      <c r="Y2750" t="s">
        <v>58</v>
      </c>
      <c r="Z2750" t="s">
        <v>58</v>
      </c>
      <c r="AA2750" t="s">
        <v>58</v>
      </c>
      <c r="AC2750" t="s">
        <v>58</v>
      </c>
      <c r="AE2750" t="s">
        <v>58</v>
      </c>
      <c r="AG2750" t="s">
        <v>63</v>
      </c>
      <c r="AH2750" s="11" t="str">
        <f t="shared" si="168"/>
        <v>mailto: soilterrain@victoria1.gov.bc.ca</v>
      </c>
    </row>
    <row r="2751" spans="1:34">
      <c r="A2751" t="s">
        <v>6002</v>
      </c>
      <c r="B2751" t="s">
        <v>56</v>
      </c>
      <c r="C2751" s="10" t="s">
        <v>5033</v>
      </c>
      <c r="D2751" t="s">
        <v>58</v>
      </c>
      <c r="E2751" t="s">
        <v>3063</v>
      </c>
      <c r="F2751" t="s">
        <v>6003</v>
      </c>
      <c r="G2751">
        <v>20000</v>
      </c>
      <c r="H2751">
        <v>1969</v>
      </c>
      <c r="I2751" t="s">
        <v>5651</v>
      </c>
      <c r="J2751" t="s">
        <v>58</v>
      </c>
      <c r="K2751" t="s">
        <v>58</v>
      </c>
      <c r="L2751" t="s">
        <v>61</v>
      </c>
      <c r="M2751" t="s">
        <v>58</v>
      </c>
      <c r="Q2751" t="s">
        <v>58</v>
      </c>
      <c r="R2751" s="11" t="str">
        <f>HYPERLINK("\\imagefiles.bcgov\imagery\scanned_maps\moe_terrain_maps\Scanned_T_maps_all\R11\R11-1268","\\imagefiles.bcgov\imagery\scanned_maps\moe_terrain_maps\Scanned_T_maps_all\R11\R11-1268")</f>
        <v>\\imagefiles.bcgov\imagery\scanned_maps\moe_terrain_maps\Scanned_T_maps_all\R11\R11-1268</v>
      </c>
      <c r="S2751" t="s">
        <v>62</v>
      </c>
      <c r="T2751" s="11" t="str">
        <f>HYPERLINK("http://www.env.gov.bc.ca/esd/distdata/ecosystems/TEI_Scanned_Maps/R11/R11-1268","http://www.env.gov.bc.ca/esd/distdata/ecosystems/TEI_Scanned_Maps/R11/R11-1268")</f>
        <v>http://www.env.gov.bc.ca/esd/distdata/ecosystems/TEI_Scanned_Maps/R11/R11-1268</v>
      </c>
      <c r="U2751" t="s">
        <v>3353</v>
      </c>
      <c r="V2751" s="11" t="str">
        <f t="shared" si="169"/>
        <v>http://www.env.gov.bc.ca/esd/distdata/ecosystems/Soil_Data/CAPAMP/</v>
      </c>
      <c r="W2751" t="s">
        <v>269</v>
      </c>
      <c r="X2751" s="11" t="str">
        <f t="shared" si="170"/>
        <v>http://www.library.for.gov.bc.ca/#focus</v>
      </c>
      <c r="Y2751" t="s">
        <v>58</v>
      </c>
      <c r="Z2751" t="s">
        <v>58</v>
      </c>
      <c r="AA2751" t="s">
        <v>58</v>
      </c>
      <c r="AC2751" t="s">
        <v>58</v>
      </c>
      <c r="AE2751" t="s">
        <v>58</v>
      </c>
      <c r="AG2751" t="s">
        <v>63</v>
      </c>
      <c r="AH2751" s="11" t="str">
        <f t="shared" si="168"/>
        <v>mailto: soilterrain@victoria1.gov.bc.ca</v>
      </c>
    </row>
    <row r="2752" spans="1:34">
      <c r="A2752" t="s">
        <v>6004</v>
      </c>
      <c r="B2752" t="s">
        <v>56</v>
      </c>
      <c r="C2752" s="10" t="s">
        <v>5375</v>
      </c>
      <c r="D2752" t="s">
        <v>58</v>
      </c>
      <c r="E2752" t="s">
        <v>3063</v>
      </c>
      <c r="F2752" t="s">
        <v>6003</v>
      </c>
      <c r="G2752">
        <v>20000</v>
      </c>
      <c r="H2752">
        <v>1972</v>
      </c>
      <c r="I2752" t="s">
        <v>5651</v>
      </c>
      <c r="J2752" t="s">
        <v>58</v>
      </c>
      <c r="K2752" t="s">
        <v>58</v>
      </c>
      <c r="L2752" t="s">
        <v>61</v>
      </c>
      <c r="M2752" t="s">
        <v>58</v>
      </c>
      <c r="Q2752" t="s">
        <v>58</v>
      </c>
      <c r="R2752" s="11" t="str">
        <f>HYPERLINK("\\imagefiles.bcgov\imagery\scanned_maps\moe_terrain_maps\Scanned_T_maps_all\R11\R11-1276","\\imagefiles.bcgov\imagery\scanned_maps\moe_terrain_maps\Scanned_T_maps_all\R11\R11-1276")</f>
        <v>\\imagefiles.bcgov\imagery\scanned_maps\moe_terrain_maps\Scanned_T_maps_all\R11\R11-1276</v>
      </c>
      <c r="S2752" t="s">
        <v>62</v>
      </c>
      <c r="T2752" s="11" t="str">
        <f>HYPERLINK("http://www.env.gov.bc.ca/esd/distdata/ecosystems/TEI_Scanned_Maps/R11/R11-1276","http://www.env.gov.bc.ca/esd/distdata/ecosystems/TEI_Scanned_Maps/R11/R11-1276")</f>
        <v>http://www.env.gov.bc.ca/esd/distdata/ecosystems/TEI_Scanned_Maps/R11/R11-1276</v>
      </c>
      <c r="U2752" t="s">
        <v>3353</v>
      </c>
      <c r="V2752" s="11" t="str">
        <f t="shared" si="169"/>
        <v>http://www.env.gov.bc.ca/esd/distdata/ecosystems/Soil_Data/CAPAMP/</v>
      </c>
      <c r="W2752" t="s">
        <v>269</v>
      </c>
      <c r="X2752" s="11" t="str">
        <f t="shared" si="170"/>
        <v>http://www.library.for.gov.bc.ca/#focus</v>
      </c>
      <c r="Y2752" t="s">
        <v>58</v>
      </c>
      <c r="Z2752" t="s">
        <v>58</v>
      </c>
      <c r="AA2752" t="s">
        <v>58</v>
      </c>
      <c r="AC2752" t="s">
        <v>58</v>
      </c>
      <c r="AE2752" t="s">
        <v>58</v>
      </c>
      <c r="AG2752" t="s">
        <v>63</v>
      </c>
      <c r="AH2752" s="11" t="str">
        <f t="shared" si="168"/>
        <v>mailto: soilterrain@victoria1.gov.bc.ca</v>
      </c>
    </row>
    <row r="2753" spans="1:34">
      <c r="A2753" t="s">
        <v>6005</v>
      </c>
      <c r="B2753" t="s">
        <v>56</v>
      </c>
      <c r="C2753" s="10" t="s">
        <v>5096</v>
      </c>
      <c r="D2753" t="s">
        <v>58</v>
      </c>
      <c r="E2753" t="s">
        <v>3063</v>
      </c>
      <c r="F2753" t="s">
        <v>6003</v>
      </c>
      <c r="G2753">
        <v>20000</v>
      </c>
      <c r="H2753">
        <v>1972</v>
      </c>
      <c r="I2753" t="s">
        <v>5651</v>
      </c>
      <c r="J2753" t="s">
        <v>58</v>
      </c>
      <c r="K2753" t="s">
        <v>58</v>
      </c>
      <c r="L2753" t="s">
        <v>61</v>
      </c>
      <c r="M2753" t="s">
        <v>58</v>
      </c>
      <c r="Q2753" t="s">
        <v>58</v>
      </c>
      <c r="R2753" s="11" t="str">
        <f>HYPERLINK("\\imagefiles.bcgov\imagery\scanned_maps\moe_terrain_maps\Scanned_T_maps_all\R11\R11-1284","\\imagefiles.bcgov\imagery\scanned_maps\moe_terrain_maps\Scanned_T_maps_all\R11\R11-1284")</f>
        <v>\\imagefiles.bcgov\imagery\scanned_maps\moe_terrain_maps\Scanned_T_maps_all\R11\R11-1284</v>
      </c>
      <c r="S2753" t="s">
        <v>62</v>
      </c>
      <c r="T2753" s="11" t="str">
        <f>HYPERLINK("http://www.env.gov.bc.ca/esd/distdata/ecosystems/TEI_Scanned_Maps/R11/R11-1284","http://www.env.gov.bc.ca/esd/distdata/ecosystems/TEI_Scanned_Maps/R11/R11-1284")</f>
        <v>http://www.env.gov.bc.ca/esd/distdata/ecosystems/TEI_Scanned_Maps/R11/R11-1284</v>
      </c>
      <c r="U2753" t="s">
        <v>3353</v>
      </c>
      <c r="V2753" s="11" t="str">
        <f t="shared" si="169"/>
        <v>http://www.env.gov.bc.ca/esd/distdata/ecosystems/Soil_Data/CAPAMP/</v>
      </c>
      <c r="W2753" t="s">
        <v>269</v>
      </c>
      <c r="X2753" s="11" t="str">
        <f t="shared" si="170"/>
        <v>http://www.library.for.gov.bc.ca/#focus</v>
      </c>
      <c r="Y2753" t="s">
        <v>58</v>
      </c>
      <c r="Z2753" t="s">
        <v>58</v>
      </c>
      <c r="AA2753" t="s">
        <v>58</v>
      </c>
      <c r="AC2753" t="s">
        <v>58</v>
      </c>
      <c r="AE2753" t="s">
        <v>58</v>
      </c>
      <c r="AG2753" t="s">
        <v>63</v>
      </c>
      <c r="AH2753" s="11" t="str">
        <f t="shared" si="168"/>
        <v>mailto: soilterrain@victoria1.gov.bc.ca</v>
      </c>
    </row>
    <row r="2754" spans="1:34">
      <c r="A2754" t="s">
        <v>6006</v>
      </c>
      <c r="B2754" t="s">
        <v>56</v>
      </c>
      <c r="C2754" s="10" t="s">
        <v>5378</v>
      </c>
      <c r="D2754" t="s">
        <v>58</v>
      </c>
      <c r="E2754" t="s">
        <v>3063</v>
      </c>
      <c r="F2754" t="s">
        <v>6003</v>
      </c>
      <c r="G2754">
        <v>20000</v>
      </c>
      <c r="H2754" t="s">
        <v>187</v>
      </c>
      <c r="I2754" t="s">
        <v>5651</v>
      </c>
      <c r="J2754" t="s">
        <v>58</v>
      </c>
      <c r="K2754" t="s">
        <v>58</v>
      </c>
      <c r="L2754" t="s">
        <v>61</v>
      </c>
      <c r="M2754" t="s">
        <v>58</v>
      </c>
      <c r="Q2754" t="s">
        <v>58</v>
      </c>
      <c r="R2754" s="11" t="str">
        <f>HYPERLINK("\\imagefiles.bcgov\imagery\scanned_maps\moe_terrain_maps\Scanned_T_maps_all\R11\R11-1292","\\imagefiles.bcgov\imagery\scanned_maps\moe_terrain_maps\Scanned_T_maps_all\R11\R11-1292")</f>
        <v>\\imagefiles.bcgov\imagery\scanned_maps\moe_terrain_maps\Scanned_T_maps_all\R11\R11-1292</v>
      </c>
      <c r="S2754" t="s">
        <v>62</v>
      </c>
      <c r="T2754" s="11" t="str">
        <f>HYPERLINK("http://www.env.gov.bc.ca/esd/distdata/ecosystems/TEI_Scanned_Maps/R11/R11-1292","http://www.env.gov.bc.ca/esd/distdata/ecosystems/TEI_Scanned_Maps/R11/R11-1292")</f>
        <v>http://www.env.gov.bc.ca/esd/distdata/ecosystems/TEI_Scanned_Maps/R11/R11-1292</v>
      </c>
      <c r="U2754" t="s">
        <v>3353</v>
      </c>
      <c r="V2754" s="11" t="str">
        <f t="shared" si="169"/>
        <v>http://www.env.gov.bc.ca/esd/distdata/ecosystems/Soil_Data/CAPAMP/</v>
      </c>
      <c r="W2754" t="s">
        <v>269</v>
      </c>
      <c r="X2754" s="11" t="str">
        <f t="shared" si="170"/>
        <v>http://www.library.for.gov.bc.ca/#focus</v>
      </c>
      <c r="Y2754" t="s">
        <v>58</v>
      </c>
      <c r="Z2754" t="s">
        <v>58</v>
      </c>
      <c r="AA2754" t="s">
        <v>58</v>
      </c>
      <c r="AC2754" t="s">
        <v>58</v>
      </c>
      <c r="AE2754" t="s">
        <v>58</v>
      </c>
      <c r="AG2754" t="s">
        <v>63</v>
      </c>
      <c r="AH2754" s="11" t="str">
        <f t="shared" ref="AH2754:AH2817" si="171">HYPERLINK("mailto: soilterrain@victoria1.gov.bc.ca","mailto: soilterrain@victoria1.gov.bc.ca")</f>
        <v>mailto: soilterrain@victoria1.gov.bc.ca</v>
      </c>
    </row>
    <row r="2755" spans="1:34">
      <c r="A2755" t="s">
        <v>6007</v>
      </c>
      <c r="B2755" t="s">
        <v>56</v>
      </c>
      <c r="C2755" s="10" t="s">
        <v>5143</v>
      </c>
      <c r="D2755" t="s">
        <v>58</v>
      </c>
      <c r="E2755" t="s">
        <v>3063</v>
      </c>
      <c r="F2755" t="s">
        <v>6003</v>
      </c>
      <c r="G2755">
        <v>20000</v>
      </c>
      <c r="H2755">
        <v>1983</v>
      </c>
      <c r="I2755" t="s">
        <v>5651</v>
      </c>
      <c r="J2755" t="s">
        <v>58</v>
      </c>
      <c r="K2755" t="s">
        <v>58</v>
      </c>
      <c r="L2755" t="s">
        <v>61</v>
      </c>
      <c r="M2755" t="s">
        <v>58</v>
      </c>
      <c r="Q2755" t="s">
        <v>58</v>
      </c>
      <c r="R2755" s="11" t="str">
        <f>HYPERLINK("\\imagefiles.bcgov\imagery\scanned_maps\moe_terrain_maps\Scanned_T_maps_all\R11\R11-1300","\\imagefiles.bcgov\imagery\scanned_maps\moe_terrain_maps\Scanned_T_maps_all\R11\R11-1300")</f>
        <v>\\imagefiles.bcgov\imagery\scanned_maps\moe_terrain_maps\Scanned_T_maps_all\R11\R11-1300</v>
      </c>
      <c r="S2755" t="s">
        <v>62</v>
      </c>
      <c r="T2755" s="11" t="str">
        <f>HYPERLINK("http://www.env.gov.bc.ca/esd/distdata/ecosystems/TEI_Scanned_Maps/R11/R11-1300","http://www.env.gov.bc.ca/esd/distdata/ecosystems/TEI_Scanned_Maps/R11/R11-1300")</f>
        <v>http://www.env.gov.bc.ca/esd/distdata/ecosystems/TEI_Scanned_Maps/R11/R11-1300</v>
      </c>
      <c r="U2755" t="s">
        <v>3353</v>
      </c>
      <c r="V2755" s="11" t="str">
        <f t="shared" si="169"/>
        <v>http://www.env.gov.bc.ca/esd/distdata/ecosystems/Soil_Data/CAPAMP/</v>
      </c>
      <c r="W2755" t="s">
        <v>269</v>
      </c>
      <c r="X2755" s="11" t="str">
        <f t="shared" si="170"/>
        <v>http://www.library.for.gov.bc.ca/#focus</v>
      </c>
      <c r="Y2755" t="s">
        <v>58</v>
      </c>
      <c r="Z2755" t="s">
        <v>58</v>
      </c>
      <c r="AA2755" t="s">
        <v>58</v>
      </c>
      <c r="AC2755" t="s">
        <v>58</v>
      </c>
      <c r="AE2755" t="s">
        <v>58</v>
      </c>
      <c r="AG2755" t="s">
        <v>63</v>
      </c>
      <c r="AH2755" s="11" t="str">
        <f t="shared" si="171"/>
        <v>mailto: soilterrain@victoria1.gov.bc.ca</v>
      </c>
    </row>
    <row r="2756" spans="1:34">
      <c r="A2756" t="s">
        <v>6008</v>
      </c>
      <c r="B2756" t="s">
        <v>56</v>
      </c>
      <c r="C2756" s="10" t="s">
        <v>5381</v>
      </c>
      <c r="D2756" t="s">
        <v>58</v>
      </c>
      <c r="E2756" t="s">
        <v>3058</v>
      </c>
      <c r="F2756" t="s">
        <v>6003</v>
      </c>
      <c r="G2756">
        <v>20000</v>
      </c>
      <c r="H2756">
        <v>1975</v>
      </c>
      <c r="I2756" t="s">
        <v>5654</v>
      </c>
      <c r="J2756" t="s">
        <v>58</v>
      </c>
      <c r="K2756" t="s">
        <v>58</v>
      </c>
      <c r="L2756" t="s">
        <v>61</v>
      </c>
      <c r="M2756" t="s">
        <v>58</v>
      </c>
      <c r="Q2756" t="s">
        <v>58</v>
      </c>
      <c r="R2756" s="11" t="str">
        <f>HYPERLINK("\\imagefiles.bcgov\imagery\scanned_maps\moe_terrain_maps\Scanned_T_maps_all\R11\R11-1449","\\imagefiles.bcgov\imagery\scanned_maps\moe_terrain_maps\Scanned_T_maps_all\R11\R11-1449")</f>
        <v>\\imagefiles.bcgov\imagery\scanned_maps\moe_terrain_maps\Scanned_T_maps_all\R11\R11-1449</v>
      </c>
      <c r="S2756" t="s">
        <v>62</v>
      </c>
      <c r="T2756" s="11" t="str">
        <f>HYPERLINK("http://www.env.gov.bc.ca/esd/distdata/ecosystems/TEI_Scanned_Maps/R11/R11-1449","http://www.env.gov.bc.ca/esd/distdata/ecosystems/TEI_Scanned_Maps/R11/R11-1449")</f>
        <v>http://www.env.gov.bc.ca/esd/distdata/ecosystems/TEI_Scanned_Maps/R11/R11-1449</v>
      </c>
      <c r="U2756" t="s">
        <v>3353</v>
      </c>
      <c r="V2756" s="11" t="str">
        <f t="shared" si="169"/>
        <v>http://www.env.gov.bc.ca/esd/distdata/ecosystems/Soil_Data/CAPAMP/</v>
      </c>
      <c r="W2756" t="s">
        <v>269</v>
      </c>
      <c r="X2756" s="11" t="str">
        <f t="shared" si="170"/>
        <v>http://www.library.for.gov.bc.ca/#focus</v>
      </c>
      <c r="Y2756" t="s">
        <v>58</v>
      </c>
      <c r="Z2756" t="s">
        <v>58</v>
      </c>
      <c r="AA2756" t="s">
        <v>58</v>
      </c>
      <c r="AC2756" t="s">
        <v>58</v>
      </c>
      <c r="AE2756" t="s">
        <v>58</v>
      </c>
      <c r="AG2756" t="s">
        <v>63</v>
      </c>
      <c r="AH2756" s="11" t="str">
        <f t="shared" si="171"/>
        <v>mailto: soilterrain@victoria1.gov.bc.ca</v>
      </c>
    </row>
    <row r="2757" spans="1:34">
      <c r="A2757" t="s">
        <v>6009</v>
      </c>
      <c r="B2757" t="s">
        <v>56</v>
      </c>
      <c r="C2757" s="10" t="s">
        <v>5030</v>
      </c>
      <c r="D2757" t="s">
        <v>58</v>
      </c>
      <c r="E2757" t="s">
        <v>3058</v>
      </c>
      <c r="F2757" t="s">
        <v>5653</v>
      </c>
      <c r="G2757">
        <v>20000</v>
      </c>
      <c r="H2757">
        <v>1975</v>
      </c>
      <c r="I2757" t="s">
        <v>5654</v>
      </c>
      <c r="J2757" t="s">
        <v>58</v>
      </c>
      <c r="K2757" t="s">
        <v>58</v>
      </c>
      <c r="L2757" t="s">
        <v>61</v>
      </c>
      <c r="M2757" t="s">
        <v>58</v>
      </c>
      <c r="Q2757" t="s">
        <v>58</v>
      </c>
      <c r="R2757" s="11" t="str">
        <f>HYPERLINK("\\imagefiles.bcgov\imagery\scanned_maps\moe_terrain_maps\Scanned_T_maps_all\R11\R11-1457","\\imagefiles.bcgov\imagery\scanned_maps\moe_terrain_maps\Scanned_T_maps_all\R11\R11-1457")</f>
        <v>\\imagefiles.bcgov\imagery\scanned_maps\moe_terrain_maps\Scanned_T_maps_all\R11\R11-1457</v>
      </c>
      <c r="S2757" t="s">
        <v>62</v>
      </c>
      <c r="T2757" s="11" t="str">
        <f>HYPERLINK("http://www.env.gov.bc.ca/esd/distdata/ecosystems/TEI_Scanned_Maps/R11/R11-1457","http://www.env.gov.bc.ca/esd/distdata/ecosystems/TEI_Scanned_Maps/R11/R11-1457")</f>
        <v>http://www.env.gov.bc.ca/esd/distdata/ecosystems/TEI_Scanned_Maps/R11/R11-1457</v>
      </c>
      <c r="U2757" t="s">
        <v>3353</v>
      </c>
      <c r="V2757" s="11" t="str">
        <f t="shared" si="169"/>
        <v>http://www.env.gov.bc.ca/esd/distdata/ecosystems/Soil_Data/CAPAMP/</v>
      </c>
      <c r="W2757" t="s">
        <v>269</v>
      </c>
      <c r="X2757" s="11" t="str">
        <f t="shared" si="170"/>
        <v>http://www.library.for.gov.bc.ca/#focus</v>
      </c>
      <c r="Y2757" t="s">
        <v>58</v>
      </c>
      <c r="Z2757" t="s">
        <v>58</v>
      </c>
      <c r="AA2757" t="s">
        <v>58</v>
      </c>
      <c r="AC2757" t="s">
        <v>58</v>
      </c>
      <c r="AE2757" t="s">
        <v>58</v>
      </c>
      <c r="AG2757" t="s">
        <v>63</v>
      </c>
      <c r="AH2757" s="11" t="str">
        <f t="shared" si="171"/>
        <v>mailto: soilterrain@victoria1.gov.bc.ca</v>
      </c>
    </row>
    <row r="2758" spans="1:34">
      <c r="A2758" t="s">
        <v>6010</v>
      </c>
      <c r="B2758" t="s">
        <v>56</v>
      </c>
      <c r="C2758" s="10" t="s">
        <v>5022</v>
      </c>
      <c r="D2758" t="s">
        <v>58</v>
      </c>
      <c r="E2758" t="s">
        <v>3058</v>
      </c>
      <c r="F2758" t="s">
        <v>5653</v>
      </c>
      <c r="G2758">
        <v>20000</v>
      </c>
      <c r="H2758">
        <v>1975</v>
      </c>
      <c r="I2758" t="s">
        <v>5654</v>
      </c>
      <c r="J2758" t="s">
        <v>58</v>
      </c>
      <c r="K2758" t="s">
        <v>58</v>
      </c>
      <c r="L2758" t="s">
        <v>61</v>
      </c>
      <c r="M2758" t="s">
        <v>58</v>
      </c>
      <c r="Q2758" t="s">
        <v>58</v>
      </c>
      <c r="R2758" s="11" t="str">
        <f>HYPERLINK("\\imagefiles.bcgov\imagery\scanned_maps\moe_terrain_maps\Scanned_T_maps_all\R11\R11-1466","\\imagefiles.bcgov\imagery\scanned_maps\moe_terrain_maps\Scanned_T_maps_all\R11\R11-1466")</f>
        <v>\\imagefiles.bcgov\imagery\scanned_maps\moe_terrain_maps\Scanned_T_maps_all\R11\R11-1466</v>
      </c>
      <c r="S2758" t="s">
        <v>62</v>
      </c>
      <c r="T2758" s="11" t="str">
        <f>HYPERLINK("http://www.env.gov.bc.ca/esd/distdata/ecosystems/TEI_Scanned_Maps/R11/R11-1466","http://www.env.gov.bc.ca/esd/distdata/ecosystems/TEI_Scanned_Maps/R11/R11-1466")</f>
        <v>http://www.env.gov.bc.ca/esd/distdata/ecosystems/TEI_Scanned_Maps/R11/R11-1466</v>
      </c>
      <c r="U2758" t="s">
        <v>3353</v>
      </c>
      <c r="V2758" s="11" t="str">
        <f t="shared" si="169"/>
        <v>http://www.env.gov.bc.ca/esd/distdata/ecosystems/Soil_Data/CAPAMP/</v>
      </c>
      <c r="W2758" t="s">
        <v>269</v>
      </c>
      <c r="X2758" s="11" t="str">
        <f t="shared" si="170"/>
        <v>http://www.library.for.gov.bc.ca/#focus</v>
      </c>
      <c r="Y2758" t="s">
        <v>58</v>
      </c>
      <c r="Z2758" t="s">
        <v>58</v>
      </c>
      <c r="AA2758" t="s">
        <v>58</v>
      </c>
      <c r="AC2758" t="s">
        <v>58</v>
      </c>
      <c r="AE2758" t="s">
        <v>58</v>
      </c>
      <c r="AG2758" t="s">
        <v>63</v>
      </c>
      <c r="AH2758" s="11" t="str">
        <f t="shared" si="171"/>
        <v>mailto: soilterrain@victoria1.gov.bc.ca</v>
      </c>
    </row>
    <row r="2759" spans="1:34">
      <c r="A2759" t="s">
        <v>6011</v>
      </c>
      <c r="B2759" t="s">
        <v>56</v>
      </c>
      <c r="C2759" s="10" t="s">
        <v>5233</v>
      </c>
      <c r="D2759" t="s">
        <v>58</v>
      </c>
      <c r="E2759" t="s">
        <v>3058</v>
      </c>
      <c r="F2759" t="s">
        <v>5653</v>
      </c>
      <c r="G2759">
        <v>20000</v>
      </c>
      <c r="H2759">
        <v>1975</v>
      </c>
      <c r="I2759" t="s">
        <v>5654</v>
      </c>
      <c r="J2759" t="s">
        <v>58</v>
      </c>
      <c r="K2759" t="s">
        <v>58</v>
      </c>
      <c r="L2759" t="s">
        <v>61</v>
      </c>
      <c r="M2759" t="s">
        <v>58</v>
      </c>
      <c r="Q2759" t="s">
        <v>58</v>
      </c>
      <c r="R2759" s="11" t="str">
        <f>HYPERLINK("\\imagefiles.bcgov\imagery\scanned_maps\moe_terrain_maps\Scanned_T_maps_all\R11\R11-1476","\\imagefiles.bcgov\imagery\scanned_maps\moe_terrain_maps\Scanned_T_maps_all\R11\R11-1476")</f>
        <v>\\imagefiles.bcgov\imagery\scanned_maps\moe_terrain_maps\Scanned_T_maps_all\R11\R11-1476</v>
      </c>
      <c r="S2759" t="s">
        <v>62</v>
      </c>
      <c r="T2759" s="11" t="str">
        <f>HYPERLINK("http://www.env.gov.bc.ca/esd/distdata/ecosystems/TEI_Scanned_Maps/R11/R11-1476","http://www.env.gov.bc.ca/esd/distdata/ecosystems/TEI_Scanned_Maps/R11/R11-1476")</f>
        <v>http://www.env.gov.bc.ca/esd/distdata/ecosystems/TEI_Scanned_Maps/R11/R11-1476</v>
      </c>
      <c r="U2759" t="s">
        <v>3353</v>
      </c>
      <c r="V2759" s="11" t="str">
        <f t="shared" si="169"/>
        <v>http://www.env.gov.bc.ca/esd/distdata/ecosystems/Soil_Data/CAPAMP/</v>
      </c>
      <c r="W2759" t="s">
        <v>269</v>
      </c>
      <c r="X2759" s="11" t="str">
        <f t="shared" si="170"/>
        <v>http://www.library.for.gov.bc.ca/#focus</v>
      </c>
      <c r="Y2759" t="s">
        <v>58</v>
      </c>
      <c r="Z2759" t="s">
        <v>58</v>
      </c>
      <c r="AA2759" t="s">
        <v>58</v>
      </c>
      <c r="AC2759" t="s">
        <v>58</v>
      </c>
      <c r="AE2759" t="s">
        <v>58</v>
      </c>
      <c r="AG2759" t="s">
        <v>63</v>
      </c>
      <c r="AH2759" s="11" t="str">
        <f t="shared" si="171"/>
        <v>mailto: soilterrain@victoria1.gov.bc.ca</v>
      </c>
    </row>
    <row r="2760" spans="1:34">
      <c r="A2760" t="s">
        <v>6012</v>
      </c>
      <c r="B2760" t="s">
        <v>56</v>
      </c>
      <c r="C2760" s="10" t="s">
        <v>5458</v>
      </c>
      <c r="D2760" t="s">
        <v>58</v>
      </c>
      <c r="E2760" t="s">
        <v>3063</v>
      </c>
      <c r="F2760" t="s">
        <v>6013</v>
      </c>
      <c r="G2760">
        <v>20000</v>
      </c>
      <c r="H2760">
        <v>1975</v>
      </c>
      <c r="I2760" t="s">
        <v>6014</v>
      </c>
      <c r="J2760" t="s">
        <v>58</v>
      </c>
      <c r="K2760" t="s">
        <v>58</v>
      </c>
      <c r="L2760" t="s">
        <v>61</v>
      </c>
      <c r="M2760" t="s">
        <v>58</v>
      </c>
      <c r="Q2760" t="s">
        <v>58</v>
      </c>
      <c r="R2760" s="11" t="str">
        <f>HYPERLINK("\\imagefiles.bcgov\imagery\scanned_maps\moe_terrain_maps\Scanned_T_maps_all\R11\R11-950","\\imagefiles.bcgov\imagery\scanned_maps\moe_terrain_maps\Scanned_T_maps_all\R11\R11-950")</f>
        <v>\\imagefiles.bcgov\imagery\scanned_maps\moe_terrain_maps\Scanned_T_maps_all\R11\R11-950</v>
      </c>
      <c r="S2760" t="s">
        <v>62</v>
      </c>
      <c r="T2760" s="11" t="str">
        <f>HYPERLINK("http://www.env.gov.bc.ca/esd/distdata/ecosystems/TEI_Scanned_Maps/R11/R11-950","http://www.env.gov.bc.ca/esd/distdata/ecosystems/TEI_Scanned_Maps/R11/R11-950")</f>
        <v>http://www.env.gov.bc.ca/esd/distdata/ecosystems/TEI_Scanned_Maps/R11/R11-950</v>
      </c>
      <c r="U2760" t="s">
        <v>3353</v>
      </c>
      <c r="V2760" s="11" t="str">
        <f t="shared" si="169"/>
        <v>http://www.env.gov.bc.ca/esd/distdata/ecosystems/Soil_Data/CAPAMP/</v>
      </c>
      <c r="W2760" t="s">
        <v>58</v>
      </c>
      <c r="X2760" t="s">
        <v>58</v>
      </c>
      <c r="Y2760" t="s">
        <v>58</v>
      </c>
      <c r="Z2760" t="s">
        <v>58</v>
      </c>
      <c r="AA2760" t="s">
        <v>58</v>
      </c>
      <c r="AC2760" t="s">
        <v>58</v>
      </c>
      <c r="AE2760" t="s">
        <v>58</v>
      </c>
      <c r="AG2760" t="s">
        <v>63</v>
      </c>
      <c r="AH2760" s="11" t="str">
        <f t="shared" si="171"/>
        <v>mailto: soilterrain@victoria1.gov.bc.ca</v>
      </c>
    </row>
    <row r="2761" spans="1:34">
      <c r="A2761" t="s">
        <v>6015</v>
      </c>
      <c r="B2761" t="s">
        <v>56</v>
      </c>
      <c r="C2761" s="10" t="s">
        <v>5460</v>
      </c>
      <c r="D2761" t="s">
        <v>58</v>
      </c>
      <c r="E2761" t="s">
        <v>3063</v>
      </c>
      <c r="F2761" t="s">
        <v>5653</v>
      </c>
      <c r="G2761">
        <v>20000</v>
      </c>
      <c r="H2761">
        <v>1971</v>
      </c>
      <c r="I2761" t="s">
        <v>5654</v>
      </c>
      <c r="J2761" t="s">
        <v>58</v>
      </c>
      <c r="K2761" t="s">
        <v>58</v>
      </c>
      <c r="L2761" t="s">
        <v>61</v>
      </c>
      <c r="M2761" t="s">
        <v>58</v>
      </c>
      <c r="Q2761" t="s">
        <v>58</v>
      </c>
      <c r="R2761" s="11" t="str">
        <f>HYPERLINK("\\imagefiles.bcgov\imagery\scanned_maps\moe_terrain_maps\Scanned_T_maps_all\R11\R11-958","\\imagefiles.bcgov\imagery\scanned_maps\moe_terrain_maps\Scanned_T_maps_all\R11\R11-958")</f>
        <v>\\imagefiles.bcgov\imagery\scanned_maps\moe_terrain_maps\Scanned_T_maps_all\R11\R11-958</v>
      </c>
      <c r="S2761" t="s">
        <v>62</v>
      </c>
      <c r="T2761" s="11" t="str">
        <f>HYPERLINK("http://www.env.gov.bc.ca/esd/distdata/ecosystems/TEI_Scanned_Maps/R11/R11-958","http://www.env.gov.bc.ca/esd/distdata/ecosystems/TEI_Scanned_Maps/R11/R11-958")</f>
        <v>http://www.env.gov.bc.ca/esd/distdata/ecosystems/TEI_Scanned_Maps/R11/R11-958</v>
      </c>
      <c r="U2761" t="s">
        <v>3353</v>
      </c>
      <c r="V2761" s="11" t="str">
        <f t="shared" si="169"/>
        <v>http://www.env.gov.bc.ca/esd/distdata/ecosystems/Soil_Data/CAPAMP/</v>
      </c>
      <c r="W2761" t="s">
        <v>269</v>
      </c>
      <c r="X2761" s="11" t="str">
        <f>HYPERLINK("http://www.library.for.gov.bc.ca/#focus","http://www.library.for.gov.bc.ca/#focus")</f>
        <v>http://www.library.for.gov.bc.ca/#focus</v>
      </c>
      <c r="Y2761" t="s">
        <v>58</v>
      </c>
      <c r="Z2761" t="s">
        <v>58</v>
      </c>
      <c r="AA2761" t="s">
        <v>58</v>
      </c>
      <c r="AC2761" t="s">
        <v>58</v>
      </c>
      <c r="AE2761" t="s">
        <v>58</v>
      </c>
      <c r="AG2761" t="s">
        <v>63</v>
      </c>
      <c r="AH2761" s="11" t="str">
        <f t="shared" si="171"/>
        <v>mailto: soilterrain@victoria1.gov.bc.ca</v>
      </c>
    </row>
    <row r="2762" spans="1:34">
      <c r="A2762" t="s">
        <v>6016</v>
      </c>
      <c r="B2762" t="s">
        <v>56</v>
      </c>
      <c r="C2762" s="10" t="s">
        <v>5462</v>
      </c>
      <c r="D2762" t="s">
        <v>58</v>
      </c>
      <c r="E2762" t="s">
        <v>3063</v>
      </c>
      <c r="F2762" t="s">
        <v>6017</v>
      </c>
      <c r="G2762">
        <v>20000</v>
      </c>
      <c r="H2762">
        <v>1972</v>
      </c>
      <c r="I2762" t="s">
        <v>6018</v>
      </c>
      <c r="J2762" t="s">
        <v>58</v>
      </c>
      <c r="K2762" t="s">
        <v>58</v>
      </c>
      <c r="L2762" t="s">
        <v>61</v>
      </c>
      <c r="M2762" t="s">
        <v>58</v>
      </c>
      <c r="Q2762" t="s">
        <v>58</v>
      </c>
      <c r="R2762" s="11" t="str">
        <f>HYPERLINK("\\imagefiles.bcgov\imagery\scanned_maps\moe_terrain_maps\Scanned_T_maps_all\R11\R11-967","\\imagefiles.bcgov\imagery\scanned_maps\moe_terrain_maps\Scanned_T_maps_all\R11\R11-967")</f>
        <v>\\imagefiles.bcgov\imagery\scanned_maps\moe_terrain_maps\Scanned_T_maps_all\R11\R11-967</v>
      </c>
      <c r="S2762" t="s">
        <v>62</v>
      </c>
      <c r="T2762" s="11" t="str">
        <f>HYPERLINK("http://www.env.gov.bc.ca/esd/distdata/ecosystems/TEI_Scanned_Maps/R11/R11-967","http://www.env.gov.bc.ca/esd/distdata/ecosystems/TEI_Scanned_Maps/R11/R11-967")</f>
        <v>http://www.env.gov.bc.ca/esd/distdata/ecosystems/TEI_Scanned_Maps/R11/R11-967</v>
      </c>
      <c r="U2762" t="s">
        <v>3353</v>
      </c>
      <c r="V2762" s="11" t="str">
        <f t="shared" si="169"/>
        <v>http://www.env.gov.bc.ca/esd/distdata/ecosystems/Soil_Data/CAPAMP/</v>
      </c>
      <c r="W2762" t="s">
        <v>58</v>
      </c>
      <c r="X2762" t="s">
        <v>58</v>
      </c>
      <c r="Y2762" t="s">
        <v>58</v>
      </c>
      <c r="Z2762" t="s">
        <v>58</v>
      </c>
      <c r="AA2762" t="s">
        <v>58</v>
      </c>
      <c r="AC2762" t="s">
        <v>58</v>
      </c>
      <c r="AE2762" t="s">
        <v>58</v>
      </c>
      <c r="AG2762" t="s">
        <v>63</v>
      </c>
      <c r="AH2762" s="11" t="str">
        <f t="shared" si="171"/>
        <v>mailto: soilterrain@victoria1.gov.bc.ca</v>
      </c>
    </row>
    <row r="2763" spans="1:34">
      <c r="A2763" t="s">
        <v>6019</v>
      </c>
      <c r="B2763" t="s">
        <v>56</v>
      </c>
      <c r="C2763" s="10" t="s">
        <v>5464</v>
      </c>
      <c r="D2763" t="s">
        <v>58</v>
      </c>
      <c r="E2763" t="s">
        <v>3063</v>
      </c>
      <c r="F2763" t="s">
        <v>5653</v>
      </c>
      <c r="G2763">
        <v>20000</v>
      </c>
      <c r="H2763" t="s">
        <v>187</v>
      </c>
      <c r="I2763" t="s">
        <v>5654</v>
      </c>
      <c r="J2763" t="s">
        <v>58</v>
      </c>
      <c r="K2763" t="s">
        <v>58</v>
      </c>
      <c r="L2763" t="s">
        <v>61</v>
      </c>
      <c r="M2763" t="s">
        <v>58</v>
      </c>
      <c r="Q2763" t="s">
        <v>58</v>
      </c>
      <c r="R2763" s="11" t="str">
        <f>HYPERLINK("\\imagefiles.bcgov\imagery\scanned_maps\moe_terrain_maps\Scanned_T_maps_all\R11\R11-975","\\imagefiles.bcgov\imagery\scanned_maps\moe_terrain_maps\Scanned_T_maps_all\R11\R11-975")</f>
        <v>\\imagefiles.bcgov\imagery\scanned_maps\moe_terrain_maps\Scanned_T_maps_all\R11\R11-975</v>
      </c>
      <c r="S2763" t="s">
        <v>62</v>
      </c>
      <c r="T2763" s="11" t="str">
        <f>HYPERLINK("http://www.env.gov.bc.ca/esd/distdata/ecosystems/TEI_Scanned_Maps/R11/R11-975","http://www.env.gov.bc.ca/esd/distdata/ecosystems/TEI_Scanned_Maps/R11/R11-975")</f>
        <v>http://www.env.gov.bc.ca/esd/distdata/ecosystems/TEI_Scanned_Maps/R11/R11-975</v>
      </c>
      <c r="U2763" t="s">
        <v>3353</v>
      </c>
      <c r="V2763" s="11" t="str">
        <f t="shared" si="169"/>
        <v>http://www.env.gov.bc.ca/esd/distdata/ecosystems/Soil_Data/CAPAMP/</v>
      </c>
      <c r="W2763" t="s">
        <v>269</v>
      </c>
      <c r="X2763" s="11" t="str">
        <f>HYPERLINK("http://www.library.for.gov.bc.ca/#focus","http://www.library.for.gov.bc.ca/#focus")</f>
        <v>http://www.library.for.gov.bc.ca/#focus</v>
      </c>
      <c r="Y2763" t="s">
        <v>58</v>
      </c>
      <c r="Z2763" t="s">
        <v>58</v>
      </c>
      <c r="AA2763" t="s">
        <v>58</v>
      </c>
      <c r="AC2763" t="s">
        <v>58</v>
      </c>
      <c r="AE2763" t="s">
        <v>58</v>
      </c>
      <c r="AG2763" t="s">
        <v>63</v>
      </c>
      <c r="AH2763" s="11" t="str">
        <f t="shared" si="171"/>
        <v>mailto: soilterrain@victoria1.gov.bc.ca</v>
      </c>
    </row>
    <row r="2764" spans="1:34">
      <c r="A2764" t="s">
        <v>6020</v>
      </c>
      <c r="B2764" t="s">
        <v>56</v>
      </c>
      <c r="C2764" s="10" t="s">
        <v>5466</v>
      </c>
      <c r="D2764" t="s">
        <v>58</v>
      </c>
      <c r="E2764" t="s">
        <v>3063</v>
      </c>
      <c r="F2764" t="s">
        <v>6021</v>
      </c>
      <c r="G2764">
        <v>20000</v>
      </c>
      <c r="H2764">
        <v>1983</v>
      </c>
      <c r="I2764" t="s">
        <v>5654</v>
      </c>
      <c r="J2764" t="s">
        <v>58</v>
      </c>
      <c r="K2764" t="s">
        <v>58</v>
      </c>
      <c r="L2764" t="s">
        <v>61</v>
      </c>
      <c r="M2764" t="s">
        <v>58</v>
      </c>
      <c r="Q2764" t="s">
        <v>58</v>
      </c>
      <c r="R2764" s="11" t="str">
        <f>HYPERLINK("\\imagefiles.bcgov\imagery\scanned_maps\moe_terrain_maps\Scanned_T_maps_all\R11\R11-984","\\imagefiles.bcgov\imagery\scanned_maps\moe_terrain_maps\Scanned_T_maps_all\R11\R11-984")</f>
        <v>\\imagefiles.bcgov\imagery\scanned_maps\moe_terrain_maps\Scanned_T_maps_all\R11\R11-984</v>
      </c>
      <c r="S2764" t="s">
        <v>62</v>
      </c>
      <c r="T2764" s="11" t="str">
        <f>HYPERLINK("http://www.env.gov.bc.ca/esd/distdata/ecosystems/TEI_Scanned_Maps/R11/R11-984","http://www.env.gov.bc.ca/esd/distdata/ecosystems/TEI_Scanned_Maps/R11/R11-984")</f>
        <v>http://www.env.gov.bc.ca/esd/distdata/ecosystems/TEI_Scanned_Maps/R11/R11-984</v>
      </c>
      <c r="U2764" t="s">
        <v>3353</v>
      </c>
      <c r="V2764" s="11" t="str">
        <f t="shared" si="169"/>
        <v>http://www.env.gov.bc.ca/esd/distdata/ecosystems/Soil_Data/CAPAMP/</v>
      </c>
      <c r="W2764" t="s">
        <v>269</v>
      </c>
      <c r="X2764" s="11" t="str">
        <f>HYPERLINK("http://www.library.for.gov.bc.ca/#focus","http://www.library.for.gov.bc.ca/#focus")</f>
        <v>http://www.library.for.gov.bc.ca/#focus</v>
      </c>
      <c r="Y2764" t="s">
        <v>58</v>
      </c>
      <c r="Z2764" t="s">
        <v>58</v>
      </c>
      <c r="AA2764" t="s">
        <v>58</v>
      </c>
      <c r="AC2764" t="s">
        <v>58</v>
      </c>
      <c r="AE2764" t="s">
        <v>58</v>
      </c>
      <c r="AG2764" t="s">
        <v>63</v>
      </c>
      <c r="AH2764" s="11" t="str">
        <f t="shared" si="171"/>
        <v>mailto: soilterrain@victoria1.gov.bc.ca</v>
      </c>
    </row>
    <row r="2765" spans="1:34">
      <c r="A2765" t="s">
        <v>6022</v>
      </c>
      <c r="B2765" t="s">
        <v>56</v>
      </c>
      <c r="C2765" s="10" t="s">
        <v>5469</v>
      </c>
      <c r="D2765" t="s">
        <v>58</v>
      </c>
      <c r="E2765" t="s">
        <v>3063</v>
      </c>
      <c r="F2765" t="s">
        <v>5653</v>
      </c>
      <c r="G2765">
        <v>20000</v>
      </c>
      <c r="H2765">
        <v>1975</v>
      </c>
      <c r="I2765" t="s">
        <v>5654</v>
      </c>
      <c r="J2765" t="s">
        <v>58</v>
      </c>
      <c r="K2765" t="s">
        <v>58</v>
      </c>
      <c r="L2765" t="s">
        <v>61</v>
      </c>
      <c r="M2765" t="s">
        <v>58</v>
      </c>
      <c r="Q2765" t="s">
        <v>58</v>
      </c>
      <c r="R2765" s="11" t="str">
        <f>HYPERLINK("\\imagefiles.bcgov\imagery\scanned_maps\moe_terrain_maps\Scanned_T_maps_all\R11\R11-993","\\imagefiles.bcgov\imagery\scanned_maps\moe_terrain_maps\Scanned_T_maps_all\R11\R11-993")</f>
        <v>\\imagefiles.bcgov\imagery\scanned_maps\moe_terrain_maps\Scanned_T_maps_all\R11\R11-993</v>
      </c>
      <c r="S2765" t="s">
        <v>62</v>
      </c>
      <c r="T2765" s="11" t="str">
        <f>HYPERLINK("http://www.env.gov.bc.ca/esd/distdata/ecosystems/TEI_Scanned_Maps/R11/R11-993","http://www.env.gov.bc.ca/esd/distdata/ecosystems/TEI_Scanned_Maps/R11/R11-993")</f>
        <v>http://www.env.gov.bc.ca/esd/distdata/ecosystems/TEI_Scanned_Maps/R11/R11-993</v>
      </c>
      <c r="U2765" t="s">
        <v>3353</v>
      </c>
      <c r="V2765" s="11" t="str">
        <f t="shared" si="169"/>
        <v>http://www.env.gov.bc.ca/esd/distdata/ecosystems/Soil_Data/CAPAMP/</v>
      </c>
      <c r="W2765" t="s">
        <v>269</v>
      </c>
      <c r="X2765" s="11" t="str">
        <f>HYPERLINK("http://www.library.for.gov.bc.ca/#focus","http://www.library.for.gov.bc.ca/#focus")</f>
        <v>http://www.library.for.gov.bc.ca/#focus</v>
      </c>
      <c r="Y2765" t="s">
        <v>58</v>
      </c>
      <c r="Z2765" t="s">
        <v>58</v>
      </c>
      <c r="AA2765" t="s">
        <v>58</v>
      </c>
      <c r="AC2765" t="s">
        <v>58</v>
      </c>
      <c r="AE2765" t="s">
        <v>58</v>
      </c>
      <c r="AG2765" t="s">
        <v>63</v>
      </c>
      <c r="AH2765" s="11" t="str">
        <f t="shared" si="171"/>
        <v>mailto: soilterrain@victoria1.gov.bc.ca</v>
      </c>
    </row>
    <row r="2766" spans="1:34">
      <c r="A2766" t="s">
        <v>6023</v>
      </c>
      <c r="B2766" t="s">
        <v>56</v>
      </c>
      <c r="C2766" s="10" t="s">
        <v>2077</v>
      </c>
      <c r="D2766" t="s">
        <v>58</v>
      </c>
      <c r="E2766" t="s">
        <v>4176</v>
      </c>
      <c r="F2766" t="s">
        <v>6024</v>
      </c>
      <c r="G2766">
        <v>100000</v>
      </c>
      <c r="H2766">
        <v>1975</v>
      </c>
      <c r="I2766" t="s">
        <v>58</v>
      </c>
      <c r="J2766" t="s">
        <v>58</v>
      </c>
      <c r="K2766" t="s">
        <v>58</v>
      </c>
      <c r="L2766" t="s">
        <v>58</v>
      </c>
      <c r="M2766" t="s">
        <v>58</v>
      </c>
      <c r="O2766" t="s">
        <v>61</v>
      </c>
      <c r="Q2766" t="s">
        <v>58</v>
      </c>
      <c r="R2766" s="11" t="str">
        <f>HYPERLINK("\\imagefiles.bcgov\imagery\scanned_maps\moe_terrain_maps\Scanned_T_maps_all\R12\R12-1071","\\imagefiles.bcgov\imagery\scanned_maps\moe_terrain_maps\Scanned_T_maps_all\R12\R12-1071")</f>
        <v>\\imagefiles.bcgov\imagery\scanned_maps\moe_terrain_maps\Scanned_T_maps_all\R12\R12-1071</v>
      </c>
      <c r="S2766" t="s">
        <v>62</v>
      </c>
      <c r="T2766" s="11" t="str">
        <f>HYPERLINK("http://www.env.gov.bc.ca/esd/distdata/ecosystems/TEI_Scanned_Maps/R12/R12-1071","http://www.env.gov.bc.ca/esd/distdata/ecosystems/TEI_Scanned_Maps/R12/R12-1071")</f>
        <v>http://www.env.gov.bc.ca/esd/distdata/ecosystems/TEI_Scanned_Maps/R12/R12-1071</v>
      </c>
      <c r="U2766" t="s">
        <v>58</v>
      </c>
      <c r="V2766" t="s">
        <v>58</v>
      </c>
      <c r="W2766" t="s">
        <v>58</v>
      </c>
      <c r="X2766" t="s">
        <v>58</v>
      </c>
      <c r="Y2766" t="s">
        <v>58</v>
      </c>
      <c r="Z2766" t="s">
        <v>58</v>
      </c>
      <c r="AA2766" t="s">
        <v>58</v>
      </c>
      <c r="AC2766" t="s">
        <v>58</v>
      </c>
      <c r="AE2766" t="s">
        <v>58</v>
      </c>
      <c r="AG2766" t="s">
        <v>63</v>
      </c>
      <c r="AH2766" s="11" t="str">
        <f t="shared" si="171"/>
        <v>mailto: soilterrain@victoria1.gov.bc.ca</v>
      </c>
    </row>
    <row r="2767" spans="1:34">
      <c r="A2767" t="s">
        <v>6025</v>
      </c>
      <c r="B2767" t="s">
        <v>56</v>
      </c>
      <c r="C2767" s="10" t="s">
        <v>3067</v>
      </c>
      <c r="D2767" t="s">
        <v>58</v>
      </c>
      <c r="E2767" t="s">
        <v>4176</v>
      </c>
      <c r="F2767" t="s">
        <v>6026</v>
      </c>
      <c r="G2767">
        <v>100000</v>
      </c>
      <c r="H2767">
        <v>1975</v>
      </c>
      <c r="I2767" t="s">
        <v>58</v>
      </c>
      <c r="J2767" t="s">
        <v>58</v>
      </c>
      <c r="K2767" t="s">
        <v>58</v>
      </c>
      <c r="L2767" t="s">
        <v>58</v>
      </c>
      <c r="M2767" t="s">
        <v>58</v>
      </c>
      <c r="O2767" t="s">
        <v>61</v>
      </c>
      <c r="Q2767" t="s">
        <v>58</v>
      </c>
      <c r="R2767" s="11" t="str">
        <f>HYPERLINK("\\imagefiles.bcgov\imagery\scanned_maps\moe_terrain_maps\Scanned_T_maps_all\R12\R12-1094","\\imagefiles.bcgov\imagery\scanned_maps\moe_terrain_maps\Scanned_T_maps_all\R12\R12-1094")</f>
        <v>\\imagefiles.bcgov\imagery\scanned_maps\moe_terrain_maps\Scanned_T_maps_all\R12\R12-1094</v>
      </c>
      <c r="S2767" t="s">
        <v>62</v>
      </c>
      <c r="T2767" s="11" t="str">
        <f>HYPERLINK("http://www.env.gov.bc.ca/esd/distdata/ecosystems/TEI_Scanned_Maps/R12/R12-1094","http://www.env.gov.bc.ca/esd/distdata/ecosystems/TEI_Scanned_Maps/R12/R12-1094")</f>
        <v>http://www.env.gov.bc.ca/esd/distdata/ecosystems/TEI_Scanned_Maps/R12/R12-1094</v>
      </c>
      <c r="U2767" t="s">
        <v>58</v>
      </c>
      <c r="V2767" t="s">
        <v>58</v>
      </c>
      <c r="W2767" t="s">
        <v>58</v>
      </c>
      <c r="X2767" t="s">
        <v>58</v>
      </c>
      <c r="Y2767" t="s">
        <v>58</v>
      </c>
      <c r="Z2767" t="s">
        <v>58</v>
      </c>
      <c r="AA2767" t="s">
        <v>58</v>
      </c>
      <c r="AC2767" t="s">
        <v>58</v>
      </c>
      <c r="AE2767" t="s">
        <v>58</v>
      </c>
      <c r="AG2767" t="s">
        <v>63</v>
      </c>
      <c r="AH2767" s="11" t="str">
        <f t="shared" si="171"/>
        <v>mailto: soilterrain@victoria1.gov.bc.ca</v>
      </c>
    </row>
    <row r="2768" spans="1:34">
      <c r="A2768" t="s">
        <v>6027</v>
      </c>
      <c r="B2768" t="s">
        <v>56</v>
      </c>
      <c r="C2768" s="10" t="s">
        <v>1890</v>
      </c>
      <c r="D2768" t="s">
        <v>58</v>
      </c>
      <c r="E2768" t="s">
        <v>4176</v>
      </c>
      <c r="F2768" t="s">
        <v>6028</v>
      </c>
      <c r="G2768">
        <v>100000</v>
      </c>
      <c r="H2768">
        <v>1975</v>
      </c>
      <c r="I2768" t="s">
        <v>58</v>
      </c>
      <c r="J2768" t="s">
        <v>58</v>
      </c>
      <c r="K2768" t="s">
        <v>58</v>
      </c>
      <c r="L2768" t="s">
        <v>58</v>
      </c>
      <c r="M2768" t="s">
        <v>58</v>
      </c>
      <c r="O2768" t="s">
        <v>61</v>
      </c>
      <c r="Q2768" t="s">
        <v>58</v>
      </c>
      <c r="R2768" s="11" t="str">
        <f>HYPERLINK("\\imagefiles.bcgov\imagery\scanned_maps\moe_terrain_maps\Scanned_T_maps_all\R12\R12-1631","\\imagefiles.bcgov\imagery\scanned_maps\moe_terrain_maps\Scanned_T_maps_all\R12\R12-1631")</f>
        <v>\\imagefiles.bcgov\imagery\scanned_maps\moe_terrain_maps\Scanned_T_maps_all\R12\R12-1631</v>
      </c>
      <c r="S2768" t="s">
        <v>62</v>
      </c>
      <c r="T2768" s="11" t="str">
        <f>HYPERLINK("http://www.env.gov.bc.ca/esd/distdata/ecosystems/TEI_Scanned_Maps/R12/R12-1631","http://www.env.gov.bc.ca/esd/distdata/ecosystems/TEI_Scanned_Maps/R12/R12-1631")</f>
        <v>http://www.env.gov.bc.ca/esd/distdata/ecosystems/TEI_Scanned_Maps/R12/R12-1631</v>
      </c>
      <c r="U2768" t="s">
        <v>58</v>
      </c>
      <c r="V2768" t="s">
        <v>58</v>
      </c>
      <c r="W2768" t="s">
        <v>58</v>
      </c>
      <c r="X2768" t="s">
        <v>58</v>
      </c>
      <c r="Y2768" t="s">
        <v>58</v>
      </c>
      <c r="Z2768" t="s">
        <v>58</v>
      </c>
      <c r="AA2768" t="s">
        <v>58</v>
      </c>
      <c r="AC2768" t="s">
        <v>58</v>
      </c>
      <c r="AE2768" t="s">
        <v>58</v>
      </c>
      <c r="AG2768" t="s">
        <v>63</v>
      </c>
      <c r="AH2768" s="11" t="str">
        <f t="shared" si="171"/>
        <v>mailto: soilterrain@victoria1.gov.bc.ca</v>
      </c>
    </row>
    <row r="2769" spans="1:34">
      <c r="A2769" t="s">
        <v>6029</v>
      </c>
      <c r="B2769" t="s">
        <v>56</v>
      </c>
      <c r="C2769" s="10" t="s">
        <v>4198</v>
      </c>
      <c r="D2769" t="s">
        <v>58</v>
      </c>
      <c r="E2769" t="s">
        <v>4176</v>
      </c>
      <c r="F2769" t="s">
        <v>6030</v>
      </c>
      <c r="G2769">
        <v>100000</v>
      </c>
      <c r="H2769">
        <v>1971</v>
      </c>
      <c r="I2769" t="s">
        <v>58</v>
      </c>
      <c r="J2769" t="s">
        <v>58</v>
      </c>
      <c r="K2769" t="s">
        <v>58</v>
      </c>
      <c r="L2769" t="s">
        <v>58</v>
      </c>
      <c r="M2769" t="s">
        <v>58</v>
      </c>
      <c r="O2769" t="s">
        <v>61</v>
      </c>
      <c r="Q2769" t="s">
        <v>58</v>
      </c>
      <c r="R2769" s="11" t="str">
        <f>HYPERLINK("\\imagefiles.bcgov\imagery\scanned_maps\moe_terrain_maps\Scanned_T_maps_all\R12\R12-1637","\\imagefiles.bcgov\imagery\scanned_maps\moe_terrain_maps\Scanned_T_maps_all\R12\R12-1637")</f>
        <v>\\imagefiles.bcgov\imagery\scanned_maps\moe_terrain_maps\Scanned_T_maps_all\R12\R12-1637</v>
      </c>
      <c r="S2769" t="s">
        <v>62</v>
      </c>
      <c r="T2769" s="11" t="str">
        <f>HYPERLINK("http://www.env.gov.bc.ca/esd/distdata/ecosystems/TEI_Scanned_Maps/R12/R12-1637","http://www.env.gov.bc.ca/esd/distdata/ecosystems/TEI_Scanned_Maps/R12/R12-1637")</f>
        <v>http://www.env.gov.bc.ca/esd/distdata/ecosystems/TEI_Scanned_Maps/R12/R12-1637</v>
      </c>
      <c r="U2769" t="s">
        <v>58</v>
      </c>
      <c r="V2769" t="s">
        <v>58</v>
      </c>
      <c r="W2769" t="s">
        <v>58</v>
      </c>
      <c r="X2769" t="s">
        <v>58</v>
      </c>
      <c r="Y2769" t="s">
        <v>58</v>
      </c>
      <c r="Z2769" t="s">
        <v>58</v>
      </c>
      <c r="AA2769" t="s">
        <v>58</v>
      </c>
      <c r="AC2769" t="s">
        <v>58</v>
      </c>
      <c r="AE2769" t="s">
        <v>58</v>
      </c>
      <c r="AG2769" t="s">
        <v>63</v>
      </c>
      <c r="AH2769" s="11" t="str">
        <f t="shared" si="171"/>
        <v>mailto: soilterrain@victoria1.gov.bc.ca</v>
      </c>
    </row>
    <row r="2770" spans="1:34">
      <c r="A2770" t="s">
        <v>6031</v>
      </c>
      <c r="B2770" t="s">
        <v>56</v>
      </c>
      <c r="C2770" s="10" t="s">
        <v>1893</v>
      </c>
      <c r="D2770" t="s">
        <v>58</v>
      </c>
      <c r="E2770" t="s">
        <v>4176</v>
      </c>
      <c r="F2770" t="s">
        <v>6032</v>
      </c>
      <c r="G2770">
        <v>100000</v>
      </c>
      <c r="H2770">
        <v>1971</v>
      </c>
      <c r="I2770" t="s">
        <v>58</v>
      </c>
      <c r="J2770" t="s">
        <v>58</v>
      </c>
      <c r="K2770" t="s">
        <v>58</v>
      </c>
      <c r="L2770" t="s">
        <v>58</v>
      </c>
      <c r="M2770" t="s">
        <v>58</v>
      </c>
      <c r="O2770" t="s">
        <v>61</v>
      </c>
      <c r="Q2770" t="s">
        <v>58</v>
      </c>
      <c r="R2770" s="11" t="str">
        <f>HYPERLINK("\\imagefiles.bcgov\imagery\scanned_maps\moe_terrain_maps\Scanned_T_maps_all\R12\R12-1644","\\imagefiles.bcgov\imagery\scanned_maps\moe_terrain_maps\Scanned_T_maps_all\R12\R12-1644")</f>
        <v>\\imagefiles.bcgov\imagery\scanned_maps\moe_terrain_maps\Scanned_T_maps_all\R12\R12-1644</v>
      </c>
      <c r="S2770" t="s">
        <v>62</v>
      </c>
      <c r="T2770" s="11" t="str">
        <f>HYPERLINK("http://www.env.gov.bc.ca/esd/distdata/ecosystems/TEI_Scanned_Maps/R12/R12-1644","http://www.env.gov.bc.ca/esd/distdata/ecosystems/TEI_Scanned_Maps/R12/R12-1644")</f>
        <v>http://www.env.gov.bc.ca/esd/distdata/ecosystems/TEI_Scanned_Maps/R12/R12-1644</v>
      </c>
      <c r="U2770" t="s">
        <v>58</v>
      </c>
      <c r="V2770" t="s">
        <v>58</v>
      </c>
      <c r="W2770" t="s">
        <v>58</v>
      </c>
      <c r="X2770" t="s">
        <v>58</v>
      </c>
      <c r="Y2770" t="s">
        <v>58</v>
      </c>
      <c r="Z2770" t="s">
        <v>58</v>
      </c>
      <c r="AA2770" t="s">
        <v>58</v>
      </c>
      <c r="AC2770" t="s">
        <v>58</v>
      </c>
      <c r="AE2770" t="s">
        <v>58</v>
      </c>
      <c r="AG2770" t="s">
        <v>63</v>
      </c>
      <c r="AH2770" s="11" t="str">
        <f t="shared" si="171"/>
        <v>mailto: soilterrain@victoria1.gov.bc.ca</v>
      </c>
    </row>
    <row r="2771" spans="1:34">
      <c r="A2771" t="s">
        <v>6033</v>
      </c>
      <c r="B2771" t="s">
        <v>56</v>
      </c>
      <c r="C2771" s="10" t="s">
        <v>4205</v>
      </c>
      <c r="D2771" t="s">
        <v>58</v>
      </c>
      <c r="E2771" t="s">
        <v>4176</v>
      </c>
      <c r="F2771" t="s">
        <v>6034</v>
      </c>
      <c r="G2771">
        <v>100000</v>
      </c>
      <c r="H2771">
        <v>1975</v>
      </c>
      <c r="I2771" t="s">
        <v>58</v>
      </c>
      <c r="J2771" t="s">
        <v>58</v>
      </c>
      <c r="K2771" t="s">
        <v>58</v>
      </c>
      <c r="L2771" t="s">
        <v>58</v>
      </c>
      <c r="M2771" t="s">
        <v>58</v>
      </c>
      <c r="O2771" t="s">
        <v>61</v>
      </c>
      <c r="Q2771" t="s">
        <v>58</v>
      </c>
      <c r="R2771" s="11" t="str">
        <f>HYPERLINK("\\imagefiles.bcgov\imagery\scanned_maps\moe_terrain_maps\Scanned_T_maps_all\R12\R12-1724","\\imagefiles.bcgov\imagery\scanned_maps\moe_terrain_maps\Scanned_T_maps_all\R12\R12-1724")</f>
        <v>\\imagefiles.bcgov\imagery\scanned_maps\moe_terrain_maps\Scanned_T_maps_all\R12\R12-1724</v>
      </c>
      <c r="S2771" t="s">
        <v>62</v>
      </c>
      <c r="T2771" s="11" t="str">
        <f>HYPERLINK("http://www.env.gov.bc.ca/esd/distdata/ecosystems/TEI_Scanned_Maps/R12/R12-1724","http://www.env.gov.bc.ca/esd/distdata/ecosystems/TEI_Scanned_Maps/R12/R12-1724")</f>
        <v>http://www.env.gov.bc.ca/esd/distdata/ecosystems/TEI_Scanned_Maps/R12/R12-1724</v>
      </c>
      <c r="U2771" t="s">
        <v>58</v>
      </c>
      <c r="V2771" t="s">
        <v>58</v>
      </c>
      <c r="W2771" t="s">
        <v>58</v>
      </c>
      <c r="X2771" t="s">
        <v>58</v>
      </c>
      <c r="Y2771" t="s">
        <v>58</v>
      </c>
      <c r="Z2771" t="s">
        <v>58</v>
      </c>
      <c r="AA2771" t="s">
        <v>58</v>
      </c>
      <c r="AC2771" t="s">
        <v>58</v>
      </c>
      <c r="AE2771" t="s">
        <v>58</v>
      </c>
      <c r="AG2771" t="s">
        <v>63</v>
      </c>
      <c r="AH2771" s="11" t="str">
        <f t="shared" si="171"/>
        <v>mailto: soilterrain@victoria1.gov.bc.ca</v>
      </c>
    </row>
    <row r="2772" spans="1:34">
      <c r="A2772" t="s">
        <v>6035</v>
      </c>
      <c r="B2772" t="s">
        <v>56</v>
      </c>
      <c r="C2772" s="10" t="s">
        <v>477</v>
      </c>
      <c r="D2772" t="s">
        <v>58</v>
      </c>
      <c r="E2772" t="s">
        <v>4176</v>
      </c>
      <c r="F2772" t="s">
        <v>6036</v>
      </c>
      <c r="G2772">
        <v>100000</v>
      </c>
      <c r="H2772">
        <v>1979</v>
      </c>
      <c r="I2772" t="s">
        <v>58</v>
      </c>
      <c r="J2772" t="s">
        <v>58</v>
      </c>
      <c r="K2772" t="s">
        <v>58</v>
      </c>
      <c r="L2772" t="s">
        <v>58</v>
      </c>
      <c r="M2772" t="s">
        <v>58</v>
      </c>
      <c r="O2772" t="s">
        <v>61</v>
      </c>
      <c r="Q2772" t="s">
        <v>58</v>
      </c>
      <c r="R2772" s="11" t="str">
        <f>HYPERLINK("\\imagefiles.bcgov\imagery\scanned_maps\moe_terrain_maps\Scanned_T_maps_all\R12\R12-1734","\\imagefiles.bcgov\imagery\scanned_maps\moe_terrain_maps\Scanned_T_maps_all\R12\R12-1734")</f>
        <v>\\imagefiles.bcgov\imagery\scanned_maps\moe_terrain_maps\Scanned_T_maps_all\R12\R12-1734</v>
      </c>
      <c r="S2772" t="s">
        <v>62</v>
      </c>
      <c r="T2772" s="11" t="str">
        <f>HYPERLINK("http://www.env.gov.bc.ca/esd/distdata/ecosystems/TEI_Scanned_Maps/R12/R12-1734","http://www.env.gov.bc.ca/esd/distdata/ecosystems/TEI_Scanned_Maps/R12/R12-1734")</f>
        <v>http://www.env.gov.bc.ca/esd/distdata/ecosystems/TEI_Scanned_Maps/R12/R12-1734</v>
      </c>
      <c r="U2772" t="s">
        <v>58</v>
      </c>
      <c r="V2772" t="s">
        <v>58</v>
      </c>
      <c r="W2772" t="s">
        <v>58</v>
      </c>
      <c r="X2772" t="s">
        <v>58</v>
      </c>
      <c r="Y2772" t="s">
        <v>58</v>
      </c>
      <c r="Z2772" t="s">
        <v>58</v>
      </c>
      <c r="AA2772" t="s">
        <v>58</v>
      </c>
      <c r="AC2772" t="s">
        <v>58</v>
      </c>
      <c r="AE2772" t="s">
        <v>58</v>
      </c>
      <c r="AG2772" t="s">
        <v>63</v>
      </c>
      <c r="AH2772" s="11" t="str">
        <f t="shared" si="171"/>
        <v>mailto: soilterrain@victoria1.gov.bc.ca</v>
      </c>
    </row>
    <row r="2773" spans="1:34">
      <c r="A2773" t="s">
        <v>6037</v>
      </c>
      <c r="B2773" t="s">
        <v>56</v>
      </c>
      <c r="C2773" s="10" t="s">
        <v>3079</v>
      </c>
      <c r="D2773" t="s">
        <v>58</v>
      </c>
      <c r="E2773" t="s">
        <v>4176</v>
      </c>
      <c r="F2773" t="s">
        <v>6038</v>
      </c>
      <c r="G2773">
        <v>100000</v>
      </c>
      <c r="H2773">
        <v>1974</v>
      </c>
      <c r="I2773" t="s">
        <v>58</v>
      </c>
      <c r="J2773" t="s">
        <v>58</v>
      </c>
      <c r="K2773" t="s">
        <v>58</v>
      </c>
      <c r="L2773" t="s">
        <v>58</v>
      </c>
      <c r="M2773" t="s">
        <v>58</v>
      </c>
      <c r="O2773" t="s">
        <v>61</v>
      </c>
      <c r="Q2773" t="s">
        <v>58</v>
      </c>
      <c r="R2773" s="11" t="str">
        <f>HYPERLINK("\\imagefiles.bcgov\imagery\scanned_maps\moe_terrain_maps\Scanned_T_maps_all\R12\R12-1792","\\imagefiles.bcgov\imagery\scanned_maps\moe_terrain_maps\Scanned_T_maps_all\R12\R12-1792")</f>
        <v>\\imagefiles.bcgov\imagery\scanned_maps\moe_terrain_maps\Scanned_T_maps_all\R12\R12-1792</v>
      </c>
      <c r="S2773" t="s">
        <v>62</v>
      </c>
      <c r="T2773" s="11" t="str">
        <f>HYPERLINK("http://www.env.gov.bc.ca/esd/distdata/ecosystems/TEI_Scanned_Maps/R12/R12-1792","http://www.env.gov.bc.ca/esd/distdata/ecosystems/TEI_Scanned_Maps/R12/R12-1792")</f>
        <v>http://www.env.gov.bc.ca/esd/distdata/ecosystems/TEI_Scanned_Maps/R12/R12-1792</v>
      </c>
      <c r="U2773" t="s">
        <v>58</v>
      </c>
      <c r="V2773" t="s">
        <v>58</v>
      </c>
      <c r="W2773" t="s">
        <v>58</v>
      </c>
      <c r="X2773" t="s">
        <v>58</v>
      </c>
      <c r="Y2773" t="s">
        <v>58</v>
      </c>
      <c r="Z2773" t="s">
        <v>58</v>
      </c>
      <c r="AA2773" t="s">
        <v>58</v>
      </c>
      <c r="AC2773" t="s">
        <v>58</v>
      </c>
      <c r="AE2773" t="s">
        <v>58</v>
      </c>
      <c r="AG2773" t="s">
        <v>63</v>
      </c>
      <c r="AH2773" s="11" t="str">
        <f t="shared" si="171"/>
        <v>mailto: soilterrain@victoria1.gov.bc.ca</v>
      </c>
    </row>
    <row r="2774" spans="1:34">
      <c r="A2774" t="s">
        <v>6039</v>
      </c>
      <c r="B2774" t="s">
        <v>56</v>
      </c>
      <c r="C2774" s="10" t="s">
        <v>3084</v>
      </c>
      <c r="D2774" t="s">
        <v>58</v>
      </c>
      <c r="E2774" t="s">
        <v>4176</v>
      </c>
      <c r="F2774" t="s">
        <v>6040</v>
      </c>
      <c r="G2774">
        <v>100000</v>
      </c>
      <c r="H2774">
        <v>1974</v>
      </c>
      <c r="I2774" t="s">
        <v>58</v>
      </c>
      <c r="J2774" t="s">
        <v>58</v>
      </c>
      <c r="K2774" t="s">
        <v>58</v>
      </c>
      <c r="L2774" t="s">
        <v>58</v>
      </c>
      <c r="M2774" t="s">
        <v>58</v>
      </c>
      <c r="O2774" t="s">
        <v>61</v>
      </c>
      <c r="Q2774" t="s">
        <v>58</v>
      </c>
      <c r="R2774" s="11" t="str">
        <f>HYPERLINK("\\imagefiles.bcgov\imagery\scanned_maps\moe_terrain_maps\Scanned_T_maps_all\R12\R12-1798","\\imagefiles.bcgov\imagery\scanned_maps\moe_terrain_maps\Scanned_T_maps_all\R12\R12-1798")</f>
        <v>\\imagefiles.bcgov\imagery\scanned_maps\moe_terrain_maps\Scanned_T_maps_all\R12\R12-1798</v>
      </c>
      <c r="S2774" t="s">
        <v>62</v>
      </c>
      <c r="T2774" s="11" t="str">
        <f>HYPERLINK("http://www.env.gov.bc.ca/esd/distdata/ecosystems/TEI_Scanned_Maps/R12/R12-1798","http://www.env.gov.bc.ca/esd/distdata/ecosystems/TEI_Scanned_Maps/R12/R12-1798")</f>
        <v>http://www.env.gov.bc.ca/esd/distdata/ecosystems/TEI_Scanned_Maps/R12/R12-1798</v>
      </c>
      <c r="U2774" t="s">
        <v>58</v>
      </c>
      <c r="V2774" t="s">
        <v>58</v>
      </c>
      <c r="W2774" t="s">
        <v>58</v>
      </c>
      <c r="X2774" t="s">
        <v>58</v>
      </c>
      <c r="Y2774" t="s">
        <v>58</v>
      </c>
      <c r="Z2774" t="s">
        <v>58</v>
      </c>
      <c r="AA2774" t="s">
        <v>58</v>
      </c>
      <c r="AC2774" t="s">
        <v>58</v>
      </c>
      <c r="AE2774" t="s">
        <v>58</v>
      </c>
      <c r="AG2774" t="s">
        <v>63</v>
      </c>
      <c r="AH2774" s="11" t="str">
        <f t="shared" si="171"/>
        <v>mailto: soilterrain@victoria1.gov.bc.ca</v>
      </c>
    </row>
    <row r="2775" spans="1:34">
      <c r="A2775" t="s">
        <v>6041</v>
      </c>
      <c r="B2775" t="s">
        <v>56</v>
      </c>
      <c r="C2775" s="10" t="s">
        <v>587</v>
      </c>
      <c r="D2775" t="s">
        <v>58</v>
      </c>
      <c r="E2775" t="s">
        <v>4176</v>
      </c>
      <c r="F2775" t="s">
        <v>6042</v>
      </c>
      <c r="G2775">
        <v>100000</v>
      </c>
      <c r="H2775">
        <v>1983</v>
      </c>
      <c r="I2775" t="s">
        <v>58</v>
      </c>
      <c r="J2775" t="s">
        <v>58</v>
      </c>
      <c r="K2775" t="s">
        <v>58</v>
      </c>
      <c r="L2775" t="s">
        <v>58</v>
      </c>
      <c r="M2775" t="s">
        <v>58</v>
      </c>
      <c r="O2775" t="s">
        <v>61</v>
      </c>
      <c r="Q2775" t="s">
        <v>58</v>
      </c>
      <c r="R2775" s="11" t="str">
        <f>HYPERLINK("\\imagefiles.bcgov\imagery\scanned_maps\moe_terrain_maps\Scanned_T_maps_all\R12\R12-1804","\\imagefiles.bcgov\imagery\scanned_maps\moe_terrain_maps\Scanned_T_maps_all\R12\R12-1804")</f>
        <v>\\imagefiles.bcgov\imagery\scanned_maps\moe_terrain_maps\Scanned_T_maps_all\R12\R12-1804</v>
      </c>
      <c r="S2775" t="s">
        <v>62</v>
      </c>
      <c r="T2775" s="11" t="str">
        <f>HYPERLINK("http://www.env.gov.bc.ca/esd/distdata/ecosystems/TEI_Scanned_Maps/R12/R12-1804","http://www.env.gov.bc.ca/esd/distdata/ecosystems/TEI_Scanned_Maps/R12/R12-1804")</f>
        <v>http://www.env.gov.bc.ca/esd/distdata/ecosystems/TEI_Scanned_Maps/R12/R12-1804</v>
      </c>
      <c r="U2775" t="s">
        <v>58</v>
      </c>
      <c r="V2775" t="s">
        <v>58</v>
      </c>
      <c r="W2775" t="s">
        <v>58</v>
      </c>
      <c r="X2775" t="s">
        <v>58</v>
      </c>
      <c r="Y2775" t="s">
        <v>58</v>
      </c>
      <c r="Z2775" t="s">
        <v>58</v>
      </c>
      <c r="AA2775" t="s">
        <v>58</v>
      </c>
      <c r="AC2775" t="s">
        <v>58</v>
      </c>
      <c r="AE2775" t="s">
        <v>58</v>
      </c>
      <c r="AG2775" t="s">
        <v>63</v>
      </c>
      <c r="AH2775" s="11" t="str">
        <f t="shared" si="171"/>
        <v>mailto: soilterrain@victoria1.gov.bc.ca</v>
      </c>
    </row>
    <row r="2776" spans="1:34">
      <c r="A2776" t="s">
        <v>6043</v>
      </c>
      <c r="B2776" t="s">
        <v>56</v>
      </c>
      <c r="C2776" s="10" t="s">
        <v>3089</v>
      </c>
      <c r="D2776" t="s">
        <v>58</v>
      </c>
      <c r="E2776" t="s">
        <v>4176</v>
      </c>
      <c r="F2776" t="s">
        <v>6044</v>
      </c>
      <c r="G2776">
        <v>100000</v>
      </c>
      <c r="H2776">
        <v>1979</v>
      </c>
      <c r="I2776" t="s">
        <v>58</v>
      </c>
      <c r="J2776" t="s">
        <v>58</v>
      </c>
      <c r="K2776" t="s">
        <v>58</v>
      </c>
      <c r="L2776" t="s">
        <v>58</v>
      </c>
      <c r="M2776" t="s">
        <v>58</v>
      </c>
      <c r="O2776" t="s">
        <v>61</v>
      </c>
      <c r="Q2776" t="s">
        <v>58</v>
      </c>
      <c r="R2776" s="11" t="str">
        <f>HYPERLINK("\\imagefiles.bcgov\imagery\scanned_maps\moe_terrain_maps\Scanned_T_maps_all\R12\R12-1810","\\imagefiles.bcgov\imagery\scanned_maps\moe_terrain_maps\Scanned_T_maps_all\R12\R12-1810")</f>
        <v>\\imagefiles.bcgov\imagery\scanned_maps\moe_terrain_maps\Scanned_T_maps_all\R12\R12-1810</v>
      </c>
      <c r="S2776" t="s">
        <v>62</v>
      </c>
      <c r="T2776" s="11" t="str">
        <f>HYPERLINK("http://www.env.gov.bc.ca/esd/distdata/ecosystems/TEI_Scanned_Maps/R12/R12-1810","http://www.env.gov.bc.ca/esd/distdata/ecosystems/TEI_Scanned_Maps/R12/R12-1810")</f>
        <v>http://www.env.gov.bc.ca/esd/distdata/ecosystems/TEI_Scanned_Maps/R12/R12-1810</v>
      </c>
      <c r="U2776" t="s">
        <v>58</v>
      </c>
      <c r="V2776" t="s">
        <v>58</v>
      </c>
      <c r="W2776" t="s">
        <v>58</v>
      </c>
      <c r="X2776" t="s">
        <v>58</v>
      </c>
      <c r="Y2776" t="s">
        <v>58</v>
      </c>
      <c r="Z2776" t="s">
        <v>58</v>
      </c>
      <c r="AA2776" t="s">
        <v>58</v>
      </c>
      <c r="AC2776" t="s">
        <v>58</v>
      </c>
      <c r="AE2776" t="s">
        <v>58</v>
      </c>
      <c r="AG2776" t="s">
        <v>63</v>
      </c>
      <c r="AH2776" s="11" t="str">
        <f t="shared" si="171"/>
        <v>mailto: soilterrain@victoria1.gov.bc.ca</v>
      </c>
    </row>
    <row r="2777" spans="1:34">
      <c r="A2777" t="s">
        <v>6045</v>
      </c>
      <c r="B2777" t="s">
        <v>56</v>
      </c>
      <c r="C2777" s="10" t="s">
        <v>4220</v>
      </c>
      <c r="D2777" t="s">
        <v>58</v>
      </c>
      <c r="E2777" t="s">
        <v>4176</v>
      </c>
      <c r="F2777" t="s">
        <v>6046</v>
      </c>
      <c r="G2777">
        <v>100000</v>
      </c>
      <c r="H2777">
        <v>1976</v>
      </c>
      <c r="I2777" t="s">
        <v>58</v>
      </c>
      <c r="J2777" t="s">
        <v>58</v>
      </c>
      <c r="K2777" t="s">
        <v>58</v>
      </c>
      <c r="L2777" t="s">
        <v>58</v>
      </c>
      <c r="M2777" t="s">
        <v>58</v>
      </c>
      <c r="O2777" t="s">
        <v>61</v>
      </c>
      <c r="Q2777" t="s">
        <v>58</v>
      </c>
      <c r="R2777" s="11" t="str">
        <f>HYPERLINK("\\imagefiles.bcgov\imagery\scanned_maps\moe_terrain_maps\Scanned_T_maps_all\R12\R12-1838","\\imagefiles.bcgov\imagery\scanned_maps\moe_terrain_maps\Scanned_T_maps_all\R12\R12-1838")</f>
        <v>\\imagefiles.bcgov\imagery\scanned_maps\moe_terrain_maps\Scanned_T_maps_all\R12\R12-1838</v>
      </c>
      <c r="S2777" t="s">
        <v>62</v>
      </c>
      <c r="T2777" s="11" t="str">
        <f>HYPERLINK("http://www.env.gov.bc.ca/esd/distdata/ecosystems/TEI_Scanned_Maps/R12/R12-1838","http://www.env.gov.bc.ca/esd/distdata/ecosystems/TEI_Scanned_Maps/R12/R12-1838")</f>
        <v>http://www.env.gov.bc.ca/esd/distdata/ecosystems/TEI_Scanned_Maps/R12/R12-1838</v>
      </c>
      <c r="U2777" t="s">
        <v>58</v>
      </c>
      <c r="V2777" t="s">
        <v>58</v>
      </c>
      <c r="W2777" t="s">
        <v>58</v>
      </c>
      <c r="X2777" t="s">
        <v>58</v>
      </c>
      <c r="Y2777" t="s">
        <v>58</v>
      </c>
      <c r="Z2777" t="s">
        <v>58</v>
      </c>
      <c r="AA2777" t="s">
        <v>58</v>
      </c>
      <c r="AC2777" t="s">
        <v>58</v>
      </c>
      <c r="AE2777" t="s">
        <v>58</v>
      </c>
      <c r="AG2777" t="s">
        <v>63</v>
      </c>
      <c r="AH2777" s="11" t="str">
        <f t="shared" si="171"/>
        <v>mailto: soilterrain@victoria1.gov.bc.ca</v>
      </c>
    </row>
    <row r="2778" spans="1:34">
      <c r="A2778" t="s">
        <v>6047</v>
      </c>
      <c r="B2778" t="s">
        <v>56</v>
      </c>
      <c r="C2778" s="10" t="s">
        <v>4223</v>
      </c>
      <c r="D2778" t="s">
        <v>58</v>
      </c>
      <c r="E2778" t="s">
        <v>4176</v>
      </c>
      <c r="F2778" t="s">
        <v>6048</v>
      </c>
      <c r="G2778">
        <v>100000</v>
      </c>
      <c r="H2778">
        <v>1981</v>
      </c>
      <c r="I2778" t="s">
        <v>58</v>
      </c>
      <c r="J2778" t="s">
        <v>58</v>
      </c>
      <c r="K2778" t="s">
        <v>58</v>
      </c>
      <c r="L2778" t="s">
        <v>58</v>
      </c>
      <c r="M2778" t="s">
        <v>58</v>
      </c>
      <c r="O2778" t="s">
        <v>61</v>
      </c>
      <c r="Q2778" t="s">
        <v>58</v>
      </c>
      <c r="R2778" s="11" t="str">
        <f>HYPERLINK("\\imagefiles.bcgov\imagery\scanned_maps\moe_terrain_maps\Scanned_T_maps_all\R12\R12-1843","\\imagefiles.bcgov\imagery\scanned_maps\moe_terrain_maps\Scanned_T_maps_all\R12\R12-1843")</f>
        <v>\\imagefiles.bcgov\imagery\scanned_maps\moe_terrain_maps\Scanned_T_maps_all\R12\R12-1843</v>
      </c>
      <c r="S2778" t="s">
        <v>62</v>
      </c>
      <c r="T2778" s="11" t="str">
        <f>HYPERLINK("http://www.env.gov.bc.ca/esd/distdata/ecosystems/TEI_Scanned_Maps/R12/R12-1843","http://www.env.gov.bc.ca/esd/distdata/ecosystems/TEI_Scanned_Maps/R12/R12-1843")</f>
        <v>http://www.env.gov.bc.ca/esd/distdata/ecosystems/TEI_Scanned_Maps/R12/R12-1843</v>
      </c>
      <c r="U2778" t="s">
        <v>58</v>
      </c>
      <c r="V2778" t="s">
        <v>58</v>
      </c>
      <c r="W2778" t="s">
        <v>58</v>
      </c>
      <c r="X2778" t="s">
        <v>58</v>
      </c>
      <c r="Y2778" t="s">
        <v>58</v>
      </c>
      <c r="Z2778" t="s">
        <v>58</v>
      </c>
      <c r="AA2778" t="s">
        <v>58</v>
      </c>
      <c r="AC2778" t="s">
        <v>58</v>
      </c>
      <c r="AE2778" t="s">
        <v>58</v>
      </c>
      <c r="AG2778" t="s">
        <v>63</v>
      </c>
      <c r="AH2778" s="11" t="str">
        <f t="shared" si="171"/>
        <v>mailto: soilterrain@victoria1.gov.bc.ca</v>
      </c>
    </row>
    <row r="2779" spans="1:34">
      <c r="A2779" t="s">
        <v>6049</v>
      </c>
      <c r="B2779" t="s">
        <v>56</v>
      </c>
      <c r="C2779" s="10" t="s">
        <v>1907</v>
      </c>
      <c r="D2779" t="s">
        <v>58</v>
      </c>
      <c r="E2779" t="s">
        <v>4176</v>
      </c>
      <c r="F2779" t="s">
        <v>6050</v>
      </c>
      <c r="G2779">
        <v>100000</v>
      </c>
      <c r="H2779">
        <v>1976</v>
      </c>
      <c r="I2779" t="s">
        <v>58</v>
      </c>
      <c r="J2779" t="s">
        <v>58</v>
      </c>
      <c r="K2779" t="s">
        <v>58</v>
      </c>
      <c r="L2779" t="s">
        <v>58</v>
      </c>
      <c r="M2779" t="s">
        <v>58</v>
      </c>
      <c r="O2779" t="s">
        <v>61</v>
      </c>
      <c r="Q2779" t="s">
        <v>58</v>
      </c>
      <c r="R2779" s="11" t="str">
        <f>HYPERLINK("\\imagefiles.bcgov\imagery\scanned_maps\moe_terrain_maps\Scanned_T_maps_all\R12\R12-1868","\\imagefiles.bcgov\imagery\scanned_maps\moe_terrain_maps\Scanned_T_maps_all\R12\R12-1868")</f>
        <v>\\imagefiles.bcgov\imagery\scanned_maps\moe_terrain_maps\Scanned_T_maps_all\R12\R12-1868</v>
      </c>
      <c r="S2779" t="s">
        <v>62</v>
      </c>
      <c r="T2779" s="11" t="str">
        <f>HYPERLINK("http://www.env.gov.bc.ca/esd/distdata/ecosystems/TEI_Scanned_Maps/R12/R12-1868","http://www.env.gov.bc.ca/esd/distdata/ecosystems/TEI_Scanned_Maps/R12/R12-1868")</f>
        <v>http://www.env.gov.bc.ca/esd/distdata/ecosystems/TEI_Scanned_Maps/R12/R12-1868</v>
      </c>
      <c r="U2779" t="s">
        <v>58</v>
      </c>
      <c r="V2779" t="s">
        <v>58</v>
      </c>
      <c r="W2779" t="s">
        <v>58</v>
      </c>
      <c r="X2779" t="s">
        <v>58</v>
      </c>
      <c r="Y2779" t="s">
        <v>58</v>
      </c>
      <c r="Z2779" t="s">
        <v>58</v>
      </c>
      <c r="AA2779" t="s">
        <v>58</v>
      </c>
      <c r="AC2779" t="s">
        <v>58</v>
      </c>
      <c r="AE2779" t="s">
        <v>58</v>
      </c>
      <c r="AG2779" t="s">
        <v>63</v>
      </c>
      <c r="AH2779" s="11" t="str">
        <f t="shared" si="171"/>
        <v>mailto: soilterrain@victoria1.gov.bc.ca</v>
      </c>
    </row>
    <row r="2780" spans="1:34">
      <c r="A2780" t="s">
        <v>6051</v>
      </c>
      <c r="B2780" t="s">
        <v>56</v>
      </c>
      <c r="C2780" s="10" t="s">
        <v>4231</v>
      </c>
      <c r="D2780" t="s">
        <v>58</v>
      </c>
      <c r="E2780" t="s">
        <v>4176</v>
      </c>
      <c r="F2780" t="s">
        <v>6052</v>
      </c>
      <c r="G2780">
        <v>100000</v>
      </c>
      <c r="H2780">
        <v>1981</v>
      </c>
      <c r="I2780" t="s">
        <v>58</v>
      </c>
      <c r="J2780" t="s">
        <v>58</v>
      </c>
      <c r="K2780" t="s">
        <v>58</v>
      </c>
      <c r="L2780" t="s">
        <v>58</v>
      </c>
      <c r="M2780" t="s">
        <v>58</v>
      </c>
      <c r="O2780" t="s">
        <v>61</v>
      </c>
      <c r="Q2780" t="s">
        <v>58</v>
      </c>
      <c r="R2780" s="11" t="str">
        <f>HYPERLINK("\\imagefiles.bcgov\imagery\scanned_maps\moe_terrain_maps\Scanned_T_maps_all\R12\R12-1901","\\imagefiles.bcgov\imagery\scanned_maps\moe_terrain_maps\Scanned_T_maps_all\R12\R12-1901")</f>
        <v>\\imagefiles.bcgov\imagery\scanned_maps\moe_terrain_maps\Scanned_T_maps_all\R12\R12-1901</v>
      </c>
      <c r="S2780" t="s">
        <v>62</v>
      </c>
      <c r="T2780" s="11" t="str">
        <f>HYPERLINK("http://www.env.gov.bc.ca/esd/distdata/ecosystems/TEI_Scanned_Maps/R12/R12-1901","http://www.env.gov.bc.ca/esd/distdata/ecosystems/TEI_Scanned_Maps/R12/R12-1901")</f>
        <v>http://www.env.gov.bc.ca/esd/distdata/ecosystems/TEI_Scanned_Maps/R12/R12-1901</v>
      </c>
      <c r="U2780" t="s">
        <v>58</v>
      </c>
      <c r="V2780" t="s">
        <v>58</v>
      </c>
      <c r="W2780" t="s">
        <v>58</v>
      </c>
      <c r="X2780" t="s">
        <v>58</v>
      </c>
      <c r="Y2780" t="s">
        <v>58</v>
      </c>
      <c r="Z2780" t="s">
        <v>58</v>
      </c>
      <c r="AA2780" t="s">
        <v>58</v>
      </c>
      <c r="AC2780" t="s">
        <v>58</v>
      </c>
      <c r="AE2780" t="s">
        <v>58</v>
      </c>
      <c r="AG2780" t="s">
        <v>63</v>
      </c>
      <c r="AH2780" s="11" t="str">
        <f t="shared" si="171"/>
        <v>mailto: soilterrain@victoria1.gov.bc.ca</v>
      </c>
    </row>
    <row r="2781" spans="1:34">
      <c r="A2781" t="s">
        <v>6053</v>
      </c>
      <c r="B2781" t="s">
        <v>56</v>
      </c>
      <c r="C2781" s="10" t="s">
        <v>4234</v>
      </c>
      <c r="D2781" t="s">
        <v>58</v>
      </c>
      <c r="E2781" t="s">
        <v>4176</v>
      </c>
      <c r="F2781" t="s">
        <v>6054</v>
      </c>
      <c r="G2781">
        <v>100000</v>
      </c>
      <c r="H2781">
        <v>1976</v>
      </c>
      <c r="I2781" t="s">
        <v>58</v>
      </c>
      <c r="J2781" t="s">
        <v>58</v>
      </c>
      <c r="K2781" t="s">
        <v>58</v>
      </c>
      <c r="L2781" t="s">
        <v>58</v>
      </c>
      <c r="M2781" t="s">
        <v>58</v>
      </c>
      <c r="O2781" t="s">
        <v>61</v>
      </c>
      <c r="Q2781" t="s">
        <v>58</v>
      </c>
      <c r="R2781" s="11" t="str">
        <f>HYPERLINK("\\imagefiles.bcgov\imagery\scanned_maps\moe_terrain_maps\Scanned_T_maps_all\R12\R12-1906","\\imagefiles.bcgov\imagery\scanned_maps\moe_terrain_maps\Scanned_T_maps_all\R12\R12-1906")</f>
        <v>\\imagefiles.bcgov\imagery\scanned_maps\moe_terrain_maps\Scanned_T_maps_all\R12\R12-1906</v>
      </c>
      <c r="S2781" t="s">
        <v>62</v>
      </c>
      <c r="T2781" s="11" t="str">
        <f>HYPERLINK("http://www.env.gov.bc.ca/esd/distdata/ecosystems/TEI_Scanned_Maps/R12/R12-1906","http://www.env.gov.bc.ca/esd/distdata/ecosystems/TEI_Scanned_Maps/R12/R12-1906")</f>
        <v>http://www.env.gov.bc.ca/esd/distdata/ecosystems/TEI_Scanned_Maps/R12/R12-1906</v>
      </c>
      <c r="U2781" t="s">
        <v>58</v>
      </c>
      <c r="V2781" t="s">
        <v>58</v>
      </c>
      <c r="W2781" t="s">
        <v>58</v>
      </c>
      <c r="X2781" t="s">
        <v>58</v>
      </c>
      <c r="Y2781" t="s">
        <v>58</v>
      </c>
      <c r="Z2781" t="s">
        <v>58</v>
      </c>
      <c r="AA2781" t="s">
        <v>58</v>
      </c>
      <c r="AC2781" t="s">
        <v>58</v>
      </c>
      <c r="AE2781" t="s">
        <v>58</v>
      </c>
      <c r="AG2781" t="s">
        <v>63</v>
      </c>
      <c r="AH2781" s="11" t="str">
        <f t="shared" si="171"/>
        <v>mailto: soilterrain@victoria1.gov.bc.ca</v>
      </c>
    </row>
    <row r="2782" spans="1:34">
      <c r="A2782" t="s">
        <v>6055</v>
      </c>
      <c r="B2782" t="s">
        <v>56</v>
      </c>
      <c r="C2782" s="10" t="s">
        <v>1904</v>
      </c>
      <c r="D2782" t="s">
        <v>58</v>
      </c>
      <c r="E2782" t="s">
        <v>4176</v>
      </c>
      <c r="F2782" t="s">
        <v>6056</v>
      </c>
      <c r="G2782">
        <v>100000</v>
      </c>
      <c r="H2782">
        <v>1981</v>
      </c>
      <c r="I2782" t="s">
        <v>58</v>
      </c>
      <c r="J2782" t="s">
        <v>58</v>
      </c>
      <c r="K2782" t="s">
        <v>58</v>
      </c>
      <c r="L2782" t="s">
        <v>58</v>
      </c>
      <c r="M2782" t="s">
        <v>58</v>
      </c>
      <c r="O2782" t="s">
        <v>61</v>
      </c>
      <c r="Q2782" t="s">
        <v>58</v>
      </c>
      <c r="R2782" s="11" t="str">
        <f>HYPERLINK("\\imagefiles.bcgov\imagery\scanned_maps\moe_terrain_maps\Scanned_T_maps_all\R12\R12-1912","\\imagefiles.bcgov\imagery\scanned_maps\moe_terrain_maps\Scanned_T_maps_all\R12\R12-1912")</f>
        <v>\\imagefiles.bcgov\imagery\scanned_maps\moe_terrain_maps\Scanned_T_maps_all\R12\R12-1912</v>
      </c>
      <c r="S2782" t="s">
        <v>62</v>
      </c>
      <c r="T2782" s="11" t="str">
        <f>HYPERLINK("http://www.env.gov.bc.ca/esd/distdata/ecosystems/TEI_Scanned_Maps/R12/R12-1912","http://www.env.gov.bc.ca/esd/distdata/ecosystems/TEI_Scanned_Maps/R12/R12-1912")</f>
        <v>http://www.env.gov.bc.ca/esd/distdata/ecosystems/TEI_Scanned_Maps/R12/R12-1912</v>
      </c>
      <c r="U2782" t="s">
        <v>58</v>
      </c>
      <c r="V2782" t="s">
        <v>58</v>
      </c>
      <c r="W2782" t="s">
        <v>58</v>
      </c>
      <c r="X2782" t="s">
        <v>58</v>
      </c>
      <c r="Y2782" t="s">
        <v>58</v>
      </c>
      <c r="Z2782" t="s">
        <v>58</v>
      </c>
      <c r="AA2782" t="s">
        <v>58</v>
      </c>
      <c r="AC2782" t="s">
        <v>58</v>
      </c>
      <c r="AE2782" t="s">
        <v>58</v>
      </c>
      <c r="AG2782" t="s">
        <v>63</v>
      </c>
      <c r="AH2782" s="11" t="str">
        <f t="shared" si="171"/>
        <v>mailto: soilterrain@victoria1.gov.bc.ca</v>
      </c>
    </row>
    <row r="2783" spans="1:34">
      <c r="A2783" t="s">
        <v>6057</v>
      </c>
      <c r="B2783" t="s">
        <v>56</v>
      </c>
      <c r="C2783" s="10" t="s">
        <v>1922</v>
      </c>
      <c r="D2783" t="s">
        <v>58</v>
      </c>
      <c r="E2783" t="s">
        <v>4176</v>
      </c>
      <c r="F2783" t="s">
        <v>6058</v>
      </c>
      <c r="G2783">
        <v>100000</v>
      </c>
      <c r="H2783">
        <v>1976</v>
      </c>
      <c r="I2783" t="s">
        <v>58</v>
      </c>
      <c r="J2783" t="s">
        <v>58</v>
      </c>
      <c r="K2783" t="s">
        <v>58</v>
      </c>
      <c r="L2783" t="s">
        <v>58</v>
      </c>
      <c r="M2783" t="s">
        <v>58</v>
      </c>
      <c r="O2783" t="s">
        <v>61</v>
      </c>
      <c r="Q2783" t="s">
        <v>58</v>
      </c>
      <c r="R2783" s="11" t="str">
        <f>HYPERLINK("\\imagefiles.bcgov\imagery\scanned_maps\moe_terrain_maps\Scanned_T_maps_all\R12\R12-2042","\\imagefiles.bcgov\imagery\scanned_maps\moe_terrain_maps\Scanned_T_maps_all\R12\R12-2042")</f>
        <v>\\imagefiles.bcgov\imagery\scanned_maps\moe_terrain_maps\Scanned_T_maps_all\R12\R12-2042</v>
      </c>
      <c r="S2783" t="s">
        <v>62</v>
      </c>
      <c r="T2783" s="11" t="str">
        <f>HYPERLINK("http://www.env.gov.bc.ca/esd/distdata/ecosystems/TEI_Scanned_Maps/R12/R12-2042","http://www.env.gov.bc.ca/esd/distdata/ecosystems/TEI_Scanned_Maps/R12/R12-2042")</f>
        <v>http://www.env.gov.bc.ca/esd/distdata/ecosystems/TEI_Scanned_Maps/R12/R12-2042</v>
      </c>
      <c r="U2783" t="s">
        <v>58</v>
      </c>
      <c r="V2783" t="s">
        <v>58</v>
      </c>
      <c r="W2783" t="s">
        <v>58</v>
      </c>
      <c r="X2783" t="s">
        <v>58</v>
      </c>
      <c r="Y2783" t="s">
        <v>58</v>
      </c>
      <c r="Z2783" t="s">
        <v>58</v>
      </c>
      <c r="AA2783" t="s">
        <v>58</v>
      </c>
      <c r="AC2783" t="s">
        <v>58</v>
      </c>
      <c r="AE2783" t="s">
        <v>58</v>
      </c>
      <c r="AG2783" t="s">
        <v>63</v>
      </c>
      <c r="AH2783" s="11" t="str">
        <f t="shared" si="171"/>
        <v>mailto: soilterrain@victoria1.gov.bc.ca</v>
      </c>
    </row>
    <row r="2784" spans="1:34">
      <c r="A2784" t="s">
        <v>6059</v>
      </c>
      <c r="B2784" t="s">
        <v>56</v>
      </c>
      <c r="C2784" s="10" t="s">
        <v>1928</v>
      </c>
      <c r="D2784" t="s">
        <v>58</v>
      </c>
      <c r="E2784" t="s">
        <v>4176</v>
      </c>
      <c r="F2784" t="s">
        <v>6060</v>
      </c>
      <c r="G2784">
        <v>100000</v>
      </c>
      <c r="H2784">
        <v>1981</v>
      </c>
      <c r="I2784" t="s">
        <v>58</v>
      </c>
      <c r="J2784" t="s">
        <v>58</v>
      </c>
      <c r="K2784" t="s">
        <v>58</v>
      </c>
      <c r="L2784" t="s">
        <v>58</v>
      </c>
      <c r="M2784" t="s">
        <v>58</v>
      </c>
      <c r="O2784" t="s">
        <v>61</v>
      </c>
      <c r="Q2784" t="s">
        <v>58</v>
      </c>
      <c r="R2784" s="11" t="str">
        <f>HYPERLINK("\\imagefiles.bcgov\imagery\scanned_maps\moe_terrain_maps\Scanned_T_maps_all\R12\R12-2056","\\imagefiles.bcgov\imagery\scanned_maps\moe_terrain_maps\Scanned_T_maps_all\R12\R12-2056")</f>
        <v>\\imagefiles.bcgov\imagery\scanned_maps\moe_terrain_maps\Scanned_T_maps_all\R12\R12-2056</v>
      </c>
      <c r="S2784" t="s">
        <v>62</v>
      </c>
      <c r="T2784" s="11" t="str">
        <f>HYPERLINK("http://www.env.gov.bc.ca/esd/distdata/ecosystems/TEI_Scanned_Maps/R12/R12-2056","http://www.env.gov.bc.ca/esd/distdata/ecosystems/TEI_Scanned_Maps/R12/R12-2056")</f>
        <v>http://www.env.gov.bc.ca/esd/distdata/ecosystems/TEI_Scanned_Maps/R12/R12-2056</v>
      </c>
      <c r="U2784" t="s">
        <v>58</v>
      </c>
      <c r="V2784" t="s">
        <v>58</v>
      </c>
      <c r="W2784" t="s">
        <v>58</v>
      </c>
      <c r="X2784" t="s">
        <v>58</v>
      </c>
      <c r="Y2784" t="s">
        <v>58</v>
      </c>
      <c r="Z2784" t="s">
        <v>58</v>
      </c>
      <c r="AA2784" t="s">
        <v>58</v>
      </c>
      <c r="AC2784" t="s">
        <v>58</v>
      </c>
      <c r="AE2784" t="s">
        <v>58</v>
      </c>
      <c r="AG2784" t="s">
        <v>63</v>
      </c>
      <c r="AH2784" s="11" t="str">
        <f t="shared" si="171"/>
        <v>mailto: soilterrain@victoria1.gov.bc.ca</v>
      </c>
    </row>
    <row r="2785" spans="1:34">
      <c r="A2785" t="s">
        <v>6061</v>
      </c>
      <c r="B2785" t="s">
        <v>56</v>
      </c>
      <c r="C2785" s="10" t="s">
        <v>4458</v>
      </c>
      <c r="D2785" t="s">
        <v>58</v>
      </c>
      <c r="E2785" t="s">
        <v>4176</v>
      </c>
      <c r="F2785" t="s">
        <v>6062</v>
      </c>
      <c r="G2785">
        <v>100000</v>
      </c>
      <c r="H2785">
        <v>1974</v>
      </c>
      <c r="I2785" t="s">
        <v>58</v>
      </c>
      <c r="J2785" t="s">
        <v>58</v>
      </c>
      <c r="K2785" t="s">
        <v>58</v>
      </c>
      <c r="L2785" t="s">
        <v>58</v>
      </c>
      <c r="M2785" t="s">
        <v>58</v>
      </c>
      <c r="O2785" t="s">
        <v>61</v>
      </c>
      <c r="Q2785" t="s">
        <v>58</v>
      </c>
      <c r="R2785" s="11" t="str">
        <f>HYPERLINK("\\imagefiles.bcgov\imagery\scanned_maps\moe_terrain_maps\Scanned_T_maps_all\R12\R12-2339","\\imagefiles.bcgov\imagery\scanned_maps\moe_terrain_maps\Scanned_T_maps_all\R12\R12-2339")</f>
        <v>\\imagefiles.bcgov\imagery\scanned_maps\moe_terrain_maps\Scanned_T_maps_all\R12\R12-2339</v>
      </c>
      <c r="S2785" t="s">
        <v>62</v>
      </c>
      <c r="T2785" s="11" t="str">
        <f>HYPERLINK("http://www.env.gov.bc.ca/esd/distdata/ecosystems/TEI_Scanned_Maps/R12/R12-2339","http://www.env.gov.bc.ca/esd/distdata/ecosystems/TEI_Scanned_Maps/R12/R12-2339")</f>
        <v>http://www.env.gov.bc.ca/esd/distdata/ecosystems/TEI_Scanned_Maps/R12/R12-2339</v>
      </c>
      <c r="U2785" t="s">
        <v>58</v>
      </c>
      <c r="V2785" t="s">
        <v>58</v>
      </c>
      <c r="W2785" t="s">
        <v>58</v>
      </c>
      <c r="X2785" t="s">
        <v>58</v>
      </c>
      <c r="Y2785" t="s">
        <v>58</v>
      </c>
      <c r="Z2785" t="s">
        <v>58</v>
      </c>
      <c r="AA2785" t="s">
        <v>58</v>
      </c>
      <c r="AC2785" t="s">
        <v>58</v>
      </c>
      <c r="AE2785" t="s">
        <v>58</v>
      </c>
      <c r="AG2785" t="s">
        <v>63</v>
      </c>
      <c r="AH2785" s="11" t="str">
        <f t="shared" si="171"/>
        <v>mailto: soilterrain@victoria1.gov.bc.ca</v>
      </c>
    </row>
    <row r="2786" spans="1:34">
      <c r="A2786" t="s">
        <v>6063</v>
      </c>
      <c r="B2786" t="s">
        <v>56</v>
      </c>
      <c r="C2786" s="10" t="s">
        <v>3157</v>
      </c>
      <c r="D2786" t="s">
        <v>58</v>
      </c>
      <c r="E2786" t="s">
        <v>4176</v>
      </c>
      <c r="F2786" t="s">
        <v>6064</v>
      </c>
      <c r="G2786">
        <v>100000</v>
      </c>
      <c r="H2786">
        <v>1975</v>
      </c>
      <c r="I2786" t="s">
        <v>58</v>
      </c>
      <c r="J2786" t="s">
        <v>58</v>
      </c>
      <c r="K2786" t="s">
        <v>58</v>
      </c>
      <c r="L2786" t="s">
        <v>58</v>
      </c>
      <c r="M2786" t="s">
        <v>58</v>
      </c>
      <c r="O2786" t="s">
        <v>61</v>
      </c>
      <c r="Q2786" t="s">
        <v>58</v>
      </c>
      <c r="R2786" s="11" t="str">
        <f>HYPERLINK("\\imagefiles.bcgov\imagery\scanned_maps\moe_terrain_maps\Scanned_T_maps_all\R12\R12-2344","\\imagefiles.bcgov\imagery\scanned_maps\moe_terrain_maps\Scanned_T_maps_all\R12\R12-2344")</f>
        <v>\\imagefiles.bcgov\imagery\scanned_maps\moe_terrain_maps\Scanned_T_maps_all\R12\R12-2344</v>
      </c>
      <c r="S2786" t="s">
        <v>62</v>
      </c>
      <c r="T2786" s="11" t="str">
        <f>HYPERLINK("http://www.env.gov.bc.ca/esd/distdata/ecosystems/TEI_Scanned_Maps/R12/R12-2344","http://www.env.gov.bc.ca/esd/distdata/ecosystems/TEI_Scanned_Maps/R12/R12-2344")</f>
        <v>http://www.env.gov.bc.ca/esd/distdata/ecosystems/TEI_Scanned_Maps/R12/R12-2344</v>
      </c>
      <c r="U2786" t="s">
        <v>58</v>
      </c>
      <c r="V2786" t="s">
        <v>58</v>
      </c>
      <c r="W2786" t="s">
        <v>58</v>
      </c>
      <c r="X2786" t="s">
        <v>58</v>
      </c>
      <c r="Y2786" t="s">
        <v>58</v>
      </c>
      <c r="Z2786" t="s">
        <v>58</v>
      </c>
      <c r="AA2786" t="s">
        <v>58</v>
      </c>
      <c r="AC2786" t="s">
        <v>58</v>
      </c>
      <c r="AE2786" t="s">
        <v>58</v>
      </c>
      <c r="AG2786" t="s">
        <v>63</v>
      </c>
      <c r="AH2786" s="11" t="str">
        <f t="shared" si="171"/>
        <v>mailto: soilterrain@victoria1.gov.bc.ca</v>
      </c>
    </row>
    <row r="2787" spans="1:34">
      <c r="A2787" t="s">
        <v>6065</v>
      </c>
      <c r="B2787" t="s">
        <v>56</v>
      </c>
      <c r="C2787" s="10" t="s">
        <v>4463</v>
      </c>
      <c r="D2787" t="s">
        <v>58</v>
      </c>
      <c r="E2787" t="s">
        <v>4176</v>
      </c>
      <c r="F2787" t="s">
        <v>6066</v>
      </c>
      <c r="G2787">
        <v>100000</v>
      </c>
      <c r="H2787">
        <v>1979</v>
      </c>
      <c r="I2787" t="s">
        <v>58</v>
      </c>
      <c r="J2787" t="s">
        <v>58</v>
      </c>
      <c r="K2787" t="s">
        <v>58</v>
      </c>
      <c r="L2787" t="s">
        <v>58</v>
      </c>
      <c r="M2787" t="s">
        <v>58</v>
      </c>
      <c r="O2787" t="s">
        <v>61</v>
      </c>
      <c r="Q2787" t="s">
        <v>58</v>
      </c>
      <c r="R2787" s="11" t="str">
        <f>HYPERLINK("\\imagefiles.bcgov\imagery\scanned_maps\moe_terrain_maps\Scanned_T_maps_all\R12\R12-2349","\\imagefiles.bcgov\imagery\scanned_maps\moe_terrain_maps\Scanned_T_maps_all\R12\R12-2349")</f>
        <v>\\imagefiles.bcgov\imagery\scanned_maps\moe_terrain_maps\Scanned_T_maps_all\R12\R12-2349</v>
      </c>
      <c r="S2787" t="s">
        <v>62</v>
      </c>
      <c r="T2787" s="11" t="str">
        <f>HYPERLINK("http://www.env.gov.bc.ca/esd/distdata/ecosystems/TEI_Scanned_Maps/R12/R12-2349","http://www.env.gov.bc.ca/esd/distdata/ecosystems/TEI_Scanned_Maps/R12/R12-2349")</f>
        <v>http://www.env.gov.bc.ca/esd/distdata/ecosystems/TEI_Scanned_Maps/R12/R12-2349</v>
      </c>
      <c r="U2787" t="s">
        <v>58</v>
      </c>
      <c r="V2787" t="s">
        <v>58</v>
      </c>
      <c r="W2787" t="s">
        <v>58</v>
      </c>
      <c r="X2787" t="s">
        <v>58</v>
      </c>
      <c r="Y2787" t="s">
        <v>58</v>
      </c>
      <c r="Z2787" t="s">
        <v>58</v>
      </c>
      <c r="AA2787" t="s">
        <v>58</v>
      </c>
      <c r="AC2787" t="s">
        <v>58</v>
      </c>
      <c r="AE2787" t="s">
        <v>58</v>
      </c>
      <c r="AG2787" t="s">
        <v>63</v>
      </c>
      <c r="AH2787" s="11" t="str">
        <f t="shared" si="171"/>
        <v>mailto: soilterrain@victoria1.gov.bc.ca</v>
      </c>
    </row>
    <row r="2788" spans="1:34">
      <c r="A2788" t="s">
        <v>6067</v>
      </c>
      <c r="B2788" t="s">
        <v>56</v>
      </c>
      <c r="C2788" s="10" t="s">
        <v>2148</v>
      </c>
      <c r="D2788" t="s">
        <v>58</v>
      </c>
      <c r="E2788" t="s">
        <v>4176</v>
      </c>
      <c r="F2788" t="s">
        <v>6068</v>
      </c>
      <c r="G2788">
        <v>100000</v>
      </c>
      <c r="H2788">
        <v>1975</v>
      </c>
      <c r="I2788" t="s">
        <v>58</v>
      </c>
      <c r="J2788" t="s">
        <v>58</v>
      </c>
      <c r="K2788" t="s">
        <v>58</v>
      </c>
      <c r="L2788" t="s">
        <v>58</v>
      </c>
      <c r="M2788" t="s">
        <v>58</v>
      </c>
      <c r="O2788" t="s">
        <v>61</v>
      </c>
      <c r="Q2788" t="s">
        <v>58</v>
      </c>
      <c r="R2788" s="11" t="str">
        <f>HYPERLINK("\\imagefiles.bcgov\imagery\scanned_maps\moe_terrain_maps\Scanned_T_maps_all\R12\R12-792","\\imagefiles.bcgov\imagery\scanned_maps\moe_terrain_maps\Scanned_T_maps_all\R12\R12-792")</f>
        <v>\\imagefiles.bcgov\imagery\scanned_maps\moe_terrain_maps\Scanned_T_maps_all\R12\R12-792</v>
      </c>
      <c r="S2788" t="s">
        <v>62</v>
      </c>
      <c r="T2788" s="11" t="str">
        <f>HYPERLINK("http://www.env.gov.bc.ca/esd/distdata/ecosystems/TEI_Scanned_Maps/R12/R12-792","http://www.env.gov.bc.ca/esd/distdata/ecosystems/TEI_Scanned_Maps/R12/R12-792")</f>
        <v>http://www.env.gov.bc.ca/esd/distdata/ecosystems/TEI_Scanned_Maps/R12/R12-792</v>
      </c>
      <c r="U2788" t="s">
        <v>58</v>
      </c>
      <c r="V2788" t="s">
        <v>58</v>
      </c>
      <c r="W2788" t="s">
        <v>58</v>
      </c>
      <c r="X2788" t="s">
        <v>58</v>
      </c>
      <c r="Y2788" t="s">
        <v>58</v>
      </c>
      <c r="Z2788" t="s">
        <v>58</v>
      </c>
      <c r="AA2788" t="s">
        <v>58</v>
      </c>
      <c r="AC2788" t="s">
        <v>58</v>
      </c>
      <c r="AE2788" t="s">
        <v>58</v>
      </c>
      <c r="AG2788" t="s">
        <v>63</v>
      </c>
      <c r="AH2788" s="11" t="str">
        <f t="shared" si="171"/>
        <v>mailto: soilterrain@victoria1.gov.bc.ca</v>
      </c>
    </row>
    <row r="2789" spans="1:34">
      <c r="A2789" t="s">
        <v>6069</v>
      </c>
      <c r="B2789" t="s">
        <v>56</v>
      </c>
      <c r="C2789" s="10" t="s">
        <v>2154</v>
      </c>
      <c r="D2789" t="s">
        <v>58</v>
      </c>
      <c r="E2789" t="s">
        <v>4176</v>
      </c>
      <c r="F2789" t="s">
        <v>6070</v>
      </c>
      <c r="G2789">
        <v>100000</v>
      </c>
      <c r="H2789">
        <v>1979</v>
      </c>
      <c r="I2789" t="s">
        <v>58</v>
      </c>
      <c r="J2789" t="s">
        <v>58</v>
      </c>
      <c r="K2789" t="s">
        <v>58</v>
      </c>
      <c r="L2789" t="s">
        <v>58</v>
      </c>
      <c r="M2789" t="s">
        <v>58</v>
      </c>
      <c r="O2789" t="s">
        <v>61</v>
      </c>
      <c r="Q2789" t="s">
        <v>58</v>
      </c>
      <c r="R2789" s="11" t="str">
        <f>HYPERLINK("\\imagefiles.bcgov\imagery\scanned_maps\moe_terrain_maps\Scanned_T_maps_all\R12\R12-802","\\imagefiles.bcgov\imagery\scanned_maps\moe_terrain_maps\Scanned_T_maps_all\R12\R12-802")</f>
        <v>\\imagefiles.bcgov\imagery\scanned_maps\moe_terrain_maps\Scanned_T_maps_all\R12\R12-802</v>
      </c>
      <c r="S2789" t="s">
        <v>62</v>
      </c>
      <c r="T2789" s="11" t="str">
        <f>HYPERLINK("http://www.env.gov.bc.ca/esd/distdata/ecosystems/TEI_Scanned_Maps/R12/R12-802","http://www.env.gov.bc.ca/esd/distdata/ecosystems/TEI_Scanned_Maps/R12/R12-802")</f>
        <v>http://www.env.gov.bc.ca/esd/distdata/ecosystems/TEI_Scanned_Maps/R12/R12-802</v>
      </c>
      <c r="U2789" t="s">
        <v>58</v>
      </c>
      <c r="V2789" t="s">
        <v>58</v>
      </c>
      <c r="W2789" t="s">
        <v>58</v>
      </c>
      <c r="X2789" t="s">
        <v>58</v>
      </c>
      <c r="Y2789" t="s">
        <v>58</v>
      </c>
      <c r="Z2789" t="s">
        <v>58</v>
      </c>
      <c r="AA2789" t="s">
        <v>58</v>
      </c>
      <c r="AC2789" t="s">
        <v>58</v>
      </c>
      <c r="AE2789" t="s">
        <v>58</v>
      </c>
      <c r="AG2789" t="s">
        <v>63</v>
      </c>
      <c r="AH2789" s="11" t="str">
        <f t="shared" si="171"/>
        <v>mailto: soilterrain@victoria1.gov.bc.ca</v>
      </c>
    </row>
    <row r="2790" spans="1:34">
      <c r="A2790" t="s">
        <v>6071</v>
      </c>
      <c r="B2790" t="s">
        <v>56</v>
      </c>
      <c r="C2790" s="10" t="s">
        <v>2161</v>
      </c>
      <c r="D2790" t="s">
        <v>58</v>
      </c>
      <c r="E2790" t="s">
        <v>4176</v>
      </c>
      <c r="F2790" t="s">
        <v>6072</v>
      </c>
      <c r="G2790">
        <v>100000</v>
      </c>
      <c r="H2790">
        <v>1974</v>
      </c>
      <c r="I2790" t="s">
        <v>58</v>
      </c>
      <c r="J2790" t="s">
        <v>58</v>
      </c>
      <c r="K2790" t="s">
        <v>58</v>
      </c>
      <c r="L2790" t="s">
        <v>58</v>
      </c>
      <c r="M2790" t="s">
        <v>58</v>
      </c>
      <c r="O2790" t="s">
        <v>61</v>
      </c>
      <c r="Q2790" t="s">
        <v>58</v>
      </c>
      <c r="R2790" s="11" t="str">
        <f>HYPERLINK("\\imagefiles.bcgov\imagery\scanned_maps\moe_terrain_maps\Scanned_T_maps_all\R12\R12-848","\\imagefiles.bcgov\imagery\scanned_maps\moe_terrain_maps\Scanned_T_maps_all\R12\R12-848")</f>
        <v>\\imagefiles.bcgov\imagery\scanned_maps\moe_terrain_maps\Scanned_T_maps_all\R12\R12-848</v>
      </c>
      <c r="S2790" t="s">
        <v>62</v>
      </c>
      <c r="T2790" s="11" t="str">
        <f>HYPERLINK("http://www.env.gov.bc.ca/esd/distdata/ecosystems/TEI_Scanned_Maps/R12/R12-848","http://www.env.gov.bc.ca/esd/distdata/ecosystems/TEI_Scanned_Maps/R12/R12-848")</f>
        <v>http://www.env.gov.bc.ca/esd/distdata/ecosystems/TEI_Scanned_Maps/R12/R12-848</v>
      </c>
      <c r="U2790" t="s">
        <v>58</v>
      </c>
      <c r="V2790" t="s">
        <v>58</v>
      </c>
      <c r="W2790" t="s">
        <v>58</v>
      </c>
      <c r="X2790" t="s">
        <v>58</v>
      </c>
      <c r="Y2790" t="s">
        <v>58</v>
      </c>
      <c r="Z2790" t="s">
        <v>58</v>
      </c>
      <c r="AA2790" t="s">
        <v>58</v>
      </c>
      <c r="AC2790" t="s">
        <v>58</v>
      </c>
      <c r="AE2790" t="s">
        <v>58</v>
      </c>
      <c r="AG2790" t="s">
        <v>63</v>
      </c>
      <c r="AH2790" s="11" t="str">
        <f t="shared" si="171"/>
        <v>mailto: soilterrain@victoria1.gov.bc.ca</v>
      </c>
    </row>
    <row r="2791" spans="1:34">
      <c r="A2791" t="s">
        <v>6073</v>
      </c>
      <c r="B2791" t="s">
        <v>56</v>
      </c>
      <c r="C2791" s="10" t="s">
        <v>2171</v>
      </c>
      <c r="D2791" t="s">
        <v>58</v>
      </c>
      <c r="E2791" t="s">
        <v>4176</v>
      </c>
      <c r="F2791" t="s">
        <v>6074</v>
      </c>
      <c r="G2791">
        <v>100000</v>
      </c>
      <c r="H2791">
        <v>1969</v>
      </c>
      <c r="I2791" t="s">
        <v>58</v>
      </c>
      <c r="J2791" t="s">
        <v>58</v>
      </c>
      <c r="K2791" t="s">
        <v>58</v>
      </c>
      <c r="L2791" t="s">
        <v>58</v>
      </c>
      <c r="M2791" t="s">
        <v>58</v>
      </c>
      <c r="O2791" t="s">
        <v>61</v>
      </c>
      <c r="Q2791" t="s">
        <v>58</v>
      </c>
      <c r="R2791" s="11" t="str">
        <f>HYPERLINK("\\imagefiles.bcgov\imagery\scanned_maps\moe_terrain_maps\Scanned_T_maps_all\R12\R12-863","\\imagefiles.bcgov\imagery\scanned_maps\moe_terrain_maps\Scanned_T_maps_all\R12\R12-863")</f>
        <v>\\imagefiles.bcgov\imagery\scanned_maps\moe_terrain_maps\Scanned_T_maps_all\R12\R12-863</v>
      </c>
      <c r="S2791" t="s">
        <v>62</v>
      </c>
      <c r="T2791" s="11" t="str">
        <f>HYPERLINK("http://www.env.gov.bc.ca/esd/distdata/ecosystems/TEI_Scanned_Maps/R12/R12-863","http://www.env.gov.bc.ca/esd/distdata/ecosystems/TEI_Scanned_Maps/R12/R12-863")</f>
        <v>http://www.env.gov.bc.ca/esd/distdata/ecosystems/TEI_Scanned_Maps/R12/R12-863</v>
      </c>
      <c r="U2791" t="s">
        <v>58</v>
      </c>
      <c r="V2791" t="s">
        <v>58</v>
      </c>
      <c r="W2791" t="s">
        <v>58</v>
      </c>
      <c r="X2791" t="s">
        <v>58</v>
      </c>
      <c r="Y2791" t="s">
        <v>58</v>
      </c>
      <c r="Z2791" t="s">
        <v>58</v>
      </c>
      <c r="AA2791" t="s">
        <v>58</v>
      </c>
      <c r="AC2791" t="s">
        <v>58</v>
      </c>
      <c r="AE2791" t="s">
        <v>58</v>
      </c>
      <c r="AG2791" t="s">
        <v>63</v>
      </c>
      <c r="AH2791" s="11" t="str">
        <f t="shared" si="171"/>
        <v>mailto: soilterrain@victoria1.gov.bc.ca</v>
      </c>
    </row>
    <row r="2792" spans="1:34">
      <c r="A2792" t="s">
        <v>6075</v>
      </c>
      <c r="B2792" t="s">
        <v>56</v>
      </c>
      <c r="C2792" s="10" t="s">
        <v>4518</v>
      </c>
      <c r="D2792" t="s">
        <v>58</v>
      </c>
      <c r="E2792" t="s">
        <v>4176</v>
      </c>
      <c r="F2792" t="s">
        <v>6076</v>
      </c>
      <c r="G2792">
        <v>100000</v>
      </c>
      <c r="H2792">
        <v>1976</v>
      </c>
      <c r="I2792" t="s">
        <v>58</v>
      </c>
      <c r="J2792" t="s">
        <v>58</v>
      </c>
      <c r="K2792" t="s">
        <v>58</v>
      </c>
      <c r="L2792" t="s">
        <v>58</v>
      </c>
      <c r="M2792" t="s">
        <v>58</v>
      </c>
      <c r="O2792" t="s">
        <v>61</v>
      </c>
      <c r="Q2792" t="s">
        <v>58</v>
      </c>
      <c r="R2792" s="11" t="str">
        <f>HYPERLINK("\\imagefiles.bcgov\imagery\scanned_maps\moe_terrain_maps\Scanned_T_maps_all\R12\R12-893","\\imagefiles.bcgov\imagery\scanned_maps\moe_terrain_maps\Scanned_T_maps_all\R12\R12-893")</f>
        <v>\\imagefiles.bcgov\imagery\scanned_maps\moe_terrain_maps\Scanned_T_maps_all\R12\R12-893</v>
      </c>
      <c r="S2792" t="s">
        <v>62</v>
      </c>
      <c r="T2792" s="11" t="str">
        <f>HYPERLINK("http://www.env.gov.bc.ca/esd/distdata/ecosystems/TEI_Scanned_Maps/R12/R12-893","http://www.env.gov.bc.ca/esd/distdata/ecosystems/TEI_Scanned_Maps/R12/R12-893")</f>
        <v>http://www.env.gov.bc.ca/esd/distdata/ecosystems/TEI_Scanned_Maps/R12/R12-893</v>
      </c>
      <c r="U2792" t="s">
        <v>58</v>
      </c>
      <c r="V2792" t="s">
        <v>58</v>
      </c>
      <c r="W2792" t="s">
        <v>58</v>
      </c>
      <c r="X2792" t="s">
        <v>58</v>
      </c>
      <c r="Y2792" t="s">
        <v>58</v>
      </c>
      <c r="Z2792" t="s">
        <v>58</v>
      </c>
      <c r="AA2792" t="s">
        <v>58</v>
      </c>
      <c r="AC2792" t="s">
        <v>58</v>
      </c>
      <c r="AE2792" t="s">
        <v>58</v>
      </c>
      <c r="AG2792" t="s">
        <v>63</v>
      </c>
      <c r="AH2792" s="11" t="str">
        <f t="shared" si="171"/>
        <v>mailto: soilterrain@victoria1.gov.bc.ca</v>
      </c>
    </row>
    <row r="2793" spans="1:34">
      <c r="A2793" t="s">
        <v>6077</v>
      </c>
      <c r="B2793" t="s">
        <v>56</v>
      </c>
      <c r="C2793" s="10" t="s">
        <v>4521</v>
      </c>
      <c r="D2793" t="s">
        <v>58</v>
      </c>
      <c r="E2793" t="s">
        <v>4176</v>
      </c>
      <c r="F2793" t="s">
        <v>6078</v>
      </c>
      <c r="G2793">
        <v>100000</v>
      </c>
      <c r="H2793">
        <v>1969</v>
      </c>
      <c r="I2793" t="s">
        <v>58</v>
      </c>
      <c r="J2793" t="s">
        <v>58</v>
      </c>
      <c r="K2793" t="s">
        <v>58</v>
      </c>
      <c r="L2793" t="s">
        <v>58</v>
      </c>
      <c r="M2793" t="s">
        <v>58</v>
      </c>
      <c r="O2793" t="s">
        <v>61</v>
      </c>
      <c r="Q2793" t="s">
        <v>58</v>
      </c>
      <c r="R2793" s="11" t="str">
        <f>HYPERLINK("\\imagefiles.bcgov\imagery\scanned_maps\moe_terrain_maps\Scanned_T_maps_all\R12\R12-896","\\imagefiles.bcgov\imagery\scanned_maps\moe_terrain_maps\Scanned_T_maps_all\R12\R12-896")</f>
        <v>\\imagefiles.bcgov\imagery\scanned_maps\moe_terrain_maps\Scanned_T_maps_all\R12\R12-896</v>
      </c>
      <c r="S2793" t="s">
        <v>62</v>
      </c>
      <c r="T2793" s="11" t="str">
        <f>HYPERLINK("http://www.env.gov.bc.ca/esd/distdata/ecosystems/TEI_Scanned_Maps/R12/R12-896","http://www.env.gov.bc.ca/esd/distdata/ecosystems/TEI_Scanned_Maps/R12/R12-896")</f>
        <v>http://www.env.gov.bc.ca/esd/distdata/ecosystems/TEI_Scanned_Maps/R12/R12-896</v>
      </c>
      <c r="U2793" t="s">
        <v>58</v>
      </c>
      <c r="V2793" t="s">
        <v>58</v>
      </c>
      <c r="W2793" t="s">
        <v>58</v>
      </c>
      <c r="X2793" t="s">
        <v>58</v>
      </c>
      <c r="Y2793" t="s">
        <v>58</v>
      </c>
      <c r="Z2793" t="s">
        <v>58</v>
      </c>
      <c r="AA2793" t="s">
        <v>58</v>
      </c>
      <c r="AC2793" t="s">
        <v>58</v>
      </c>
      <c r="AE2793" t="s">
        <v>58</v>
      </c>
      <c r="AG2793" t="s">
        <v>63</v>
      </c>
      <c r="AH2793" s="11" t="str">
        <f t="shared" si="171"/>
        <v>mailto: soilterrain@victoria1.gov.bc.ca</v>
      </c>
    </row>
    <row r="2794" spans="1:34">
      <c r="A2794" t="s">
        <v>6079</v>
      </c>
      <c r="B2794" t="s">
        <v>56</v>
      </c>
      <c r="C2794" s="10" t="s">
        <v>4524</v>
      </c>
      <c r="D2794" t="s">
        <v>58</v>
      </c>
      <c r="E2794" t="s">
        <v>4176</v>
      </c>
      <c r="F2794" t="s">
        <v>6080</v>
      </c>
      <c r="G2794">
        <v>100000</v>
      </c>
      <c r="H2794">
        <v>1976</v>
      </c>
      <c r="I2794" t="s">
        <v>58</v>
      </c>
      <c r="J2794" t="s">
        <v>58</v>
      </c>
      <c r="K2794" t="s">
        <v>58</v>
      </c>
      <c r="L2794" t="s">
        <v>58</v>
      </c>
      <c r="M2794" t="s">
        <v>58</v>
      </c>
      <c r="O2794" t="s">
        <v>61</v>
      </c>
      <c r="Q2794" t="s">
        <v>58</v>
      </c>
      <c r="R2794" s="11" t="str">
        <f>HYPERLINK("\\imagefiles.bcgov\imagery\scanned_maps\moe_terrain_maps\Scanned_T_maps_all\R12\R12-903","\\imagefiles.bcgov\imagery\scanned_maps\moe_terrain_maps\Scanned_T_maps_all\R12\R12-903")</f>
        <v>\\imagefiles.bcgov\imagery\scanned_maps\moe_terrain_maps\Scanned_T_maps_all\R12\R12-903</v>
      </c>
      <c r="S2794" t="s">
        <v>62</v>
      </c>
      <c r="T2794" s="11" t="str">
        <f>HYPERLINK("http://www.env.gov.bc.ca/esd/distdata/ecosystems/TEI_Scanned_Maps/R12/R12-903","http://www.env.gov.bc.ca/esd/distdata/ecosystems/TEI_Scanned_Maps/R12/R12-903")</f>
        <v>http://www.env.gov.bc.ca/esd/distdata/ecosystems/TEI_Scanned_Maps/R12/R12-903</v>
      </c>
      <c r="U2794" t="s">
        <v>58</v>
      </c>
      <c r="V2794" t="s">
        <v>58</v>
      </c>
      <c r="W2794" t="s">
        <v>58</v>
      </c>
      <c r="X2794" t="s">
        <v>58</v>
      </c>
      <c r="Y2794" t="s">
        <v>58</v>
      </c>
      <c r="Z2794" t="s">
        <v>58</v>
      </c>
      <c r="AA2794" t="s">
        <v>58</v>
      </c>
      <c r="AC2794" t="s">
        <v>58</v>
      </c>
      <c r="AE2794" t="s">
        <v>58</v>
      </c>
      <c r="AG2794" t="s">
        <v>63</v>
      </c>
      <c r="AH2794" s="11" t="str">
        <f t="shared" si="171"/>
        <v>mailto: soilterrain@victoria1.gov.bc.ca</v>
      </c>
    </row>
    <row r="2795" spans="1:34">
      <c r="A2795" t="s">
        <v>6081</v>
      </c>
      <c r="B2795" t="s">
        <v>56</v>
      </c>
      <c r="C2795" s="10" t="s">
        <v>2077</v>
      </c>
      <c r="D2795" t="s">
        <v>58</v>
      </c>
      <c r="E2795" t="s">
        <v>4176</v>
      </c>
      <c r="F2795" t="s">
        <v>6082</v>
      </c>
      <c r="G2795">
        <v>100000</v>
      </c>
      <c r="H2795">
        <v>1969</v>
      </c>
      <c r="I2795" t="s">
        <v>58</v>
      </c>
      <c r="J2795" t="s">
        <v>58</v>
      </c>
      <c r="K2795" t="s">
        <v>58</v>
      </c>
      <c r="L2795" t="s">
        <v>58</v>
      </c>
      <c r="M2795" t="s">
        <v>58</v>
      </c>
      <c r="O2795" t="s">
        <v>61</v>
      </c>
      <c r="Q2795" t="s">
        <v>58</v>
      </c>
      <c r="R2795" s="11" t="str">
        <f>HYPERLINK("\\imagefiles.bcgov\imagery\scanned_maps\moe_terrain_maps\Scanned_T_maps_all\R13\R13-1072","\\imagefiles.bcgov\imagery\scanned_maps\moe_terrain_maps\Scanned_T_maps_all\R13\R13-1072")</f>
        <v>\\imagefiles.bcgov\imagery\scanned_maps\moe_terrain_maps\Scanned_T_maps_all\R13\R13-1072</v>
      </c>
      <c r="S2795" t="s">
        <v>62</v>
      </c>
      <c r="T2795" s="11" t="str">
        <f>HYPERLINK("http://www.env.gov.bc.ca/esd/distdata/ecosystems/TEI_Scanned_Maps/R13/R13-1072","http://www.env.gov.bc.ca/esd/distdata/ecosystems/TEI_Scanned_Maps/R13/R13-1072")</f>
        <v>http://www.env.gov.bc.ca/esd/distdata/ecosystems/TEI_Scanned_Maps/R13/R13-1072</v>
      </c>
      <c r="U2795" t="s">
        <v>58</v>
      </c>
      <c r="V2795" t="s">
        <v>58</v>
      </c>
      <c r="W2795" t="s">
        <v>58</v>
      </c>
      <c r="X2795" t="s">
        <v>58</v>
      </c>
      <c r="Y2795" t="s">
        <v>58</v>
      </c>
      <c r="Z2795" t="s">
        <v>58</v>
      </c>
      <c r="AA2795" t="s">
        <v>58</v>
      </c>
      <c r="AC2795" t="s">
        <v>58</v>
      </c>
      <c r="AE2795" t="s">
        <v>58</v>
      </c>
      <c r="AG2795" t="s">
        <v>63</v>
      </c>
      <c r="AH2795" s="11" t="str">
        <f t="shared" si="171"/>
        <v>mailto: soilterrain@victoria1.gov.bc.ca</v>
      </c>
    </row>
    <row r="2796" spans="1:34">
      <c r="A2796" t="s">
        <v>6083</v>
      </c>
      <c r="B2796" t="s">
        <v>56</v>
      </c>
      <c r="C2796" s="10" t="s">
        <v>3067</v>
      </c>
      <c r="D2796" t="s">
        <v>58</v>
      </c>
      <c r="E2796" t="s">
        <v>4176</v>
      </c>
      <c r="F2796" t="s">
        <v>6084</v>
      </c>
      <c r="G2796">
        <v>100000</v>
      </c>
      <c r="H2796">
        <v>1976</v>
      </c>
      <c r="I2796" t="s">
        <v>58</v>
      </c>
      <c r="J2796" t="s">
        <v>58</v>
      </c>
      <c r="K2796" t="s">
        <v>58</v>
      </c>
      <c r="L2796" t="s">
        <v>58</v>
      </c>
      <c r="M2796" t="s">
        <v>58</v>
      </c>
      <c r="O2796" t="s">
        <v>61</v>
      </c>
      <c r="Q2796" t="s">
        <v>58</v>
      </c>
      <c r="R2796" s="11" t="str">
        <f>HYPERLINK("\\imagefiles.bcgov\imagery\scanned_maps\moe_terrain_maps\Scanned_T_maps_all\R13\R13-1095","\\imagefiles.bcgov\imagery\scanned_maps\moe_terrain_maps\Scanned_T_maps_all\R13\R13-1095")</f>
        <v>\\imagefiles.bcgov\imagery\scanned_maps\moe_terrain_maps\Scanned_T_maps_all\R13\R13-1095</v>
      </c>
      <c r="S2796" t="s">
        <v>62</v>
      </c>
      <c r="T2796" s="11" t="str">
        <f>HYPERLINK("http://www.env.gov.bc.ca/esd/distdata/ecosystems/TEI_Scanned_Maps/R13/R13-1095","http://www.env.gov.bc.ca/esd/distdata/ecosystems/TEI_Scanned_Maps/R13/R13-1095")</f>
        <v>http://www.env.gov.bc.ca/esd/distdata/ecosystems/TEI_Scanned_Maps/R13/R13-1095</v>
      </c>
      <c r="U2796" t="s">
        <v>58</v>
      </c>
      <c r="V2796" t="s">
        <v>58</v>
      </c>
      <c r="W2796" t="s">
        <v>58</v>
      </c>
      <c r="X2796" t="s">
        <v>58</v>
      </c>
      <c r="Y2796" t="s">
        <v>58</v>
      </c>
      <c r="Z2796" t="s">
        <v>58</v>
      </c>
      <c r="AA2796" t="s">
        <v>58</v>
      </c>
      <c r="AC2796" t="s">
        <v>58</v>
      </c>
      <c r="AE2796" t="s">
        <v>58</v>
      </c>
      <c r="AG2796" t="s">
        <v>63</v>
      </c>
      <c r="AH2796" s="11" t="str">
        <f t="shared" si="171"/>
        <v>mailto: soilterrain@victoria1.gov.bc.ca</v>
      </c>
    </row>
    <row r="2797" spans="1:34">
      <c r="A2797" t="s">
        <v>6085</v>
      </c>
      <c r="B2797" t="s">
        <v>56</v>
      </c>
      <c r="C2797" s="10" t="s">
        <v>1878</v>
      </c>
      <c r="D2797" t="s">
        <v>58</v>
      </c>
      <c r="E2797" t="s">
        <v>4176</v>
      </c>
      <c r="F2797" t="s">
        <v>6086</v>
      </c>
      <c r="G2797">
        <v>100000</v>
      </c>
      <c r="H2797">
        <v>1969</v>
      </c>
      <c r="I2797" t="s">
        <v>58</v>
      </c>
      <c r="J2797" t="s">
        <v>58</v>
      </c>
      <c r="K2797" t="s">
        <v>58</v>
      </c>
      <c r="L2797" t="s">
        <v>58</v>
      </c>
      <c r="M2797" t="s">
        <v>58</v>
      </c>
      <c r="O2797" t="s">
        <v>61</v>
      </c>
      <c r="Q2797" t="s">
        <v>58</v>
      </c>
      <c r="R2797" s="11" t="str">
        <f>HYPERLINK("\\imagefiles.bcgov\imagery\scanned_maps\moe_terrain_maps\Scanned_T_maps_all\R13\R13-1339","\\imagefiles.bcgov\imagery\scanned_maps\moe_terrain_maps\Scanned_T_maps_all\R13\R13-1339")</f>
        <v>\\imagefiles.bcgov\imagery\scanned_maps\moe_terrain_maps\Scanned_T_maps_all\R13\R13-1339</v>
      </c>
      <c r="S2797" t="s">
        <v>62</v>
      </c>
      <c r="T2797" s="11" t="str">
        <f>HYPERLINK("http://www.env.gov.bc.ca/esd/distdata/ecosystems/TEI_Scanned_Maps/R13/R13-1339","http://www.env.gov.bc.ca/esd/distdata/ecosystems/TEI_Scanned_Maps/R13/R13-1339")</f>
        <v>http://www.env.gov.bc.ca/esd/distdata/ecosystems/TEI_Scanned_Maps/R13/R13-1339</v>
      </c>
      <c r="U2797" t="s">
        <v>58</v>
      </c>
      <c r="V2797" t="s">
        <v>58</v>
      </c>
      <c r="W2797" t="s">
        <v>58</v>
      </c>
      <c r="X2797" t="s">
        <v>58</v>
      </c>
      <c r="Y2797" t="s">
        <v>58</v>
      </c>
      <c r="Z2797" t="s">
        <v>58</v>
      </c>
      <c r="AA2797" t="s">
        <v>58</v>
      </c>
      <c r="AC2797" t="s">
        <v>58</v>
      </c>
      <c r="AE2797" t="s">
        <v>58</v>
      </c>
      <c r="AG2797" t="s">
        <v>63</v>
      </c>
      <c r="AH2797" s="11" t="str">
        <f t="shared" si="171"/>
        <v>mailto: soilterrain@victoria1.gov.bc.ca</v>
      </c>
    </row>
    <row r="2798" spans="1:34">
      <c r="A2798" t="s">
        <v>6087</v>
      </c>
      <c r="B2798" t="s">
        <v>56</v>
      </c>
      <c r="C2798" s="10" t="s">
        <v>1881</v>
      </c>
      <c r="D2798" t="s">
        <v>58</v>
      </c>
      <c r="E2798" t="s">
        <v>4176</v>
      </c>
      <c r="F2798" t="s">
        <v>6088</v>
      </c>
      <c r="G2798">
        <v>100000</v>
      </c>
      <c r="H2798">
        <v>1976</v>
      </c>
      <c r="I2798" t="s">
        <v>58</v>
      </c>
      <c r="J2798" t="s">
        <v>58</v>
      </c>
      <c r="K2798" t="s">
        <v>58</v>
      </c>
      <c r="L2798" t="s">
        <v>58</v>
      </c>
      <c r="M2798" t="s">
        <v>58</v>
      </c>
      <c r="O2798" t="s">
        <v>61</v>
      </c>
      <c r="Q2798" t="s">
        <v>58</v>
      </c>
      <c r="R2798" s="11" t="str">
        <f>HYPERLINK("\\imagefiles.bcgov\imagery\scanned_maps\moe_terrain_maps\Scanned_T_maps_all\R13\R13-1346","\\imagefiles.bcgov\imagery\scanned_maps\moe_terrain_maps\Scanned_T_maps_all\R13\R13-1346")</f>
        <v>\\imagefiles.bcgov\imagery\scanned_maps\moe_terrain_maps\Scanned_T_maps_all\R13\R13-1346</v>
      </c>
      <c r="S2798" t="s">
        <v>62</v>
      </c>
      <c r="T2798" s="11" t="str">
        <f>HYPERLINK("http://www.env.gov.bc.ca/esd/distdata/ecosystems/TEI_Scanned_Maps/R13/R13-1346","http://www.env.gov.bc.ca/esd/distdata/ecosystems/TEI_Scanned_Maps/R13/R13-1346")</f>
        <v>http://www.env.gov.bc.ca/esd/distdata/ecosystems/TEI_Scanned_Maps/R13/R13-1346</v>
      </c>
      <c r="U2798" t="s">
        <v>58</v>
      </c>
      <c r="V2798" t="s">
        <v>58</v>
      </c>
      <c r="W2798" t="s">
        <v>58</v>
      </c>
      <c r="X2798" t="s">
        <v>58</v>
      </c>
      <c r="Y2798" t="s">
        <v>58</v>
      </c>
      <c r="Z2798" t="s">
        <v>58</v>
      </c>
      <c r="AA2798" t="s">
        <v>58</v>
      </c>
      <c r="AC2798" t="s">
        <v>58</v>
      </c>
      <c r="AE2798" t="s">
        <v>58</v>
      </c>
      <c r="AG2798" t="s">
        <v>63</v>
      </c>
      <c r="AH2798" s="11" t="str">
        <f t="shared" si="171"/>
        <v>mailto: soilterrain@victoria1.gov.bc.ca</v>
      </c>
    </row>
    <row r="2799" spans="1:34">
      <c r="A2799" t="s">
        <v>6089</v>
      </c>
      <c r="B2799" t="s">
        <v>56</v>
      </c>
      <c r="C2799" s="10" t="s">
        <v>1884</v>
      </c>
      <c r="D2799" t="s">
        <v>58</v>
      </c>
      <c r="E2799" t="s">
        <v>4176</v>
      </c>
      <c r="F2799" t="s">
        <v>6090</v>
      </c>
      <c r="G2799">
        <v>100000</v>
      </c>
      <c r="H2799">
        <v>1969</v>
      </c>
      <c r="I2799" t="s">
        <v>58</v>
      </c>
      <c r="J2799" t="s">
        <v>58</v>
      </c>
      <c r="K2799" t="s">
        <v>58</v>
      </c>
      <c r="L2799" t="s">
        <v>58</v>
      </c>
      <c r="M2799" t="s">
        <v>58</v>
      </c>
      <c r="O2799" t="s">
        <v>61</v>
      </c>
      <c r="Q2799" t="s">
        <v>58</v>
      </c>
      <c r="R2799" s="11" t="str">
        <f>HYPERLINK("\\imagefiles.bcgov\imagery\scanned_maps\moe_terrain_maps\Scanned_T_maps_all\R13\R13-1354","\\imagefiles.bcgov\imagery\scanned_maps\moe_terrain_maps\Scanned_T_maps_all\R13\R13-1354")</f>
        <v>\\imagefiles.bcgov\imagery\scanned_maps\moe_terrain_maps\Scanned_T_maps_all\R13\R13-1354</v>
      </c>
      <c r="S2799" t="s">
        <v>62</v>
      </c>
      <c r="T2799" s="11" t="str">
        <f>HYPERLINK("http://www.env.gov.bc.ca/esd/distdata/ecosystems/TEI_Scanned_Maps/R13/R13-1354","http://www.env.gov.bc.ca/esd/distdata/ecosystems/TEI_Scanned_Maps/R13/R13-1354")</f>
        <v>http://www.env.gov.bc.ca/esd/distdata/ecosystems/TEI_Scanned_Maps/R13/R13-1354</v>
      </c>
      <c r="U2799" t="s">
        <v>58</v>
      </c>
      <c r="V2799" t="s">
        <v>58</v>
      </c>
      <c r="W2799" t="s">
        <v>58</v>
      </c>
      <c r="X2799" t="s">
        <v>58</v>
      </c>
      <c r="Y2799" t="s">
        <v>58</v>
      </c>
      <c r="Z2799" t="s">
        <v>58</v>
      </c>
      <c r="AA2799" t="s">
        <v>58</v>
      </c>
      <c r="AC2799" t="s">
        <v>58</v>
      </c>
      <c r="AE2799" t="s">
        <v>58</v>
      </c>
      <c r="AG2799" t="s">
        <v>63</v>
      </c>
      <c r="AH2799" s="11" t="str">
        <f t="shared" si="171"/>
        <v>mailto: soilterrain@victoria1.gov.bc.ca</v>
      </c>
    </row>
    <row r="2800" spans="1:34">
      <c r="A2800" t="s">
        <v>6091</v>
      </c>
      <c r="B2800" t="s">
        <v>56</v>
      </c>
      <c r="C2800" s="10" t="s">
        <v>3077</v>
      </c>
      <c r="D2800" t="s">
        <v>58</v>
      </c>
      <c r="E2800" t="s">
        <v>4176</v>
      </c>
      <c r="F2800" t="s">
        <v>6092</v>
      </c>
      <c r="G2800">
        <v>100000</v>
      </c>
      <c r="H2800">
        <v>1976</v>
      </c>
      <c r="I2800" t="s">
        <v>58</v>
      </c>
      <c r="J2800" t="s">
        <v>58</v>
      </c>
      <c r="K2800" t="s">
        <v>58</v>
      </c>
      <c r="L2800" t="s">
        <v>58</v>
      </c>
      <c r="M2800" t="s">
        <v>58</v>
      </c>
      <c r="O2800" t="s">
        <v>61</v>
      </c>
      <c r="Q2800" t="s">
        <v>58</v>
      </c>
      <c r="R2800" s="11" t="str">
        <f>HYPERLINK("\\imagefiles.bcgov\imagery\scanned_maps\moe_terrain_maps\Scanned_T_maps_all\R13\R13-1360","\\imagefiles.bcgov\imagery\scanned_maps\moe_terrain_maps\Scanned_T_maps_all\R13\R13-1360")</f>
        <v>\\imagefiles.bcgov\imagery\scanned_maps\moe_terrain_maps\Scanned_T_maps_all\R13\R13-1360</v>
      </c>
      <c r="S2800" t="s">
        <v>62</v>
      </c>
      <c r="T2800" s="11" t="str">
        <f>HYPERLINK("http://www.env.gov.bc.ca/esd/distdata/ecosystems/TEI_Scanned_Maps/R13/R13-1360","http://www.env.gov.bc.ca/esd/distdata/ecosystems/TEI_Scanned_Maps/R13/R13-1360")</f>
        <v>http://www.env.gov.bc.ca/esd/distdata/ecosystems/TEI_Scanned_Maps/R13/R13-1360</v>
      </c>
      <c r="U2800" t="s">
        <v>58</v>
      </c>
      <c r="V2800" t="s">
        <v>58</v>
      </c>
      <c r="W2800" t="s">
        <v>58</v>
      </c>
      <c r="X2800" t="s">
        <v>58</v>
      </c>
      <c r="Y2800" t="s">
        <v>58</v>
      </c>
      <c r="Z2800" t="s">
        <v>58</v>
      </c>
      <c r="AA2800" t="s">
        <v>58</v>
      </c>
      <c r="AC2800" t="s">
        <v>58</v>
      </c>
      <c r="AE2800" t="s">
        <v>58</v>
      </c>
      <c r="AG2800" t="s">
        <v>63</v>
      </c>
      <c r="AH2800" s="11" t="str">
        <f t="shared" si="171"/>
        <v>mailto: soilterrain@victoria1.gov.bc.ca</v>
      </c>
    </row>
    <row r="2801" spans="1:34">
      <c r="A2801" t="s">
        <v>6093</v>
      </c>
      <c r="B2801" t="s">
        <v>56</v>
      </c>
      <c r="C2801" s="10" t="s">
        <v>1890</v>
      </c>
      <c r="D2801" t="s">
        <v>58</v>
      </c>
      <c r="E2801" t="s">
        <v>4176</v>
      </c>
      <c r="F2801" t="s">
        <v>6094</v>
      </c>
      <c r="G2801">
        <v>100000</v>
      </c>
      <c r="H2801">
        <v>1969</v>
      </c>
      <c r="I2801" t="s">
        <v>58</v>
      </c>
      <c r="J2801" t="s">
        <v>58</v>
      </c>
      <c r="K2801" t="s">
        <v>58</v>
      </c>
      <c r="L2801" t="s">
        <v>58</v>
      </c>
      <c r="M2801" t="s">
        <v>58</v>
      </c>
      <c r="O2801" t="s">
        <v>61</v>
      </c>
      <c r="Q2801" t="s">
        <v>58</v>
      </c>
      <c r="R2801" s="11" t="str">
        <f>HYPERLINK("\\imagefiles.bcgov\imagery\scanned_maps\moe_terrain_maps\Scanned_T_maps_all\R13\R13-1632","\\imagefiles.bcgov\imagery\scanned_maps\moe_terrain_maps\Scanned_T_maps_all\R13\R13-1632")</f>
        <v>\\imagefiles.bcgov\imagery\scanned_maps\moe_terrain_maps\Scanned_T_maps_all\R13\R13-1632</v>
      </c>
      <c r="S2801" t="s">
        <v>62</v>
      </c>
      <c r="T2801" s="11" t="str">
        <f>HYPERLINK("http://www.env.gov.bc.ca/esd/distdata/ecosystems/TEI_Scanned_Maps/R13/R13-1632","http://www.env.gov.bc.ca/esd/distdata/ecosystems/TEI_Scanned_Maps/R13/R13-1632")</f>
        <v>http://www.env.gov.bc.ca/esd/distdata/ecosystems/TEI_Scanned_Maps/R13/R13-1632</v>
      </c>
      <c r="U2801" t="s">
        <v>58</v>
      </c>
      <c r="V2801" t="s">
        <v>58</v>
      </c>
      <c r="W2801" t="s">
        <v>58</v>
      </c>
      <c r="X2801" t="s">
        <v>58</v>
      </c>
      <c r="Y2801" t="s">
        <v>58</v>
      </c>
      <c r="Z2801" t="s">
        <v>58</v>
      </c>
      <c r="AA2801" t="s">
        <v>58</v>
      </c>
      <c r="AC2801" t="s">
        <v>58</v>
      </c>
      <c r="AE2801" t="s">
        <v>58</v>
      </c>
      <c r="AG2801" t="s">
        <v>63</v>
      </c>
      <c r="AH2801" s="11" t="str">
        <f t="shared" si="171"/>
        <v>mailto: soilterrain@victoria1.gov.bc.ca</v>
      </c>
    </row>
    <row r="2802" spans="1:34">
      <c r="A2802" t="s">
        <v>6095</v>
      </c>
      <c r="B2802" t="s">
        <v>56</v>
      </c>
      <c r="C2802" s="10" t="s">
        <v>4198</v>
      </c>
      <c r="D2802" t="s">
        <v>58</v>
      </c>
      <c r="E2802" t="s">
        <v>4176</v>
      </c>
      <c r="F2802" t="s">
        <v>6096</v>
      </c>
      <c r="G2802">
        <v>100000</v>
      </c>
      <c r="H2802">
        <v>1976</v>
      </c>
      <c r="I2802" t="s">
        <v>58</v>
      </c>
      <c r="J2802" t="s">
        <v>58</v>
      </c>
      <c r="K2802" t="s">
        <v>58</v>
      </c>
      <c r="L2802" t="s">
        <v>58</v>
      </c>
      <c r="M2802" t="s">
        <v>58</v>
      </c>
      <c r="O2802" t="s">
        <v>61</v>
      </c>
      <c r="Q2802" t="s">
        <v>58</v>
      </c>
      <c r="R2802" s="11" t="str">
        <f>HYPERLINK("\\imagefiles.bcgov\imagery\scanned_maps\moe_terrain_maps\Scanned_T_maps_all\R13\R13-1638","\\imagefiles.bcgov\imagery\scanned_maps\moe_terrain_maps\Scanned_T_maps_all\R13\R13-1638")</f>
        <v>\\imagefiles.bcgov\imagery\scanned_maps\moe_terrain_maps\Scanned_T_maps_all\R13\R13-1638</v>
      </c>
      <c r="S2802" t="s">
        <v>62</v>
      </c>
      <c r="T2802" s="11" t="str">
        <f>HYPERLINK("http://www.env.gov.bc.ca/esd/distdata/ecosystems/TEI_Scanned_Maps/R13/R13-1638","http://www.env.gov.bc.ca/esd/distdata/ecosystems/TEI_Scanned_Maps/R13/R13-1638")</f>
        <v>http://www.env.gov.bc.ca/esd/distdata/ecosystems/TEI_Scanned_Maps/R13/R13-1638</v>
      </c>
      <c r="U2802" t="s">
        <v>58</v>
      </c>
      <c r="V2802" t="s">
        <v>58</v>
      </c>
      <c r="W2802" t="s">
        <v>58</v>
      </c>
      <c r="X2802" t="s">
        <v>58</v>
      </c>
      <c r="Y2802" t="s">
        <v>58</v>
      </c>
      <c r="Z2802" t="s">
        <v>58</v>
      </c>
      <c r="AA2802" t="s">
        <v>58</v>
      </c>
      <c r="AC2802" t="s">
        <v>58</v>
      </c>
      <c r="AE2802" t="s">
        <v>58</v>
      </c>
      <c r="AG2802" t="s">
        <v>63</v>
      </c>
      <c r="AH2802" s="11" t="str">
        <f t="shared" si="171"/>
        <v>mailto: soilterrain@victoria1.gov.bc.ca</v>
      </c>
    </row>
    <row r="2803" spans="1:34">
      <c r="A2803" t="s">
        <v>6097</v>
      </c>
      <c r="B2803" t="s">
        <v>56</v>
      </c>
      <c r="C2803" s="10" t="s">
        <v>1893</v>
      </c>
      <c r="D2803" t="s">
        <v>58</v>
      </c>
      <c r="E2803" t="s">
        <v>4176</v>
      </c>
      <c r="F2803" t="s">
        <v>6098</v>
      </c>
      <c r="G2803">
        <v>100000</v>
      </c>
      <c r="H2803">
        <v>1981</v>
      </c>
      <c r="I2803" t="s">
        <v>58</v>
      </c>
      <c r="J2803" t="s">
        <v>58</v>
      </c>
      <c r="K2803" t="s">
        <v>58</v>
      </c>
      <c r="L2803" t="s">
        <v>58</v>
      </c>
      <c r="M2803" t="s">
        <v>58</v>
      </c>
      <c r="O2803" t="s">
        <v>61</v>
      </c>
      <c r="Q2803" t="s">
        <v>58</v>
      </c>
      <c r="R2803" s="11" t="str">
        <f>HYPERLINK("\\imagefiles.bcgov\imagery\scanned_maps\moe_terrain_maps\Scanned_T_maps_all\R13\R13-1645","\\imagefiles.bcgov\imagery\scanned_maps\moe_terrain_maps\Scanned_T_maps_all\R13\R13-1645")</f>
        <v>\\imagefiles.bcgov\imagery\scanned_maps\moe_terrain_maps\Scanned_T_maps_all\R13\R13-1645</v>
      </c>
      <c r="S2803" t="s">
        <v>62</v>
      </c>
      <c r="T2803" s="11" t="str">
        <f>HYPERLINK("http://www.env.gov.bc.ca/esd/distdata/ecosystems/TEI_Scanned_Maps/R13/R13-1645","http://www.env.gov.bc.ca/esd/distdata/ecosystems/TEI_Scanned_Maps/R13/R13-1645")</f>
        <v>http://www.env.gov.bc.ca/esd/distdata/ecosystems/TEI_Scanned_Maps/R13/R13-1645</v>
      </c>
      <c r="U2803" t="s">
        <v>58</v>
      </c>
      <c r="V2803" t="s">
        <v>58</v>
      </c>
      <c r="W2803" t="s">
        <v>58</v>
      </c>
      <c r="X2803" t="s">
        <v>58</v>
      </c>
      <c r="Y2803" t="s">
        <v>58</v>
      </c>
      <c r="Z2803" t="s">
        <v>58</v>
      </c>
      <c r="AA2803" t="s">
        <v>58</v>
      </c>
      <c r="AC2803" t="s">
        <v>58</v>
      </c>
      <c r="AE2803" t="s">
        <v>58</v>
      </c>
      <c r="AG2803" t="s">
        <v>63</v>
      </c>
      <c r="AH2803" s="11" t="str">
        <f t="shared" si="171"/>
        <v>mailto: soilterrain@victoria1.gov.bc.ca</v>
      </c>
    </row>
    <row r="2804" spans="1:34">
      <c r="A2804" t="s">
        <v>6099</v>
      </c>
      <c r="B2804" t="s">
        <v>56</v>
      </c>
      <c r="C2804" s="10" t="s">
        <v>4205</v>
      </c>
      <c r="D2804" t="s">
        <v>58</v>
      </c>
      <c r="E2804" t="s">
        <v>4176</v>
      </c>
      <c r="F2804" t="s">
        <v>6100</v>
      </c>
      <c r="G2804">
        <v>100000</v>
      </c>
      <c r="H2804">
        <v>1976</v>
      </c>
      <c r="I2804" t="s">
        <v>58</v>
      </c>
      <c r="J2804" t="s">
        <v>58</v>
      </c>
      <c r="K2804" t="s">
        <v>58</v>
      </c>
      <c r="L2804" t="s">
        <v>58</v>
      </c>
      <c r="M2804" t="s">
        <v>58</v>
      </c>
      <c r="O2804" t="s">
        <v>61</v>
      </c>
      <c r="Q2804" t="s">
        <v>58</v>
      </c>
      <c r="R2804" s="11" t="str">
        <f>HYPERLINK("\\imagefiles.bcgov\imagery\scanned_maps\moe_terrain_maps\Scanned_T_maps_all\R13\R13-1725","\\imagefiles.bcgov\imagery\scanned_maps\moe_terrain_maps\Scanned_T_maps_all\R13\R13-1725")</f>
        <v>\\imagefiles.bcgov\imagery\scanned_maps\moe_terrain_maps\Scanned_T_maps_all\R13\R13-1725</v>
      </c>
      <c r="S2804" t="s">
        <v>62</v>
      </c>
      <c r="T2804" s="11" t="str">
        <f>HYPERLINK("http://www.env.gov.bc.ca/esd/distdata/ecosystems/TEI_Scanned_Maps/R13/R13-1725","http://www.env.gov.bc.ca/esd/distdata/ecosystems/TEI_Scanned_Maps/R13/R13-1725")</f>
        <v>http://www.env.gov.bc.ca/esd/distdata/ecosystems/TEI_Scanned_Maps/R13/R13-1725</v>
      </c>
      <c r="U2804" t="s">
        <v>58</v>
      </c>
      <c r="V2804" t="s">
        <v>58</v>
      </c>
      <c r="W2804" t="s">
        <v>58</v>
      </c>
      <c r="X2804" t="s">
        <v>58</v>
      </c>
      <c r="Y2804" t="s">
        <v>58</v>
      </c>
      <c r="Z2804" t="s">
        <v>58</v>
      </c>
      <c r="AA2804" t="s">
        <v>58</v>
      </c>
      <c r="AC2804" t="s">
        <v>58</v>
      </c>
      <c r="AE2804" t="s">
        <v>58</v>
      </c>
      <c r="AG2804" t="s">
        <v>63</v>
      </c>
      <c r="AH2804" s="11" t="str">
        <f t="shared" si="171"/>
        <v>mailto: soilterrain@victoria1.gov.bc.ca</v>
      </c>
    </row>
    <row r="2805" spans="1:34">
      <c r="A2805" t="s">
        <v>6101</v>
      </c>
      <c r="B2805" t="s">
        <v>56</v>
      </c>
      <c r="C2805" s="10" t="s">
        <v>477</v>
      </c>
      <c r="D2805" t="s">
        <v>58</v>
      </c>
      <c r="E2805" t="s">
        <v>4176</v>
      </c>
      <c r="F2805" t="s">
        <v>6102</v>
      </c>
      <c r="G2805">
        <v>100000</v>
      </c>
      <c r="H2805">
        <v>1969</v>
      </c>
      <c r="I2805" t="s">
        <v>58</v>
      </c>
      <c r="J2805" t="s">
        <v>58</v>
      </c>
      <c r="K2805" t="s">
        <v>58</v>
      </c>
      <c r="L2805" t="s">
        <v>58</v>
      </c>
      <c r="M2805" t="s">
        <v>58</v>
      </c>
      <c r="O2805" t="s">
        <v>61</v>
      </c>
      <c r="Q2805" t="s">
        <v>58</v>
      </c>
      <c r="R2805" s="11" t="str">
        <f>HYPERLINK("\\imagefiles.bcgov\imagery\scanned_maps\moe_terrain_maps\Scanned_T_maps_all\R13\R13-1735","\\imagefiles.bcgov\imagery\scanned_maps\moe_terrain_maps\Scanned_T_maps_all\R13\R13-1735")</f>
        <v>\\imagefiles.bcgov\imagery\scanned_maps\moe_terrain_maps\Scanned_T_maps_all\R13\R13-1735</v>
      </c>
      <c r="S2805" t="s">
        <v>62</v>
      </c>
      <c r="T2805" s="11" t="str">
        <f>HYPERLINK("http://www.env.gov.bc.ca/esd/distdata/ecosystems/TEI_Scanned_Maps/R13/R13-1735","http://www.env.gov.bc.ca/esd/distdata/ecosystems/TEI_Scanned_Maps/R13/R13-1735")</f>
        <v>http://www.env.gov.bc.ca/esd/distdata/ecosystems/TEI_Scanned_Maps/R13/R13-1735</v>
      </c>
      <c r="U2805" t="s">
        <v>58</v>
      </c>
      <c r="V2805" t="s">
        <v>58</v>
      </c>
      <c r="W2805" t="s">
        <v>58</v>
      </c>
      <c r="X2805" t="s">
        <v>58</v>
      </c>
      <c r="Y2805" t="s">
        <v>58</v>
      </c>
      <c r="Z2805" t="s">
        <v>58</v>
      </c>
      <c r="AA2805" t="s">
        <v>58</v>
      </c>
      <c r="AC2805" t="s">
        <v>58</v>
      </c>
      <c r="AE2805" t="s">
        <v>58</v>
      </c>
      <c r="AG2805" t="s">
        <v>63</v>
      </c>
      <c r="AH2805" s="11" t="str">
        <f t="shared" si="171"/>
        <v>mailto: soilterrain@victoria1.gov.bc.ca</v>
      </c>
    </row>
    <row r="2806" spans="1:34">
      <c r="A2806" t="s">
        <v>6103</v>
      </c>
      <c r="B2806" t="s">
        <v>56</v>
      </c>
      <c r="C2806" s="10" t="s">
        <v>3079</v>
      </c>
      <c r="D2806" t="s">
        <v>58</v>
      </c>
      <c r="E2806" t="s">
        <v>4176</v>
      </c>
      <c r="F2806" t="s">
        <v>6104</v>
      </c>
      <c r="G2806">
        <v>100000</v>
      </c>
      <c r="H2806">
        <v>1976</v>
      </c>
      <c r="I2806" t="s">
        <v>58</v>
      </c>
      <c r="J2806" t="s">
        <v>58</v>
      </c>
      <c r="K2806" t="s">
        <v>58</v>
      </c>
      <c r="L2806" t="s">
        <v>58</v>
      </c>
      <c r="M2806" t="s">
        <v>58</v>
      </c>
      <c r="O2806" t="s">
        <v>61</v>
      </c>
      <c r="Q2806" t="s">
        <v>58</v>
      </c>
      <c r="R2806" s="11" t="str">
        <f>HYPERLINK("\\imagefiles.bcgov\imagery\scanned_maps\moe_terrain_maps\Scanned_T_maps_all\R13\R13-1793","\\imagefiles.bcgov\imagery\scanned_maps\moe_terrain_maps\Scanned_T_maps_all\R13\R13-1793")</f>
        <v>\\imagefiles.bcgov\imagery\scanned_maps\moe_terrain_maps\Scanned_T_maps_all\R13\R13-1793</v>
      </c>
      <c r="S2806" t="s">
        <v>62</v>
      </c>
      <c r="T2806" s="11" t="str">
        <f>HYPERLINK("http://www.env.gov.bc.ca/esd/distdata/ecosystems/TEI_Scanned_Maps/R13/R13-1793","http://www.env.gov.bc.ca/esd/distdata/ecosystems/TEI_Scanned_Maps/R13/R13-1793")</f>
        <v>http://www.env.gov.bc.ca/esd/distdata/ecosystems/TEI_Scanned_Maps/R13/R13-1793</v>
      </c>
      <c r="U2806" t="s">
        <v>58</v>
      </c>
      <c r="V2806" t="s">
        <v>58</v>
      </c>
      <c r="W2806" t="s">
        <v>58</v>
      </c>
      <c r="X2806" t="s">
        <v>58</v>
      </c>
      <c r="Y2806" t="s">
        <v>58</v>
      </c>
      <c r="Z2806" t="s">
        <v>58</v>
      </c>
      <c r="AA2806" t="s">
        <v>58</v>
      </c>
      <c r="AC2806" t="s">
        <v>58</v>
      </c>
      <c r="AE2806" t="s">
        <v>58</v>
      </c>
      <c r="AG2806" t="s">
        <v>63</v>
      </c>
      <c r="AH2806" s="11" t="str">
        <f t="shared" si="171"/>
        <v>mailto: soilterrain@victoria1.gov.bc.ca</v>
      </c>
    </row>
    <row r="2807" spans="1:34">
      <c r="A2807" t="s">
        <v>6105</v>
      </c>
      <c r="B2807" t="s">
        <v>56</v>
      </c>
      <c r="C2807" s="10" t="s">
        <v>3084</v>
      </c>
      <c r="D2807" t="s">
        <v>58</v>
      </c>
      <c r="E2807" t="s">
        <v>4176</v>
      </c>
      <c r="F2807" t="s">
        <v>6106</v>
      </c>
      <c r="G2807">
        <v>100000</v>
      </c>
      <c r="H2807">
        <v>1972</v>
      </c>
      <c r="I2807" t="s">
        <v>58</v>
      </c>
      <c r="J2807" t="s">
        <v>58</v>
      </c>
      <c r="K2807" t="s">
        <v>58</v>
      </c>
      <c r="L2807" t="s">
        <v>58</v>
      </c>
      <c r="M2807" t="s">
        <v>58</v>
      </c>
      <c r="O2807" t="s">
        <v>61</v>
      </c>
      <c r="Q2807" t="s">
        <v>58</v>
      </c>
      <c r="R2807" s="11" t="str">
        <f>HYPERLINK("\\imagefiles.bcgov\imagery\scanned_maps\moe_terrain_maps\Scanned_T_maps_all\R13\R13-1799","\\imagefiles.bcgov\imagery\scanned_maps\moe_terrain_maps\Scanned_T_maps_all\R13\R13-1799")</f>
        <v>\\imagefiles.bcgov\imagery\scanned_maps\moe_terrain_maps\Scanned_T_maps_all\R13\R13-1799</v>
      </c>
      <c r="S2807" t="s">
        <v>62</v>
      </c>
      <c r="T2807" s="11" t="str">
        <f>HYPERLINK("http://www.env.gov.bc.ca/esd/distdata/ecosystems/TEI_Scanned_Maps/R13/R13-1799","http://www.env.gov.bc.ca/esd/distdata/ecosystems/TEI_Scanned_Maps/R13/R13-1799")</f>
        <v>http://www.env.gov.bc.ca/esd/distdata/ecosystems/TEI_Scanned_Maps/R13/R13-1799</v>
      </c>
      <c r="U2807" t="s">
        <v>58</v>
      </c>
      <c r="V2807" t="s">
        <v>58</v>
      </c>
      <c r="W2807" t="s">
        <v>58</v>
      </c>
      <c r="X2807" t="s">
        <v>58</v>
      </c>
      <c r="Y2807" t="s">
        <v>58</v>
      </c>
      <c r="Z2807" t="s">
        <v>58</v>
      </c>
      <c r="AA2807" t="s">
        <v>58</v>
      </c>
      <c r="AC2807" t="s">
        <v>58</v>
      </c>
      <c r="AE2807" t="s">
        <v>58</v>
      </c>
      <c r="AG2807" t="s">
        <v>63</v>
      </c>
      <c r="AH2807" s="11" t="str">
        <f t="shared" si="171"/>
        <v>mailto: soilterrain@victoria1.gov.bc.ca</v>
      </c>
    </row>
    <row r="2808" spans="1:34">
      <c r="A2808" t="s">
        <v>6107</v>
      </c>
      <c r="B2808" t="s">
        <v>56</v>
      </c>
      <c r="C2808" s="10" t="s">
        <v>587</v>
      </c>
      <c r="D2808" t="s">
        <v>58</v>
      </c>
      <c r="E2808" t="s">
        <v>4176</v>
      </c>
      <c r="F2808" t="s">
        <v>6108</v>
      </c>
      <c r="G2808">
        <v>100000</v>
      </c>
      <c r="H2808" t="s">
        <v>187</v>
      </c>
      <c r="I2808" t="s">
        <v>58</v>
      </c>
      <c r="J2808" t="s">
        <v>58</v>
      </c>
      <c r="K2808" t="s">
        <v>58</v>
      </c>
      <c r="L2808" t="s">
        <v>58</v>
      </c>
      <c r="M2808" t="s">
        <v>58</v>
      </c>
      <c r="O2808" t="s">
        <v>61</v>
      </c>
      <c r="Q2808" t="s">
        <v>58</v>
      </c>
      <c r="R2808" s="11" t="str">
        <f>HYPERLINK("\\imagefiles.bcgov\imagery\scanned_maps\moe_terrain_maps\Scanned_T_maps_all\R13\R13-1805","\\imagefiles.bcgov\imagery\scanned_maps\moe_terrain_maps\Scanned_T_maps_all\R13\R13-1805")</f>
        <v>\\imagefiles.bcgov\imagery\scanned_maps\moe_terrain_maps\Scanned_T_maps_all\R13\R13-1805</v>
      </c>
      <c r="S2808" t="s">
        <v>62</v>
      </c>
      <c r="T2808" s="11" t="str">
        <f>HYPERLINK("http://www.env.gov.bc.ca/esd/distdata/ecosystems/TEI_Scanned_Maps/R13/R13-1805","http://www.env.gov.bc.ca/esd/distdata/ecosystems/TEI_Scanned_Maps/R13/R13-1805")</f>
        <v>http://www.env.gov.bc.ca/esd/distdata/ecosystems/TEI_Scanned_Maps/R13/R13-1805</v>
      </c>
      <c r="U2808" t="s">
        <v>58</v>
      </c>
      <c r="V2808" t="s">
        <v>58</v>
      </c>
      <c r="W2808" t="s">
        <v>58</v>
      </c>
      <c r="X2808" t="s">
        <v>58</v>
      </c>
      <c r="Y2808" t="s">
        <v>58</v>
      </c>
      <c r="Z2808" t="s">
        <v>58</v>
      </c>
      <c r="AA2808" t="s">
        <v>58</v>
      </c>
      <c r="AC2808" t="s">
        <v>58</v>
      </c>
      <c r="AE2808" t="s">
        <v>58</v>
      </c>
      <c r="AG2808" t="s">
        <v>63</v>
      </c>
      <c r="AH2808" s="11" t="str">
        <f t="shared" si="171"/>
        <v>mailto: soilterrain@victoria1.gov.bc.ca</v>
      </c>
    </row>
    <row r="2809" spans="1:34">
      <c r="A2809" t="s">
        <v>6109</v>
      </c>
      <c r="B2809" t="s">
        <v>56</v>
      </c>
      <c r="C2809" s="10" t="s">
        <v>3089</v>
      </c>
      <c r="D2809" t="s">
        <v>58</v>
      </c>
      <c r="E2809" t="s">
        <v>4176</v>
      </c>
      <c r="F2809" t="s">
        <v>6110</v>
      </c>
      <c r="G2809">
        <v>100000</v>
      </c>
      <c r="H2809">
        <v>1974</v>
      </c>
      <c r="I2809" t="s">
        <v>58</v>
      </c>
      <c r="J2809" t="s">
        <v>58</v>
      </c>
      <c r="K2809" t="s">
        <v>58</v>
      </c>
      <c r="L2809" t="s">
        <v>58</v>
      </c>
      <c r="M2809" t="s">
        <v>58</v>
      </c>
      <c r="O2809" t="s">
        <v>61</v>
      </c>
      <c r="Q2809" t="s">
        <v>58</v>
      </c>
      <c r="R2809" s="11" t="str">
        <f>HYPERLINK("\\imagefiles.bcgov\imagery\scanned_maps\moe_terrain_maps\Scanned_T_maps_all\R13\R13-1811","\\imagefiles.bcgov\imagery\scanned_maps\moe_terrain_maps\Scanned_T_maps_all\R13\R13-1811")</f>
        <v>\\imagefiles.bcgov\imagery\scanned_maps\moe_terrain_maps\Scanned_T_maps_all\R13\R13-1811</v>
      </c>
      <c r="S2809" t="s">
        <v>62</v>
      </c>
      <c r="T2809" s="11" t="str">
        <f>HYPERLINK("http://www.env.gov.bc.ca/esd/distdata/ecosystems/TEI_Scanned_Maps/R13/R13-1811","http://www.env.gov.bc.ca/esd/distdata/ecosystems/TEI_Scanned_Maps/R13/R13-1811")</f>
        <v>http://www.env.gov.bc.ca/esd/distdata/ecosystems/TEI_Scanned_Maps/R13/R13-1811</v>
      </c>
      <c r="U2809" t="s">
        <v>58</v>
      </c>
      <c r="V2809" t="s">
        <v>58</v>
      </c>
      <c r="W2809" t="s">
        <v>58</v>
      </c>
      <c r="X2809" t="s">
        <v>58</v>
      </c>
      <c r="Y2809" t="s">
        <v>58</v>
      </c>
      <c r="Z2809" t="s">
        <v>58</v>
      </c>
      <c r="AA2809" t="s">
        <v>58</v>
      </c>
      <c r="AC2809" t="s">
        <v>58</v>
      </c>
      <c r="AE2809" t="s">
        <v>58</v>
      </c>
      <c r="AG2809" t="s">
        <v>63</v>
      </c>
      <c r="AH2809" s="11" t="str">
        <f t="shared" si="171"/>
        <v>mailto: soilterrain@victoria1.gov.bc.ca</v>
      </c>
    </row>
    <row r="2810" spans="1:34">
      <c r="A2810" t="s">
        <v>6111</v>
      </c>
      <c r="B2810" t="s">
        <v>56</v>
      </c>
      <c r="C2810" s="10" t="s">
        <v>4220</v>
      </c>
      <c r="D2810" t="s">
        <v>58</v>
      </c>
      <c r="E2810" t="s">
        <v>4176</v>
      </c>
      <c r="F2810" t="s">
        <v>6112</v>
      </c>
      <c r="G2810">
        <v>100000</v>
      </c>
      <c r="H2810">
        <v>1971</v>
      </c>
      <c r="I2810" t="s">
        <v>58</v>
      </c>
      <c r="J2810" t="s">
        <v>58</v>
      </c>
      <c r="K2810" t="s">
        <v>58</v>
      </c>
      <c r="L2810" t="s">
        <v>58</v>
      </c>
      <c r="M2810" t="s">
        <v>58</v>
      </c>
      <c r="O2810" t="s">
        <v>61</v>
      </c>
      <c r="Q2810" t="s">
        <v>58</v>
      </c>
      <c r="R2810" s="11" t="str">
        <f>HYPERLINK("\\imagefiles.bcgov\imagery\scanned_maps\moe_terrain_maps\Scanned_T_maps_all\R13\R13-1839","\\imagefiles.bcgov\imagery\scanned_maps\moe_terrain_maps\Scanned_T_maps_all\R13\R13-1839")</f>
        <v>\\imagefiles.bcgov\imagery\scanned_maps\moe_terrain_maps\Scanned_T_maps_all\R13\R13-1839</v>
      </c>
      <c r="S2810" t="s">
        <v>62</v>
      </c>
      <c r="T2810" s="11" t="str">
        <f>HYPERLINK("http://www.env.gov.bc.ca/esd/distdata/ecosystems/TEI_Scanned_Maps/R13/R13-1839","http://www.env.gov.bc.ca/esd/distdata/ecosystems/TEI_Scanned_Maps/R13/R13-1839")</f>
        <v>http://www.env.gov.bc.ca/esd/distdata/ecosystems/TEI_Scanned_Maps/R13/R13-1839</v>
      </c>
      <c r="U2810" t="s">
        <v>58</v>
      </c>
      <c r="V2810" t="s">
        <v>58</v>
      </c>
      <c r="W2810" t="s">
        <v>58</v>
      </c>
      <c r="X2810" t="s">
        <v>58</v>
      </c>
      <c r="Y2810" t="s">
        <v>58</v>
      </c>
      <c r="Z2810" t="s">
        <v>58</v>
      </c>
      <c r="AA2810" t="s">
        <v>58</v>
      </c>
      <c r="AC2810" t="s">
        <v>58</v>
      </c>
      <c r="AE2810" t="s">
        <v>58</v>
      </c>
      <c r="AG2810" t="s">
        <v>63</v>
      </c>
      <c r="AH2810" s="11" t="str">
        <f t="shared" si="171"/>
        <v>mailto: soilterrain@victoria1.gov.bc.ca</v>
      </c>
    </row>
    <row r="2811" spans="1:34">
      <c r="A2811" t="s">
        <v>6113</v>
      </c>
      <c r="B2811" t="s">
        <v>56</v>
      </c>
      <c r="C2811" s="10" t="s">
        <v>4223</v>
      </c>
      <c r="D2811" t="s">
        <v>58</v>
      </c>
      <c r="E2811" t="s">
        <v>4176</v>
      </c>
      <c r="F2811" t="s">
        <v>6114</v>
      </c>
      <c r="G2811">
        <v>100000</v>
      </c>
      <c r="H2811" t="s">
        <v>187</v>
      </c>
      <c r="I2811" t="s">
        <v>58</v>
      </c>
      <c r="J2811" t="s">
        <v>58</v>
      </c>
      <c r="K2811" t="s">
        <v>58</v>
      </c>
      <c r="L2811" t="s">
        <v>58</v>
      </c>
      <c r="M2811" t="s">
        <v>58</v>
      </c>
      <c r="O2811" t="s">
        <v>61</v>
      </c>
      <c r="Q2811" t="s">
        <v>58</v>
      </c>
      <c r="R2811" s="11" t="str">
        <f>HYPERLINK("\\imagefiles.bcgov\imagery\scanned_maps\moe_terrain_maps\Scanned_T_maps_all\R13\R13-1844","\\imagefiles.bcgov\imagery\scanned_maps\moe_terrain_maps\Scanned_T_maps_all\R13\R13-1844")</f>
        <v>\\imagefiles.bcgov\imagery\scanned_maps\moe_terrain_maps\Scanned_T_maps_all\R13\R13-1844</v>
      </c>
      <c r="S2811" t="s">
        <v>62</v>
      </c>
      <c r="T2811" s="11" t="str">
        <f>HYPERLINK("http://www.env.gov.bc.ca/esd/distdata/ecosystems/TEI_Scanned_Maps/R13/R13-1844","http://www.env.gov.bc.ca/esd/distdata/ecosystems/TEI_Scanned_Maps/R13/R13-1844")</f>
        <v>http://www.env.gov.bc.ca/esd/distdata/ecosystems/TEI_Scanned_Maps/R13/R13-1844</v>
      </c>
      <c r="U2811" t="s">
        <v>58</v>
      </c>
      <c r="V2811" t="s">
        <v>58</v>
      </c>
      <c r="W2811" t="s">
        <v>58</v>
      </c>
      <c r="X2811" t="s">
        <v>58</v>
      </c>
      <c r="Y2811" t="s">
        <v>58</v>
      </c>
      <c r="Z2811" t="s">
        <v>58</v>
      </c>
      <c r="AA2811" t="s">
        <v>58</v>
      </c>
      <c r="AC2811" t="s">
        <v>58</v>
      </c>
      <c r="AE2811" t="s">
        <v>58</v>
      </c>
      <c r="AG2811" t="s">
        <v>63</v>
      </c>
      <c r="AH2811" s="11" t="str">
        <f t="shared" si="171"/>
        <v>mailto: soilterrain@victoria1.gov.bc.ca</v>
      </c>
    </row>
    <row r="2812" spans="1:34">
      <c r="A2812" t="s">
        <v>6115</v>
      </c>
      <c r="B2812" t="s">
        <v>56</v>
      </c>
      <c r="C2812" s="10" t="s">
        <v>1907</v>
      </c>
      <c r="D2812" t="s">
        <v>58</v>
      </c>
      <c r="E2812" t="s">
        <v>4176</v>
      </c>
      <c r="F2812" t="s">
        <v>6116</v>
      </c>
      <c r="G2812">
        <v>100000</v>
      </c>
      <c r="H2812">
        <v>1972</v>
      </c>
      <c r="I2812" t="s">
        <v>58</v>
      </c>
      <c r="J2812" t="s">
        <v>58</v>
      </c>
      <c r="K2812" t="s">
        <v>58</v>
      </c>
      <c r="L2812" t="s">
        <v>58</v>
      </c>
      <c r="M2812" t="s">
        <v>58</v>
      </c>
      <c r="O2812" t="s">
        <v>61</v>
      </c>
      <c r="Q2812" t="s">
        <v>58</v>
      </c>
      <c r="R2812" s="11" t="str">
        <f>HYPERLINK("\\imagefiles.bcgov\imagery\scanned_maps\moe_terrain_maps\Scanned_T_maps_all\R13\R13-1869","\\imagefiles.bcgov\imagery\scanned_maps\moe_terrain_maps\Scanned_T_maps_all\R13\R13-1869")</f>
        <v>\\imagefiles.bcgov\imagery\scanned_maps\moe_terrain_maps\Scanned_T_maps_all\R13\R13-1869</v>
      </c>
      <c r="S2812" t="s">
        <v>62</v>
      </c>
      <c r="T2812" s="11" t="str">
        <f>HYPERLINK("http://www.env.gov.bc.ca/esd/distdata/ecosystems/TEI_Scanned_Maps/R13/R13-1869","http://www.env.gov.bc.ca/esd/distdata/ecosystems/TEI_Scanned_Maps/R13/R13-1869")</f>
        <v>http://www.env.gov.bc.ca/esd/distdata/ecosystems/TEI_Scanned_Maps/R13/R13-1869</v>
      </c>
      <c r="U2812" t="s">
        <v>58</v>
      </c>
      <c r="V2812" t="s">
        <v>58</v>
      </c>
      <c r="W2812" t="s">
        <v>58</v>
      </c>
      <c r="X2812" t="s">
        <v>58</v>
      </c>
      <c r="Y2812" t="s">
        <v>58</v>
      </c>
      <c r="Z2812" t="s">
        <v>58</v>
      </c>
      <c r="AA2812" t="s">
        <v>58</v>
      </c>
      <c r="AC2812" t="s">
        <v>58</v>
      </c>
      <c r="AE2812" t="s">
        <v>58</v>
      </c>
      <c r="AG2812" t="s">
        <v>63</v>
      </c>
      <c r="AH2812" s="11" t="str">
        <f t="shared" si="171"/>
        <v>mailto: soilterrain@victoria1.gov.bc.ca</v>
      </c>
    </row>
    <row r="2813" spans="1:34">
      <c r="A2813" t="s">
        <v>6117</v>
      </c>
      <c r="B2813" t="s">
        <v>56</v>
      </c>
      <c r="C2813" s="10" t="s">
        <v>4231</v>
      </c>
      <c r="D2813" t="s">
        <v>58</v>
      </c>
      <c r="E2813" t="s">
        <v>4176</v>
      </c>
      <c r="F2813" t="s">
        <v>6118</v>
      </c>
      <c r="G2813">
        <v>100000</v>
      </c>
      <c r="H2813" t="s">
        <v>187</v>
      </c>
      <c r="I2813" t="s">
        <v>58</v>
      </c>
      <c r="J2813" t="s">
        <v>58</v>
      </c>
      <c r="K2813" t="s">
        <v>58</v>
      </c>
      <c r="L2813" t="s">
        <v>58</v>
      </c>
      <c r="M2813" t="s">
        <v>58</v>
      </c>
      <c r="O2813" t="s">
        <v>61</v>
      </c>
      <c r="Q2813" t="s">
        <v>58</v>
      </c>
      <c r="R2813" s="11" t="str">
        <f>HYPERLINK("\\imagefiles.bcgov\imagery\scanned_maps\moe_terrain_maps\Scanned_T_maps_all\R13\R13-1902","\\imagefiles.bcgov\imagery\scanned_maps\moe_terrain_maps\Scanned_T_maps_all\R13\R13-1902")</f>
        <v>\\imagefiles.bcgov\imagery\scanned_maps\moe_terrain_maps\Scanned_T_maps_all\R13\R13-1902</v>
      </c>
      <c r="S2813" t="s">
        <v>62</v>
      </c>
      <c r="T2813" s="11" t="str">
        <f>HYPERLINK("http://www.env.gov.bc.ca/esd/distdata/ecosystems/TEI_Scanned_Maps/R13/R13-1902","http://www.env.gov.bc.ca/esd/distdata/ecosystems/TEI_Scanned_Maps/R13/R13-1902")</f>
        <v>http://www.env.gov.bc.ca/esd/distdata/ecosystems/TEI_Scanned_Maps/R13/R13-1902</v>
      </c>
      <c r="U2813" t="s">
        <v>58</v>
      </c>
      <c r="V2813" t="s">
        <v>58</v>
      </c>
      <c r="W2813" t="s">
        <v>58</v>
      </c>
      <c r="X2813" t="s">
        <v>58</v>
      </c>
      <c r="Y2813" t="s">
        <v>58</v>
      </c>
      <c r="Z2813" t="s">
        <v>58</v>
      </c>
      <c r="AA2813" t="s">
        <v>58</v>
      </c>
      <c r="AC2813" t="s">
        <v>58</v>
      </c>
      <c r="AE2813" t="s">
        <v>58</v>
      </c>
      <c r="AG2813" t="s">
        <v>63</v>
      </c>
      <c r="AH2813" s="11" t="str">
        <f t="shared" si="171"/>
        <v>mailto: soilterrain@victoria1.gov.bc.ca</v>
      </c>
    </row>
    <row r="2814" spans="1:34">
      <c r="A2814" t="s">
        <v>6119</v>
      </c>
      <c r="B2814" t="s">
        <v>56</v>
      </c>
      <c r="C2814" s="10" t="s">
        <v>4234</v>
      </c>
      <c r="D2814" t="s">
        <v>58</v>
      </c>
      <c r="E2814" t="s">
        <v>4176</v>
      </c>
      <c r="F2814" t="s">
        <v>6120</v>
      </c>
      <c r="G2814">
        <v>100000</v>
      </c>
      <c r="H2814">
        <v>1983</v>
      </c>
      <c r="I2814" t="s">
        <v>58</v>
      </c>
      <c r="J2814" t="s">
        <v>58</v>
      </c>
      <c r="K2814" t="s">
        <v>58</v>
      </c>
      <c r="L2814" t="s">
        <v>58</v>
      </c>
      <c r="M2814" t="s">
        <v>58</v>
      </c>
      <c r="O2814" t="s">
        <v>61</v>
      </c>
      <c r="Q2814" t="s">
        <v>58</v>
      </c>
      <c r="R2814" s="11" t="str">
        <f>HYPERLINK("\\imagefiles.bcgov\imagery\scanned_maps\moe_terrain_maps\Scanned_T_maps_all\R13\R13-1907","\\imagefiles.bcgov\imagery\scanned_maps\moe_terrain_maps\Scanned_T_maps_all\R13\R13-1907")</f>
        <v>\\imagefiles.bcgov\imagery\scanned_maps\moe_terrain_maps\Scanned_T_maps_all\R13\R13-1907</v>
      </c>
      <c r="S2814" t="s">
        <v>62</v>
      </c>
      <c r="T2814" s="11" t="str">
        <f>HYPERLINK("http://www.env.gov.bc.ca/esd/distdata/ecosystems/TEI_Scanned_Maps/R13/R13-1907","http://www.env.gov.bc.ca/esd/distdata/ecosystems/TEI_Scanned_Maps/R13/R13-1907")</f>
        <v>http://www.env.gov.bc.ca/esd/distdata/ecosystems/TEI_Scanned_Maps/R13/R13-1907</v>
      </c>
      <c r="U2814" t="s">
        <v>58</v>
      </c>
      <c r="V2814" t="s">
        <v>58</v>
      </c>
      <c r="W2814" t="s">
        <v>58</v>
      </c>
      <c r="X2814" t="s">
        <v>58</v>
      </c>
      <c r="Y2814" t="s">
        <v>58</v>
      </c>
      <c r="Z2814" t="s">
        <v>58</v>
      </c>
      <c r="AA2814" t="s">
        <v>58</v>
      </c>
      <c r="AC2814" t="s">
        <v>58</v>
      </c>
      <c r="AE2814" t="s">
        <v>58</v>
      </c>
      <c r="AG2814" t="s">
        <v>63</v>
      </c>
      <c r="AH2814" s="11" t="str">
        <f t="shared" si="171"/>
        <v>mailto: soilterrain@victoria1.gov.bc.ca</v>
      </c>
    </row>
    <row r="2815" spans="1:34">
      <c r="A2815" t="s">
        <v>6121</v>
      </c>
      <c r="B2815" t="s">
        <v>56</v>
      </c>
      <c r="C2815" s="10" t="s">
        <v>1904</v>
      </c>
      <c r="D2815" t="s">
        <v>58</v>
      </c>
      <c r="E2815" t="s">
        <v>4176</v>
      </c>
      <c r="F2815" t="s">
        <v>6122</v>
      </c>
      <c r="G2815">
        <v>100000</v>
      </c>
      <c r="H2815">
        <v>1974</v>
      </c>
      <c r="I2815" t="s">
        <v>58</v>
      </c>
      <c r="J2815" t="s">
        <v>58</v>
      </c>
      <c r="K2815" t="s">
        <v>58</v>
      </c>
      <c r="L2815" t="s">
        <v>58</v>
      </c>
      <c r="M2815" t="s">
        <v>58</v>
      </c>
      <c r="O2815" t="s">
        <v>61</v>
      </c>
      <c r="Q2815" t="s">
        <v>58</v>
      </c>
      <c r="R2815" s="11" t="str">
        <f>HYPERLINK("\\imagefiles.bcgov\imagery\scanned_maps\moe_terrain_maps\Scanned_T_maps_all\R13\R13-1913","\\imagefiles.bcgov\imagery\scanned_maps\moe_terrain_maps\Scanned_T_maps_all\R13\R13-1913")</f>
        <v>\\imagefiles.bcgov\imagery\scanned_maps\moe_terrain_maps\Scanned_T_maps_all\R13\R13-1913</v>
      </c>
      <c r="S2815" t="s">
        <v>62</v>
      </c>
      <c r="T2815" s="11" t="str">
        <f>HYPERLINK("http://www.env.gov.bc.ca/esd/distdata/ecosystems/TEI_Scanned_Maps/R13/R13-1913","http://www.env.gov.bc.ca/esd/distdata/ecosystems/TEI_Scanned_Maps/R13/R13-1913")</f>
        <v>http://www.env.gov.bc.ca/esd/distdata/ecosystems/TEI_Scanned_Maps/R13/R13-1913</v>
      </c>
      <c r="U2815" t="s">
        <v>58</v>
      </c>
      <c r="V2815" t="s">
        <v>58</v>
      </c>
      <c r="W2815" t="s">
        <v>58</v>
      </c>
      <c r="X2815" t="s">
        <v>58</v>
      </c>
      <c r="Y2815" t="s">
        <v>58</v>
      </c>
      <c r="Z2815" t="s">
        <v>58</v>
      </c>
      <c r="AA2815" t="s">
        <v>58</v>
      </c>
      <c r="AC2815" t="s">
        <v>58</v>
      </c>
      <c r="AE2815" t="s">
        <v>58</v>
      </c>
      <c r="AG2815" t="s">
        <v>63</v>
      </c>
      <c r="AH2815" s="11" t="str">
        <f t="shared" si="171"/>
        <v>mailto: soilterrain@victoria1.gov.bc.ca</v>
      </c>
    </row>
    <row r="2816" spans="1:34">
      <c r="A2816" t="s">
        <v>6123</v>
      </c>
      <c r="B2816" t="s">
        <v>56</v>
      </c>
      <c r="C2816" s="10" t="s">
        <v>1922</v>
      </c>
      <c r="D2816" t="s">
        <v>58</v>
      </c>
      <c r="E2816" t="s">
        <v>4176</v>
      </c>
      <c r="F2816" t="s">
        <v>6124</v>
      </c>
      <c r="G2816">
        <v>100000</v>
      </c>
      <c r="H2816">
        <v>1971</v>
      </c>
      <c r="I2816" t="s">
        <v>58</v>
      </c>
      <c r="J2816" t="s">
        <v>58</v>
      </c>
      <c r="K2816" t="s">
        <v>58</v>
      </c>
      <c r="L2816" t="s">
        <v>58</v>
      </c>
      <c r="M2816" t="s">
        <v>58</v>
      </c>
      <c r="O2816" t="s">
        <v>61</v>
      </c>
      <c r="Q2816" t="s">
        <v>58</v>
      </c>
      <c r="R2816" s="11" t="str">
        <f>HYPERLINK("\\imagefiles.bcgov\imagery\scanned_maps\moe_terrain_maps\Scanned_T_maps_all\R13\R13-2043","\\imagefiles.bcgov\imagery\scanned_maps\moe_terrain_maps\Scanned_T_maps_all\R13\R13-2043")</f>
        <v>\\imagefiles.bcgov\imagery\scanned_maps\moe_terrain_maps\Scanned_T_maps_all\R13\R13-2043</v>
      </c>
      <c r="S2816" t="s">
        <v>62</v>
      </c>
      <c r="T2816" s="11" t="str">
        <f>HYPERLINK("http://www.env.gov.bc.ca/esd/distdata/ecosystems/TEI_Scanned_Maps/R13/R13-2043","http://www.env.gov.bc.ca/esd/distdata/ecosystems/TEI_Scanned_Maps/R13/R13-2043")</f>
        <v>http://www.env.gov.bc.ca/esd/distdata/ecosystems/TEI_Scanned_Maps/R13/R13-2043</v>
      </c>
      <c r="U2816" t="s">
        <v>58</v>
      </c>
      <c r="V2816" t="s">
        <v>58</v>
      </c>
      <c r="W2816" t="s">
        <v>58</v>
      </c>
      <c r="X2816" t="s">
        <v>58</v>
      </c>
      <c r="Y2816" t="s">
        <v>58</v>
      </c>
      <c r="Z2816" t="s">
        <v>58</v>
      </c>
      <c r="AA2816" t="s">
        <v>58</v>
      </c>
      <c r="AC2816" t="s">
        <v>58</v>
      </c>
      <c r="AE2816" t="s">
        <v>58</v>
      </c>
      <c r="AG2816" t="s">
        <v>63</v>
      </c>
      <c r="AH2816" s="11" t="str">
        <f t="shared" si="171"/>
        <v>mailto: soilterrain@victoria1.gov.bc.ca</v>
      </c>
    </row>
    <row r="2817" spans="1:34">
      <c r="A2817" t="s">
        <v>6125</v>
      </c>
      <c r="B2817" t="s">
        <v>56</v>
      </c>
      <c r="C2817" s="10" t="s">
        <v>1928</v>
      </c>
      <c r="D2817" t="s">
        <v>58</v>
      </c>
      <c r="E2817" t="s">
        <v>4176</v>
      </c>
      <c r="F2817" t="s">
        <v>6126</v>
      </c>
      <c r="G2817">
        <v>100000</v>
      </c>
      <c r="H2817" t="s">
        <v>187</v>
      </c>
      <c r="I2817" t="s">
        <v>58</v>
      </c>
      <c r="J2817" t="s">
        <v>58</v>
      </c>
      <c r="K2817" t="s">
        <v>58</v>
      </c>
      <c r="L2817" t="s">
        <v>58</v>
      </c>
      <c r="M2817" t="s">
        <v>58</v>
      </c>
      <c r="O2817" t="s">
        <v>61</v>
      </c>
      <c r="Q2817" t="s">
        <v>58</v>
      </c>
      <c r="R2817" s="11" t="str">
        <f>HYPERLINK("\\imagefiles.bcgov\imagery\scanned_maps\moe_terrain_maps\Scanned_T_maps_all\R13\R13-2057","\\imagefiles.bcgov\imagery\scanned_maps\moe_terrain_maps\Scanned_T_maps_all\R13\R13-2057")</f>
        <v>\\imagefiles.bcgov\imagery\scanned_maps\moe_terrain_maps\Scanned_T_maps_all\R13\R13-2057</v>
      </c>
      <c r="S2817" t="s">
        <v>62</v>
      </c>
      <c r="T2817" s="11" t="str">
        <f>HYPERLINK("http://www.env.gov.bc.ca/esd/distdata/ecosystems/TEI_Scanned_Maps/R13/R13-2057","http://www.env.gov.bc.ca/esd/distdata/ecosystems/TEI_Scanned_Maps/R13/R13-2057")</f>
        <v>http://www.env.gov.bc.ca/esd/distdata/ecosystems/TEI_Scanned_Maps/R13/R13-2057</v>
      </c>
      <c r="U2817" t="s">
        <v>58</v>
      </c>
      <c r="V2817" t="s">
        <v>58</v>
      </c>
      <c r="W2817" t="s">
        <v>58</v>
      </c>
      <c r="X2817" t="s">
        <v>58</v>
      </c>
      <c r="Y2817" t="s">
        <v>58</v>
      </c>
      <c r="Z2817" t="s">
        <v>58</v>
      </c>
      <c r="AA2817" t="s">
        <v>58</v>
      </c>
      <c r="AC2817" t="s">
        <v>58</v>
      </c>
      <c r="AE2817" t="s">
        <v>58</v>
      </c>
      <c r="AG2817" t="s">
        <v>63</v>
      </c>
      <c r="AH2817" s="11" t="str">
        <f t="shared" si="171"/>
        <v>mailto: soilterrain@victoria1.gov.bc.ca</v>
      </c>
    </row>
    <row r="2818" spans="1:34">
      <c r="A2818" t="s">
        <v>6127</v>
      </c>
      <c r="B2818" t="s">
        <v>56</v>
      </c>
      <c r="C2818" s="10" t="s">
        <v>2148</v>
      </c>
      <c r="D2818" t="s">
        <v>58</v>
      </c>
      <c r="E2818" t="s">
        <v>4176</v>
      </c>
      <c r="F2818" t="s">
        <v>6128</v>
      </c>
      <c r="G2818">
        <v>100000</v>
      </c>
      <c r="H2818">
        <v>1974</v>
      </c>
      <c r="I2818" t="s">
        <v>58</v>
      </c>
      <c r="J2818" t="s">
        <v>58</v>
      </c>
      <c r="K2818" t="s">
        <v>58</v>
      </c>
      <c r="L2818" t="s">
        <v>58</v>
      </c>
      <c r="M2818" t="s">
        <v>58</v>
      </c>
      <c r="O2818" t="s">
        <v>61</v>
      </c>
      <c r="Q2818" t="s">
        <v>58</v>
      </c>
      <c r="R2818" s="11" t="str">
        <f>HYPERLINK("\\imagefiles.bcgov\imagery\scanned_maps\moe_terrain_maps\Scanned_T_maps_all\R13\R13-793","\\imagefiles.bcgov\imagery\scanned_maps\moe_terrain_maps\Scanned_T_maps_all\R13\R13-793")</f>
        <v>\\imagefiles.bcgov\imagery\scanned_maps\moe_terrain_maps\Scanned_T_maps_all\R13\R13-793</v>
      </c>
      <c r="S2818" t="s">
        <v>62</v>
      </c>
      <c r="T2818" s="11" t="str">
        <f>HYPERLINK("http://www.env.gov.bc.ca/esd/distdata/ecosystems/TEI_Scanned_Maps/R13/R13-793","http://www.env.gov.bc.ca/esd/distdata/ecosystems/TEI_Scanned_Maps/R13/R13-793")</f>
        <v>http://www.env.gov.bc.ca/esd/distdata/ecosystems/TEI_Scanned_Maps/R13/R13-793</v>
      </c>
      <c r="U2818" t="s">
        <v>58</v>
      </c>
      <c r="V2818" t="s">
        <v>58</v>
      </c>
      <c r="W2818" t="s">
        <v>58</v>
      </c>
      <c r="X2818" t="s">
        <v>58</v>
      </c>
      <c r="Y2818" t="s">
        <v>58</v>
      </c>
      <c r="Z2818" t="s">
        <v>58</v>
      </c>
      <c r="AA2818" t="s">
        <v>58</v>
      </c>
      <c r="AC2818" t="s">
        <v>58</v>
      </c>
      <c r="AE2818" t="s">
        <v>58</v>
      </c>
      <c r="AG2818" t="s">
        <v>63</v>
      </c>
      <c r="AH2818" s="11" t="str">
        <f t="shared" ref="AH2818:AH2881" si="172">HYPERLINK("mailto: soilterrain@victoria1.gov.bc.ca","mailto: soilterrain@victoria1.gov.bc.ca")</f>
        <v>mailto: soilterrain@victoria1.gov.bc.ca</v>
      </c>
    </row>
    <row r="2819" spans="1:34">
      <c r="A2819" t="s">
        <v>6129</v>
      </c>
      <c r="B2819" t="s">
        <v>56</v>
      </c>
      <c r="C2819" s="10" t="s">
        <v>2154</v>
      </c>
      <c r="D2819" t="s">
        <v>58</v>
      </c>
      <c r="E2819" t="s">
        <v>4176</v>
      </c>
      <c r="F2819" t="s">
        <v>6130</v>
      </c>
      <c r="G2819">
        <v>100000</v>
      </c>
      <c r="H2819">
        <v>1975</v>
      </c>
      <c r="I2819" t="s">
        <v>58</v>
      </c>
      <c r="J2819" t="s">
        <v>58</v>
      </c>
      <c r="K2819" t="s">
        <v>58</v>
      </c>
      <c r="L2819" t="s">
        <v>58</v>
      </c>
      <c r="M2819" t="s">
        <v>58</v>
      </c>
      <c r="O2819" t="s">
        <v>61</v>
      </c>
      <c r="Q2819" t="s">
        <v>58</v>
      </c>
      <c r="R2819" s="11" t="str">
        <f>HYPERLINK("\\imagefiles.bcgov\imagery\scanned_maps\moe_terrain_maps\Scanned_T_maps_all\R13\R13-803","\\imagefiles.bcgov\imagery\scanned_maps\moe_terrain_maps\Scanned_T_maps_all\R13\R13-803")</f>
        <v>\\imagefiles.bcgov\imagery\scanned_maps\moe_terrain_maps\Scanned_T_maps_all\R13\R13-803</v>
      </c>
      <c r="S2819" t="s">
        <v>62</v>
      </c>
      <c r="T2819" s="11" t="str">
        <f>HYPERLINK("http://www.env.gov.bc.ca/esd/distdata/ecosystems/TEI_Scanned_Maps/R13/R13-803","http://www.env.gov.bc.ca/esd/distdata/ecosystems/TEI_Scanned_Maps/R13/R13-803")</f>
        <v>http://www.env.gov.bc.ca/esd/distdata/ecosystems/TEI_Scanned_Maps/R13/R13-803</v>
      </c>
      <c r="U2819" t="s">
        <v>58</v>
      </c>
      <c r="V2819" t="s">
        <v>58</v>
      </c>
      <c r="W2819" t="s">
        <v>58</v>
      </c>
      <c r="X2819" t="s">
        <v>58</v>
      </c>
      <c r="Y2819" t="s">
        <v>58</v>
      </c>
      <c r="Z2819" t="s">
        <v>58</v>
      </c>
      <c r="AA2819" t="s">
        <v>58</v>
      </c>
      <c r="AC2819" t="s">
        <v>58</v>
      </c>
      <c r="AE2819" t="s">
        <v>58</v>
      </c>
      <c r="AG2819" t="s">
        <v>63</v>
      </c>
      <c r="AH2819" s="11" t="str">
        <f t="shared" si="172"/>
        <v>mailto: soilterrain@victoria1.gov.bc.ca</v>
      </c>
    </row>
    <row r="2820" spans="1:34">
      <c r="A2820" t="s">
        <v>6131</v>
      </c>
      <c r="B2820" t="s">
        <v>56</v>
      </c>
      <c r="C2820" s="10" t="s">
        <v>2161</v>
      </c>
      <c r="D2820" t="s">
        <v>58</v>
      </c>
      <c r="E2820" t="s">
        <v>4176</v>
      </c>
      <c r="F2820" t="s">
        <v>6132</v>
      </c>
      <c r="G2820">
        <v>100000</v>
      </c>
      <c r="H2820" t="s">
        <v>187</v>
      </c>
      <c r="I2820" t="s">
        <v>58</v>
      </c>
      <c r="J2820" t="s">
        <v>58</v>
      </c>
      <c r="K2820" t="s">
        <v>58</v>
      </c>
      <c r="L2820" t="s">
        <v>58</v>
      </c>
      <c r="M2820" t="s">
        <v>58</v>
      </c>
      <c r="O2820" t="s">
        <v>61</v>
      </c>
      <c r="Q2820" t="s">
        <v>58</v>
      </c>
      <c r="R2820" s="11" t="str">
        <f>HYPERLINK("\\imagefiles.bcgov\imagery\scanned_maps\moe_terrain_maps\Scanned_T_maps_all\R13\R13-849","\\imagefiles.bcgov\imagery\scanned_maps\moe_terrain_maps\Scanned_T_maps_all\R13\R13-849")</f>
        <v>\\imagefiles.bcgov\imagery\scanned_maps\moe_terrain_maps\Scanned_T_maps_all\R13\R13-849</v>
      </c>
      <c r="S2820" t="s">
        <v>62</v>
      </c>
      <c r="T2820" s="11" t="str">
        <f>HYPERLINK("http://www.env.gov.bc.ca/esd/distdata/ecosystems/TEI_Scanned_Maps/R13/R13-849","http://www.env.gov.bc.ca/esd/distdata/ecosystems/TEI_Scanned_Maps/R13/R13-849")</f>
        <v>http://www.env.gov.bc.ca/esd/distdata/ecosystems/TEI_Scanned_Maps/R13/R13-849</v>
      </c>
      <c r="U2820" t="s">
        <v>58</v>
      </c>
      <c r="V2820" t="s">
        <v>58</v>
      </c>
      <c r="W2820" t="s">
        <v>58</v>
      </c>
      <c r="X2820" t="s">
        <v>58</v>
      </c>
      <c r="Y2820" t="s">
        <v>58</v>
      </c>
      <c r="Z2820" t="s">
        <v>58</v>
      </c>
      <c r="AA2820" t="s">
        <v>58</v>
      </c>
      <c r="AC2820" t="s">
        <v>58</v>
      </c>
      <c r="AE2820" t="s">
        <v>58</v>
      </c>
      <c r="AG2820" t="s">
        <v>63</v>
      </c>
      <c r="AH2820" s="11" t="str">
        <f t="shared" si="172"/>
        <v>mailto: soilterrain@victoria1.gov.bc.ca</v>
      </c>
    </row>
    <row r="2821" spans="1:34">
      <c r="A2821" t="s">
        <v>6133</v>
      </c>
      <c r="B2821" t="s">
        <v>56</v>
      </c>
      <c r="C2821" s="10" t="s">
        <v>2171</v>
      </c>
      <c r="D2821" t="s">
        <v>58</v>
      </c>
      <c r="E2821" t="s">
        <v>4176</v>
      </c>
      <c r="F2821" t="s">
        <v>6134</v>
      </c>
      <c r="G2821">
        <v>100000</v>
      </c>
      <c r="H2821" t="s">
        <v>187</v>
      </c>
      <c r="I2821" t="s">
        <v>58</v>
      </c>
      <c r="J2821" t="s">
        <v>58</v>
      </c>
      <c r="K2821" t="s">
        <v>58</v>
      </c>
      <c r="L2821" t="s">
        <v>58</v>
      </c>
      <c r="M2821" t="s">
        <v>58</v>
      </c>
      <c r="O2821" t="s">
        <v>61</v>
      </c>
      <c r="Q2821" t="s">
        <v>58</v>
      </c>
      <c r="R2821" s="11" t="str">
        <f>HYPERLINK("\\imagefiles.bcgov\imagery\scanned_maps\moe_terrain_maps\Scanned_T_maps_all\R13\R13-864","\\imagefiles.bcgov\imagery\scanned_maps\moe_terrain_maps\Scanned_T_maps_all\R13\R13-864")</f>
        <v>\\imagefiles.bcgov\imagery\scanned_maps\moe_terrain_maps\Scanned_T_maps_all\R13\R13-864</v>
      </c>
      <c r="S2821" t="s">
        <v>62</v>
      </c>
      <c r="T2821" s="11" t="str">
        <f>HYPERLINK("http://www.env.gov.bc.ca/esd/distdata/ecosystems/TEI_Scanned_Maps/R13/R13-864","http://www.env.gov.bc.ca/esd/distdata/ecosystems/TEI_Scanned_Maps/R13/R13-864")</f>
        <v>http://www.env.gov.bc.ca/esd/distdata/ecosystems/TEI_Scanned_Maps/R13/R13-864</v>
      </c>
      <c r="U2821" t="s">
        <v>58</v>
      </c>
      <c r="V2821" t="s">
        <v>58</v>
      </c>
      <c r="W2821" t="s">
        <v>58</v>
      </c>
      <c r="X2821" t="s">
        <v>58</v>
      </c>
      <c r="Y2821" t="s">
        <v>58</v>
      </c>
      <c r="Z2821" t="s">
        <v>58</v>
      </c>
      <c r="AA2821" t="s">
        <v>58</v>
      </c>
      <c r="AC2821" t="s">
        <v>58</v>
      </c>
      <c r="AE2821" t="s">
        <v>58</v>
      </c>
      <c r="AG2821" t="s">
        <v>63</v>
      </c>
      <c r="AH2821" s="11" t="str">
        <f t="shared" si="172"/>
        <v>mailto: soilterrain@victoria1.gov.bc.ca</v>
      </c>
    </row>
    <row r="2822" spans="1:34">
      <c r="A2822" t="s">
        <v>6135</v>
      </c>
      <c r="B2822" t="s">
        <v>56</v>
      </c>
      <c r="C2822" s="10" t="s">
        <v>2077</v>
      </c>
      <c r="D2822" t="s">
        <v>58</v>
      </c>
      <c r="E2822" t="s">
        <v>4176</v>
      </c>
      <c r="F2822" t="s">
        <v>6136</v>
      </c>
      <c r="G2822">
        <v>100000</v>
      </c>
      <c r="H2822">
        <v>1974</v>
      </c>
      <c r="I2822" t="s">
        <v>58</v>
      </c>
      <c r="J2822" t="s">
        <v>58</v>
      </c>
      <c r="K2822" t="s">
        <v>58</v>
      </c>
      <c r="L2822" t="s">
        <v>58</v>
      </c>
      <c r="M2822" t="s">
        <v>58</v>
      </c>
      <c r="O2822" t="s">
        <v>61</v>
      </c>
      <c r="Q2822" t="s">
        <v>58</v>
      </c>
      <c r="R2822" s="11" t="str">
        <f>HYPERLINK("\\imagefiles.bcgov\imagery\scanned_maps\moe_terrain_maps\Scanned_T_maps_all\R14\R14-1073","\\imagefiles.bcgov\imagery\scanned_maps\moe_terrain_maps\Scanned_T_maps_all\R14\R14-1073")</f>
        <v>\\imagefiles.bcgov\imagery\scanned_maps\moe_terrain_maps\Scanned_T_maps_all\R14\R14-1073</v>
      </c>
      <c r="S2822" t="s">
        <v>62</v>
      </c>
      <c r="T2822" s="11" t="str">
        <f>HYPERLINK("http://www.env.gov.bc.ca/esd/distdata/ecosystems/TEI_Scanned_Maps/R14/R14-1073","http://www.env.gov.bc.ca/esd/distdata/ecosystems/TEI_Scanned_Maps/R14/R14-1073")</f>
        <v>http://www.env.gov.bc.ca/esd/distdata/ecosystems/TEI_Scanned_Maps/R14/R14-1073</v>
      </c>
      <c r="U2822" t="s">
        <v>58</v>
      </c>
      <c r="V2822" t="s">
        <v>58</v>
      </c>
      <c r="W2822" t="s">
        <v>58</v>
      </c>
      <c r="X2822" t="s">
        <v>58</v>
      </c>
      <c r="Y2822" t="s">
        <v>58</v>
      </c>
      <c r="Z2822" t="s">
        <v>58</v>
      </c>
      <c r="AA2822" t="s">
        <v>58</v>
      </c>
      <c r="AC2822" t="s">
        <v>58</v>
      </c>
      <c r="AE2822" t="s">
        <v>58</v>
      </c>
      <c r="AG2822" t="s">
        <v>63</v>
      </c>
      <c r="AH2822" s="11" t="str">
        <f t="shared" si="172"/>
        <v>mailto: soilterrain@victoria1.gov.bc.ca</v>
      </c>
    </row>
    <row r="2823" spans="1:34">
      <c r="A2823" t="s">
        <v>6137</v>
      </c>
      <c r="B2823" t="s">
        <v>56</v>
      </c>
      <c r="C2823" s="10" t="s">
        <v>3067</v>
      </c>
      <c r="D2823" t="s">
        <v>58</v>
      </c>
      <c r="E2823" t="s">
        <v>4176</v>
      </c>
      <c r="F2823" t="s">
        <v>6138</v>
      </c>
      <c r="G2823">
        <v>100000</v>
      </c>
      <c r="H2823">
        <v>1975</v>
      </c>
      <c r="I2823" t="s">
        <v>58</v>
      </c>
      <c r="J2823" t="s">
        <v>58</v>
      </c>
      <c r="K2823" t="s">
        <v>58</v>
      </c>
      <c r="L2823" t="s">
        <v>58</v>
      </c>
      <c r="M2823" t="s">
        <v>58</v>
      </c>
      <c r="O2823" t="s">
        <v>61</v>
      </c>
      <c r="Q2823" t="s">
        <v>58</v>
      </c>
      <c r="R2823" s="11" t="str">
        <f>HYPERLINK("\\imagefiles.bcgov\imagery\scanned_maps\moe_terrain_maps\Scanned_T_maps_all\R14\R14-1096","\\imagefiles.bcgov\imagery\scanned_maps\moe_terrain_maps\Scanned_T_maps_all\R14\R14-1096")</f>
        <v>\\imagefiles.bcgov\imagery\scanned_maps\moe_terrain_maps\Scanned_T_maps_all\R14\R14-1096</v>
      </c>
      <c r="S2823" t="s">
        <v>62</v>
      </c>
      <c r="T2823" s="11" t="str">
        <f>HYPERLINK("http://www.env.gov.bc.ca/esd/distdata/ecosystems/TEI_Scanned_Maps/R14/R14-1096","http://www.env.gov.bc.ca/esd/distdata/ecosystems/TEI_Scanned_Maps/R14/R14-1096")</f>
        <v>http://www.env.gov.bc.ca/esd/distdata/ecosystems/TEI_Scanned_Maps/R14/R14-1096</v>
      </c>
      <c r="U2823" t="s">
        <v>58</v>
      </c>
      <c r="V2823" t="s">
        <v>58</v>
      </c>
      <c r="W2823" t="s">
        <v>58</v>
      </c>
      <c r="X2823" t="s">
        <v>58</v>
      </c>
      <c r="Y2823" t="s">
        <v>58</v>
      </c>
      <c r="Z2823" t="s">
        <v>58</v>
      </c>
      <c r="AA2823" t="s">
        <v>58</v>
      </c>
      <c r="AC2823" t="s">
        <v>58</v>
      </c>
      <c r="AE2823" t="s">
        <v>58</v>
      </c>
      <c r="AG2823" t="s">
        <v>63</v>
      </c>
      <c r="AH2823" s="11" t="str">
        <f t="shared" si="172"/>
        <v>mailto: soilterrain@victoria1.gov.bc.ca</v>
      </c>
    </row>
    <row r="2824" spans="1:34">
      <c r="A2824" t="s">
        <v>6139</v>
      </c>
      <c r="B2824" t="s">
        <v>56</v>
      </c>
      <c r="C2824" s="10" t="s">
        <v>4387</v>
      </c>
      <c r="D2824" t="s">
        <v>58</v>
      </c>
      <c r="E2824" t="s">
        <v>4176</v>
      </c>
      <c r="F2824" t="s">
        <v>6140</v>
      </c>
      <c r="G2824">
        <v>100000</v>
      </c>
      <c r="H2824">
        <v>1978</v>
      </c>
      <c r="I2824" t="s">
        <v>58</v>
      </c>
      <c r="J2824" t="s">
        <v>58</v>
      </c>
      <c r="K2824" t="s">
        <v>58</v>
      </c>
      <c r="L2824" t="s">
        <v>58</v>
      </c>
      <c r="M2824" t="s">
        <v>58</v>
      </c>
      <c r="O2824" t="s">
        <v>61</v>
      </c>
      <c r="Q2824" t="s">
        <v>58</v>
      </c>
      <c r="R2824" s="11" t="str">
        <f>HYPERLINK("\\imagefiles.bcgov\imagery\scanned_maps\moe_terrain_maps\Scanned_T_maps_all\R14\R14-1110","\\imagefiles.bcgov\imagery\scanned_maps\moe_terrain_maps\Scanned_T_maps_all\R14\R14-1110")</f>
        <v>\\imagefiles.bcgov\imagery\scanned_maps\moe_terrain_maps\Scanned_T_maps_all\R14\R14-1110</v>
      </c>
      <c r="S2824" t="s">
        <v>62</v>
      </c>
      <c r="T2824" s="11" t="str">
        <f>HYPERLINK("http://www.env.gov.bc.ca/esd/distdata/ecosystems/TEI_Scanned_Maps/R14/R14-1110","http://www.env.gov.bc.ca/esd/distdata/ecosystems/TEI_Scanned_Maps/R14/R14-1110")</f>
        <v>http://www.env.gov.bc.ca/esd/distdata/ecosystems/TEI_Scanned_Maps/R14/R14-1110</v>
      </c>
      <c r="U2824" t="s">
        <v>58</v>
      </c>
      <c r="V2824" t="s">
        <v>58</v>
      </c>
      <c r="W2824" t="s">
        <v>58</v>
      </c>
      <c r="X2824" t="s">
        <v>58</v>
      </c>
      <c r="Y2824" t="s">
        <v>58</v>
      </c>
      <c r="Z2824" t="s">
        <v>58</v>
      </c>
      <c r="AA2824" t="s">
        <v>58</v>
      </c>
      <c r="AC2824" t="s">
        <v>58</v>
      </c>
      <c r="AE2824" t="s">
        <v>58</v>
      </c>
      <c r="AG2824" t="s">
        <v>63</v>
      </c>
      <c r="AH2824" s="11" t="str">
        <f t="shared" si="172"/>
        <v>mailto: soilterrain@victoria1.gov.bc.ca</v>
      </c>
    </row>
    <row r="2825" spans="1:34">
      <c r="A2825" t="s">
        <v>6141</v>
      </c>
      <c r="B2825" t="s">
        <v>56</v>
      </c>
      <c r="C2825" s="10" t="s">
        <v>6142</v>
      </c>
      <c r="D2825" t="s">
        <v>58</v>
      </c>
      <c r="E2825" t="s">
        <v>4176</v>
      </c>
      <c r="F2825" t="s">
        <v>6143</v>
      </c>
      <c r="G2825">
        <v>100000</v>
      </c>
      <c r="H2825">
        <v>1974</v>
      </c>
      <c r="I2825" t="s">
        <v>58</v>
      </c>
      <c r="J2825" t="s">
        <v>58</v>
      </c>
      <c r="K2825" t="s">
        <v>58</v>
      </c>
      <c r="L2825" t="s">
        <v>58</v>
      </c>
      <c r="M2825" t="s">
        <v>58</v>
      </c>
      <c r="O2825" t="s">
        <v>61</v>
      </c>
      <c r="Q2825" t="s">
        <v>58</v>
      </c>
      <c r="R2825" s="11" t="str">
        <f>HYPERLINK("\\imagefiles.bcgov\imagery\scanned_maps\moe_terrain_maps\Scanned_T_maps_all\R14\R14-1112","\\imagefiles.bcgov\imagery\scanned_maps\moe_terrain_maps\Scanned_T_maps_all\R14\R14-1112")</f>
        <v>\\imagefiles.bcgov\imagery\scanned_maps\moe_terrain_maps\Scanned_T_maps_all\R14\R14-1112</v>
      </c>
      <c r="S2825" t="s">
        <v>62</v>
      </c>
      <c r="T2825" s="11" t="str">
        <f>HYPERLINK("http://www.env.gov.bc.ca/esd/distdata/ecosystems/TEI_Scanned_Maps/R14/R14-1112","http://www.env.gov.bc.ca/esd/distdata/ecosystems/TEI_Scanned_Maps/R14/R14-1112")</f>
        <v>http://www.env.gov.bc.ca/esd/distdata/ecosystems/TEI_Scanned_Maps/R14/R14-1112</v>
      </c>
      <c r="U2825" t="s">
        <v>58</v>
      </c>
      <c r="V2825" t="s">
        <v>58</v>
      </c>
      <c r="W2825" t="s">
        <v>58</v>
      </c>
      <c r="X2825" t="s">
        <v>58</v>
      </c>
      <c r="Y2825" t="s">
        <v>58</v>
      </c>
      <c r="Z2825" t="s">
        <v>58</v>
      </c>
      <c r="AA2825" t="s">
        <v>58</v>
      </c>
      <c r="AC2825" t="s">
        <v>58</v>
      </c>
      <c r="AE2825" t="s">
        <v>58</v>
      </c>
      <c r="AG2825" t="s">
        <v>63</v>
      </c>
      <c r="AH2825" s="11" t="str">
        <f t="shared" si="172"/>
        <v>mailto: soilterrain@victoria1.gov.bc.ca</v>
      </c>
    </row>
    <row r="2826" spans="1:34">
      <c r="A2826" t="s">
        <v>6144</v>
      </c>
      <c r="B2826" t="s">
        <v>56</v>
      </c>
      <c r="C2826" s="10" t="s">
        <v>1878</v>
      </c>
      <c r="D2826" t="s">
        <v>58</v>
      </c>
      <c r="E2826" t="s">
        <v>4176</v>
      </c>
      <c r="F2826" t="s">
        <v>6145</v>
      </c>
      <c r="G2826">
        <v>100000</v>
      </c>
      <c r="H2826">
        <v>1980</v>
      </c>
      <c r="I2826" t="s">
        <v>58</v>
      </c>
      <c r="J2826" t="s">
        <v>58</v>
      </c>
      <c r="K2826" t="s">
        <v>58</v>
      </c>
      <c r="L2826" t="s">
        <v>58</v>
      </c>
      <c r="M2826" t="s">
        <v>58</v>
      </c>
      <c r="O2826" t="s">
        <v>61</v>
      </c>
      <c r="Q2826" t="s">
        <v>58</v>
      </c>
      <c r="R2826" s="11" t="str">
        <f>HYPERLINK("\\imagefiles.bcgov\imagery\scanned_maps\moe_terrain_maps\Scanned_T_maps_all\R14\R14-1340","\\imagefiles.bcgov\imagery\scanned_maps\moe_terrain_maps\Scanned_T_maps_all\R14\R14-1340")</f>
        <v>\\imagefiles.bcgov\imagery\scanned_maps\moe_terrain_maps\Scanned_T_maps_all\R14\R14-1340</v>
      </c>
      <c r="S2826" t="s">
        <v>62</v>
      </c>
      <c r="T2826" s="11" t="str">
        <f>HYPERLINK("http://www.env.gov.bc.ca/esd/distdata/ecosystems/TEI_Scanned_Maps/R14/R14-1340","http://www.env.gov.bc.ca/esd/distdata/ecosystems/TEI_Scanned_Maps/R14/R14-1340")</f>
        <v>http://www.env.gov.bc.ca/esd/distdata/ecosystems/TEI_Scanned_Maps/R14/R14-1340</v>
      </c>
      <c r="U2826" t="s">
        <v>58</v>
      </c>
      <c r="V2826" t="s">
        <v>58</v>
      </c>
      <c r="W2826" t="s">
        <v>58</v>
      </c>
      <c r="X2826" t="s">
        <v>58</v>
      </c>
      <c r="Y2826" t="s">
        <v>58</v>
      </c>
      <c r="Z2826" t="s">
        <v>58</v>
      </c>
      <c r="AA2826" t="s">
        <v>58</v>
      </c>
      <c r="AC2826" t="s">
        <v>58</v>
      </c>
      <c r="AE2826" t="s">
        <v>58</v>
      </c>
      <c r="AG2826" t="s">
        <v>63</v>
      </c>
      <c r="AH2826" s="11" t="str">
        <f t="shared" si="172"/>
        <v>mailto: soilterrain@victoria1.gov.bc.ca</v>
      </c>
    </row>
    <row r="2827" spans="1:34">
      <c r="A2827" t="s">
        <v>6146</v>
      </c>
      <c r="B2827" t="s">
        <v>56</v>
      </c>
      <c r="C2827" s="10" t="s">
        <v>1881</v>
      </c>
      <c r="D2827" t="s">
        <v>58</v>
      </c>
      <c r="E2827" t="s">
        <v>4176</v>
      </c>
      <c r="F2827" t="s">
        <v>6147</v>
      </c>
      <c r="G2827">
        <v>100000</v>
      </c>
      <c r="H2827">
        <v>1980</v>
      </c>
      <c r="I2827" t="s">
        <v>58</v>
      </c>
      <c r="J2827" t="s">
        <v>58</v>
      </c>
      <c r="K2827" t="s">
        <v>58</v>
      </c>
      <c r="L2827" t="s">
        <v>58</v>
      </c>
      <c r="M2827" t="s">
        <v>58</v>
      </c>
      <c r="O2827" t="s">
        <v>61</v>
      </c>
      <c r="Q2827" t="s">
        <v>58</v>
      </c>
      <c r="R2827" s="11" t="str">
        <f>HYPERLINK("\\imagefiles.bcgov\imagery\scanned_maps\moe_terrain_maps\Scanned_T_maps_all\R14\R14-1347","\\imagefiles.bcgov\imagery\scanned_maps\moe_terrain_maps\Scanned_T_maps_all\R14\R14-1347")</f>
        <v>\\imagefiles.bcgov\imagery\scanned_maps\moe_terrain_maps\Scanned_T_maps_all\R14\R14-1347</v>
      </c>
      <c r="S2827" t="s">
        <v>62</v>
      </c>
      <c r="T2827" s="11" t="str">
        <f>HYPERLINK("http://www.env.gov.bc.ca/esd/distdata/ecosystems/TEI_Scanned_Maps/R14/R14-1347","http://www.env.gov.bc.ca/esd/distdata/ecosystems/TEI_Scanned_Maps/R14/R14-1347")</f>
        <v>http://www.env.gov.bc.ca/esd/distdata/ecosystems/TEI_Scanned_Maps/R14/R14-1347</v>
      </c>
      <c r="U2827" t="s">
        <v>58</v>
      </c>
      <c r="V2827" t="s">
        <v>58</v>
      </c>
      <c r="W2827" t="s">
        <v>58</v>
      </c>
      <c r="X2827" t="s">
        <v>58</v>
      </c>
      <c r="Y2827" t="s">
        <v>58</v>
      </c>
      <c r="Z2827" t="s">
        <v>58</v>
      </c>
      <c r="AA2827" t="s">
        <v>58</v>
      </c>
      <c r="AC2827" t="s">
        <v>58</v>
      </c>
      <c r="AE2827" t="s">
        <v>58</v>
      </c>
      <c r="AG2827" t="s">
        <v>63</v>
      </c>
      <c r="AH2827" s="11" t="str">
        <f t="shared" si="172"/>
        <v>mailto: soilterrain@victoria1.gov.bc.ca</v>
      </c>
    </row>
    <row r="2828" spans="1:34">
      <c r="A2828" t="s">
        <v>6148</v>
      </c>
      <c r="B2828" t="s">
        <v>56</v>
      </c>
      <c r="C2828" s="10" t="s">
        <v>1884</v>
      </c>
      <c r="D2828" t="s">
        <v>58</v>
      </c>
      <c r="E2828" t="s">
        <v>4176</v>
      </c>
      <c r="F2828" t="s">
        <v>6149</v>
      </c>
      <c r="G2828">
        <v>100000</v>
      </c>
      <c r="H2828">
        <v>1980</v>
      </c>
      <c r="I2828" t="s">
        <v>58</v>
      </c>
      <c r="J2828" t="s">
        <v>58</v>
      </c>
      <c r="K2828" t="s">
        <v>58</v>
      </c>
      <c r="L2828" t="s">
        <v>58</v>
      </c>
      <c r="M2828" t="s">
        <v>58</v>
      </c>
      <c r="O2828" t="s">
        <v>61</v>
      </c>
      <c r="Q2828" t="s">
        <v>58</v>
      </c>
      <c r="R2828" s="11" t="str">
        <f>HYPERLINK("\\imagefiles.bcgov\imagery\scanned_maps\moe_terrain_maps\Scanned_T_maps_all\R14\R14-1355","\\imagefiles.bcgov\imagery\scanned_maps\moe_terrain_maps\Scanned_T_maps_all\R14\R14-1355")</f>
        <v>\\imagefiles.bcgov\imagery\scanned_maps\moe_terrain_maps\Scanned_T_maps_all\R14\R14-1355</v>
      </c>
      <c r="S2828" t="s">
        <v>62</v>
      </c>
      <c r="T2828" s="11" t="str">
        <f>HYPERLINK("http://www.env.gov.bc.ca/esd/distdata/ecosystems/TEI_Scanned_Maps/R14/R14-1355","http://www.env.gov.bc.ca/esd/distdata/ecosystems/TEI_Scanned_Maps/R14/R14-1355")</f>
        <v>http://www.env.gov.bc.ca/esd/distdata/ecosystems/TEI_Scanned_Maps/R14/R14-1355</v>
      </c>
      <c r="U2828" t="s">
        <v>58</v>
      </c>
      <c r="V2828" t="s">
        <v>58</v>
      </c>
      <c r="W2828" t="s">
        <v>58</v>
      </c>
      <c r="X2828" t="s">
        <v>58</v>
      </c>
      <c r="Y2828" t="s">
        <v>58</v>
      </c>
      <c r="Z2828" t="s">
        <v>58</v>
      </c>
      <c r="AA2828" t="s">
        <v>58</v>
      </c>
      <c r="AC2828" t="s">
        <v>58</v>
      </c>
      <c r="AE2828" t="s">
        <v>58</v>
      </c>
      <c r="AG2828" t="s">
        <v>63</v>
      </c>
      <c r="AH2828" s="11" t="str">
        <f t="shared" si="172"/>
        <v>mailto: soilterrain@victoria1.gov.bc.ca</v>
      </c>
    </row>
    <row r="2829" spans="1:34">
      <c r="A2829" t="s">
        <v>6150</v>
      </c>
      <c r="B2829" t="s">
        <v>56</v>
      </c>
      <c r="C2829" s="10" t="s">
        <v>3077</v>
      </c>
      <c r="D2829" t="s">
        <v>58</v>
      </c>
      <c r="E2829" t="s">
        <v>4176</v>
      </c>
      <c r="F2829" t="s">
        <v>6151</v>
      </c>
      <c r="G2829">
        <v>100000</v>
      </c>
      <c r="H2829">
        <v>1980</v>
      </c>
      <c r="I2829" t="s">
        <v>58</v>
      </c>
      <c r="J2829" t="s">
        <v>58</v>
      </c>
      <c r="K2829" t="s">
        <v>58</v>
      </c>
      <c r="L2829" t="s">
        <v>58</v>
      </c>
      <c r="M2829" t="s">
        <v>58</v>
      </c>
      <c r="O2829" t="s">
        <v>61</v>
      </c>
      <c r="Q2829" t="s">
        <v>58</v>
      </c>
      <c r="R2829" s="11" t="str">
        <f>HYPERLINK("\\imagefiles.bcgov\imagery\scanned_maps\moe_terrain_maps\Scanned_T_maps_all\R14\R14-1361","\\imagefiles.bcgov\imagery\scanned_maps\moe_terrain_maps\Scanned_T_maps_all\R14\R14-1361")</f>
        <v>\\imagefiles.bcgov\imagery\scanned_maps\moe_terrain_maps\Scanned_T_maps_all\R14\R14-1361</v>
      </c>
      <c r="S2829" t="s">
        <v>62</v>
      </c>
      <c r="T2829" s="11" t="str">
        <f>HYPERLINK("http://www.env.gov.bc.ca/esd/distdata/ecosystems/TEI_Scanned_Maps/R14/R14-1361","http://www.env.gov.bc.ca/esd/distdata/ecosystems/TEI_Scanned_Maps/R14/R14-1361")</f>
        <v>http://www.env.gov.bc.ca/esd/distdata/ecosystems/TEI_Scanned_Maps/R14/R14-1361</v>
      </c>
      <c r="U2829" t="s">
        <v>58</v>
      </c>
      <c r="V2829" t="s">
        <v>58</v>
      </c>
      <c r="W2829" t="s">
        <v>58</v>
      </c>
      <c r="X2829" t="s">
        <v>58</v>
      </c>
      <c r="Y2829" t="s">
        <v>58</v>
      </c>
      <c r="Z2829" t="s">
        <v>58</v>
      </c>
      <c r="AA2829" t="s">
        <v>58</v>
      </c>
      <c r="AC2829" t="s">
        <v>58</v>
      </c>
      <c r="AE2829" t="s">
        <v>58</v>
      </c>
      <c r="AG2829" t="s">
        <v>63</v>
      </c>
      <c r="AH2829" s="11" t="str">
        <f t="shared" si="172"/>
        <v>mailto: soilterrain@victoria1.gov.bc.ca</v>
      </c>
    </row>
    <row r="2830" spans="1:34">
      <c r="A2830" t="s">
        <v>6152</v>
      </c>
      <c r="B2830" t="s">
        <v>56</v>
      </c>
      <c r="C2830" s="10" t="s">
        <v>1890</v>
      </c>
      <c r="D2830" t="s">
        <v>58</v>
      </c>
      <c r="E2830" t="s">
        <v>4176</v>
      </c>
      <c r="F2830" t="s">
        <v>6153</v>
      </c>
      <c r="G2830">
        <v>100000</v>
      </c>
      <c r="H2830" t="s">
        <v>187</v>
      </c>
      <c r="I2830" t="s">
        <v>58</v>
      </c>
      <c r="J2830" t="s">
        <v>58</v>
      </c>
      <c r="K2830" t="s">
        <v>58</v>
      </c>
      <c r="L2830" t="s">
        <v>58</v>
      </c>
      <c r="M2830" t="s">
        <v>58</v>
      </c>
      <c r="O2830" t="s">
        <v>61</v>
      </c>
      <c r="Q2830" t="s">
        <v>58</v>
      </c>
      <c r="R2830" s="11" t="str">
        <f>HYPERLINK("\\imagefiles.bcgov\imagery\scanned_maps\moe_terrain_maps\Scanned_T_maps_all\R14\R14-1633","\\imagefiles.bcgov\imagery\scanned_maps\moe_terrain_maps\Scanned_T_maps_all\R14\R14-1633")</f>
        <v>\\imagefiles.bcgov\imagery\scanned_maps\moe_terrain_maps\Scanned_T_maps_all\R14\R14-1633</v>
      </c>
      <c r="S2830" t="s">
        <v>62</v>
      </c>
      <c r="T2830" s="11" t="str">
        <f>HYPERLINK("http://www.env.gov.bc.ca/esd/distdata/ecosystems/TEI_Scanned_Maps/R14/R14-1633","http://www.env.gov.bc.ca/esd/distdata/ecosystems/TEI_Scanned_Maps/R14/R14-1633")</f>
        <v>http://www.env.gov.bc.ca/esd/distdata/ecosystems/TEI_Scanned_Maps/R14/R14-1633</v>
      </c>
      <c r="U2830" t="s">
        <v>58</v>
      </c>
      <c r="V2830" t="s">
        <v>58</v>
      </c>
      <c r="W2830" t="s">
        <v>58</v>
      </c>
      <c r="X2830" t="s">
        <v>58</v>
      </c>
      <c r="Y2830" t="s">
        <v>58</v>
      </c>
      <c r="Z2830" t="s">
        <v>58</v>
      </c>
      <c r="AA2830" t="s">
        <v>58</v>
      </c>
      <c r="AC2830" t="s">
        <v>58</v>
      </c>
      <c r="AE2830" t="s">
        <v>58</v>
      </c>
      <c r="AG2830" t="s">
        <v>63</v>
      </c>
      <c r="AH2830" s="11" t="str">
        <f t="shared" si="172"/>
        <v>mailto: soilterrain@victoria1.gov.bc.ca</v>
      </c>
    </row>
    <row r="2831" spans="1:34">
      <c r="A2831" t="s">
        <v>6154</v>
      </c>
      <c r="B2831" t="s">
        <v>56</v>
      </c>
      <c r="C2831" s="10" t="s">
        <v>4198</v>
      </c>
      <c r="D2831" t="s">
        <v>58</v>
      </c>
      <c r="E2831" t="s">
        <v>4176</v>
      </c>
      <c r="F2831" t="s">
        <v>6155</v>
      </c>
      <c r="G2831">
        <v>100000</v>
      </c>
      <c r="H2831">
        <v>1983</v>
      </c>
      <c r="I2831" t="s">
        <v>58</v>
      </c>
      <c r="J2831" t="s">
        <v>58</v>
      </c>
      <c r="K2831" t="s">
        <v>58</v>
      </c>
      <c r="L2831" t="s">
        <v>58</v>
      </c>
      <c r="M2831" t="s">
        <v>58</v>
      </c>
      <c r="O2831" t="s">
        <v>61</v>
      </c>
      <c r="Q2831" t="s">
        <v>58</v>
      </c>
      <c r="R2831" s="11" t="str">
        <f>HYPERLINK("\\imagefiles.bcgov\imagery\scanned_maps\moe_terrain_maps\Scanned_T_maps_all\R14\R14-1639","\\imagefiles.bcgov\imagery\scanned_maps\moe_terrain_maps\Scanned_T_maps_all\R14\R14-1639")</f>
        <v>\\imagefiles.bcgov\imagery\scanned_maps\moe_terrain_maps\Scanned_T_maps_all\R14\R14-1639</v>
      </c>
      <c r="S2831" t="s">
        <v>62</v>
      </c>
      <c r="T2831" s="11" t="str">
        <f>HYPERLINK("http://www.env.gov.bc.ca/esd/distdata/ecosystems/TEI_Scanned_Maps/R14/R14-1639","http://www.env.gov.bc.ca/esd/distdata/ecosystems/TEI_Scanned_Maps/R14/R14-1639")</f>
        <v>http://www.env.gov.bc.ca/esd/distdata/ecosystems/TEI_Scanned_Maps/R14/R14-1639</v>
      </c>
      <c r="U2831" t="s">
        <v>58</v>
      </c>
      <c r="V2831" t="s">
        <v>58</v>
      </c>
      <c r="W2831" t="s">
        <v>58</v>
      </c>
      <c r="X2831" t="s">
        <v>58</v>
      </c>
      <c r="Y2831" t="s">
        <v>58</v>
      </c>
      <c r="Z2831" t="s">
        <v>58</v>
      </c>
      <c r="AA2831" t="s">
        <v>58</v>
      </c>
      <c r="AC2831" t="s">
        <v>58</v>
      </c>
      <c r="AE2831" t="s">
        <v>58</v>
      </c>
      <c r="AG2831" t="s">
        <v>63</v>
      </c>
      <c r="AH2831" s="11" t="str">
        <f t="shared" si="172"/>
        <v>mailto: soilterrain@victoria1.gov.bc.ca</v>
      </c>
    </row>
    <row r="2832" spans="1:34">
      <c r="A2832" t="s">
        <v>6156</v>
      </c>
      <c r="B2832" t="s">
        <v>56</v>
      </c>
      <c r="C2832" s="10" t="s">
        <v>1893</v>
      </c>
      <c r="D2832" t="s">
        <v>58</v>
      </c>
      <c r="E2832" t="s">
        <v>4176</v>
      </c>
      <c r="F2832" t="s">
        <v>6157</v>
      </c>
      <c r="G2832">
        <v>100000</v>
      </c>
      <c r="H2832">
        <v>1979</v>
      </c>
      <c r="I2832" t="s">
        <v>58</v>
      </c>
      <c r="J2832" t="s">
        <v>58</v>
      </c>
      <c r="K2832" t="s">
        <v>58</v>
      </c>
      <c r="L2832" t="s">
        <v>58</v>
      </c>
      <c r="M2832" t="s">
        <v>58</v>
      </c>
      <c r="O2832" t="s">
        <v>61</v>
      </c>
      <c r="Q2832" t="s">
        <v>58</v>
      </c>
      <c r="R2832" s="11" t="str">
        <f>HYPERLINK("\\imagefiles.bcgov\imagery\scanned_maps\moe_terrain_maps\Scanned_T_maps_all\R14\R14-1646","\\imagefiles.bcgov\imagery\scanned_maps\moe_terrain_maps\Scanned_T_maps_all\R14\R14-1646")</f>
        <v>\\imagefiles.bcgov\imagery\scanned_maps\moe_terrain_maps\Scanned_T_maps_all\R14\R14-1646</v>
      </c>
      <c r="S2832" t="s">
        <v>62</v>
      </c>
      <c r="T2832" s="11" t="str">
        <f>HYPERLINK("http://www.env.gov.bc.ca/esd/distdata/ecosystems/TEI_Scanned_Maps/R14/R14-1646","http://www.env.gov.bc.ca/esd/distdata/ecosystems/TEI_Scanned_Maps/R14/R14-1646")</f>
        <v>http://www.env.gov.bc.ca/esd/distdata/ecosystems/TEI_Scanned_Maps/R14/R14-1646</v>
      </c>
      <c r="U2832" t="s">
        <v>58</v>
      </c>
      <c r="V2832" t="s">
        <v>58</v>
      </c>
      <c r="W2832" t="s">
        <v>58</v>
      </c>
      <c r="X2832" t="s">
        <v>58</v>
      </c>
      <c r="Y2832" t="s">
        <v>58</v>
      </c>
      <c r="Z2832" t="s">
        <v>58</v>
      </c>
      <c r="AA2832" t="s">
        <v>58</v>
      </c>
      <c r="AC2832" t="s">
        <v>58</v>
      </c>
      <c r="AE2832" t="s">
        <v>58</v>
      </c>
      <c r="AG2832" t="s">
        <v>63</v>
      </c>
      <c r="AH2832" s="11" t="str">
        <f t="shared" si="172"/>
        <v>mailto: soilterrain@victoria1.gov.bc.ca</v>
      </c>
    </row>
    <row r="2833" spans="1:34">
      <c r="A2833" t="s">
        <v>6158</v>
      </c>
      <c r="B2833" t="s">
        <v>56</v>
      </c>
      <c r="C2833" s="10" t="s">
        <v>4205</v>
      </c>
      <c r="D2833" t="s">
        <v>58</v>
      </c>
      <c r="E2833" t="s">
        <v>4176</v>
      </c>
      <c r="F2833" t="s">
        <v>6159</v>
      </c>
      <c r="G2833">
        <v>100000</v>
      </c>
      <c r="H2833">
        <v>1974</v>
      </c>
      <c r="I2833" t="s">
        <v>58</v>
      </c>
      <c r="J2833" t="s">
        <v>58</v>
      </c>
      <c r="K2833" t="s">
        <v>58</v>
      </c>
      <c r="L2833" t="s">
        <v>58</v>
      </c>
      <c r="M2833" t="s">
        <v>58</v>
      </c>
      <c r="O2833" t="s">
        <v>61</v>
      </c>
      <c r="Q2833" t="s">
        <v>58</v>
      </c>
      <c r="R2833" s="11" t="str">
        <f>HYPERLINK("\\imagefiles.bcgov\imagery\scanned_maps\moe_terrain_maps\Scanned_T_maps_all\R14\R14-1726","\\imagefiles.bcgov\imagery\scanned_maps\moe_terrain_maps\Scanned_T_maps_all\R14\R14-1726")</f>
        <v>\\imagefiles.bcgov\imagery\scanned_maps\moe_terrain_maps\Scanned_T_maps_all\R14\R14-1726</v>
      </c>
      <c r="S2833" t="s">
        <v>62</v>
      </c>
      <c r="T2833" s="11" t="str">
        <f>HYPERLINK("http://www.env.gov.bc.ca/esd/distdata/ecosystems/TEI_Scanned_Maps/R14/R14-1726","http://www.env.gov.bc.ca/esd/distdata/ecosystems/TEI_Scanned_Maps/R14/R14-1726")</f>
        <v>http://www.env.gov.bc.ca/esd/distdata/ecosystems/TEI_Scanned_Maps/R14/R14-1726</v>
      </c>
      <c r="U2833" t="s">
        <v>58</v>
      </c>
      <c r="V2833" t="s">
        <v>58</v>
      </c>
      <c r="W2833" t="s">
        <v>58</v>
      </c>
      <c r="X2833" t="s">
        <v>58</v>
      </c>
      <c r="Y2833" t="s">
        <v>58</v>
      </c>
      <c r="Z2833" t="s">
        <v>58</v>
      </c>
      <c r="AA2833" t="s">
        <v>58</v>
      </c>
      <c r="AC2833" t="s">
        <v>58</v>
      </c>
      <c r="AE2833" t="s">
        <v>58</v>
      </c>
      <c r="AG2833" t="s">
        <v>63</v>
      </c>
      <c r="AH2833" s="11" t="str">
        <f t="shared" si="172"/>
        <v>mailto: soilterrain@victoria1.gov.bc.ca</v>
      </c>
    </row>
    <row r="2834" spans="1:34">
      <c r="A2834" t="s">
        <v>6160</v>
      </c>
      <c r="B2834" t="s">
        <v>56</v>
      </c>
      <c r="C2834" s="10" t="s">
        <v>477</v>
      </c>
      <c r="D2834" t="s">
        <v>58</v>
      </c>
      <c r="E2834" t="s">
        <v>4176</v>
      </c>
      <c r="F2834" t="s">
        <v>6161</v>
      </c>
      <c r="G2834">
        <v>100000</v>
      </c>
      <c r="H2834">
        <v>1979</v>
      </c>
      <c r="I2834" t="s">
        <v>58</v>
      </c>
      <c r="J2834" t="s">
        <v>58</v>
      </c>
      <c r="K2834" t="s">
        <v>58</v>
      </c>
      <c r="L2834" t="s">
        <v>58</v>
      </c>
      <c r="M2834" t="s">
        <v>58</v>
      </c>
      <c r="O2834" t="s">
        <v>61</v>
      </c>
      <c r="Q2834" t="s">
        <v>58</v>
      </c>
      <c r="R2834" s="11" t="str">
        <f>HYPERLINK("\\imagefiles.bcgov\imagery\scanned_maps\moe_terrain_maps\Scanned_T_maps_all\R14\R14-1736","\\imagefiles.bcgov\imagery\scanned_maps\moe_terrain_maps\Scanned_T_maps_all\R14\R14-1736")</f>
        <v>\\imagefiles.bcgov\imagery\scanned_maps\moe_terrain_maps\Scanned_T_maps_all\R14\R14-1736</v>
      </c>
      <c r="S2834" t="s">
        <v>62</v>
      </c>
      <c r="T2834" s="11" t="str">
        <f>HYPERLINK("http://www.env.gov.bc.ca/esd/distdata/ecosystems/TEI_Scanned_Maps/R14/R14-1736","http://www.env.gov.bc.ca/esd/distdata/ecosystems/TEI_Scanned_Maps/R14/R14-1736")</f>
        <v>http://www.env.gov.bc.ca/esd/distdata/ecosystems/TEI_Scanned_Maps/R14/R14-1736</v>
      </c>
      <c r="U2834" t="s">
        <v>58</v>
      </c>
      <c r="V2834" t="s">
        <v>58</v>
      </c>
      <c r="W2834" t="s">
        <v>58</v>
      </c>
      <c r="X2834" t="s">
        <v>58</v>
      </c>
      <c r="Y2834" t="s">
        <v>58</v>
      </c>
      <c r="Z2834" t="s">
        <v>58</v>
      </c>
      <c r="AA2834" t="s">
        <v>58</v>
      </c>
      <c r="AC2834" t="s">
        <v>58</v>
      </c>
      <c r="AE2834" t="s">
        <v>58</v>
      </c>
      <c r="AG2834" t="s">
        <v>63</v>
      </c>
      <c r="AH2834" s="11" t="str">
        <f t="shared" si="172"/>
        <v>mailto: soilterrain@victoria1.gov.bc.ca</v>
      </c>
    </row>
    <row r="2835" spans="1:34">
      <c r="A2835" t="s">
        <v>6162</v>
      </c>
      <c r="B2835" t="s">
        <v>56</v>
      </c>
      <c r="C2835" s="10" t="s">
        <v>3079</v>
      </c>
      <c r="D2835" t="s">
        <v>58</v>
      </c>
      <c r="E2835" t="s">
        <v>4176</v>
      </c>
      <c r="F2835" t="s">
        <v>6163</v>
      </c>
      <c r="G2835">
        <v>100000</v>
      </c>
      <c r="H2835">
        <v>1974</v>
      </c>
      <c r="I2835" t="s">
        <v>58</v>
      </c>
      <c r="J2835" t="s">
        <v>58</v>
      </c>
      <c r="K2835" t="s">
        <v>58</v>
      </c>
      <c r="L2835" t="s">
        <v>58</v>
      </c>
      <c r="M2835" t="s">
        <v>58</v>
      </c>
      <c r="O2835" t="s">
        <v>61</v>
      </c>
      <c r="Q2835" t="s">
        <v>58</v>
      </c>
      <c r="R2835" s="11" t="str">
        <f>HYPERLINK("\\imagefiles.bcgov\imagery\scanned_maps\moe_terrain_maps\Scanned_T_maps_all\R14\R14-1794","\\imagefiles.bcgov\imagery\scanned_maps\moe_terrain_maps\Scanned_T_maps_all\R14\R14-1794")</f>
        <v>\\imagefiles.bcgov\imagery\scanned_maps\moe_terrain_maps\Scanned_T_maps_all\R14\R14-1794</v>
      </c>
      <c r="S2835" t="s">
        <v>62</v>
      </c>
      <c r="T2835" s="11" t="str">
        <f>HYPERLINK("http://www.env.gov.bc.ca/esd/distdata/ecosystems/TEI_Scanned_Maps/R14/R14-1794","http://www.env.gov.bc.ca/esd/distdata/ecosystems/TEI_Scanned_Maps/R14/R14-1794")</f>
        <v>http://www.env.gov.bc.ca/esd/distdata/ecosystems/TEI_Scanned_Maps/R14/R14-1794</v>
      </c>
      <c r="U2835" t="s">
        <v>58</v>
      </c>
      <c r="V2835" t="s">
        <v>58</v>
      </c>
      <c r="W2835" t="s">
        <v>58</v>
      </c>
      <c r="X2835" t="s">
        <v>58</v>
      </c>
      <c r="Y2835" t="s">
        <v>58</v>
      </c>
      <c r="Z2835" t="s">
        <v>58</v>
      </c>
      <c r="AA2835" t="s">
        <v>58</v>
      </c>
      <c r="AC2835" t="s">
        <v>58</v>
      </c>
      <c r="AE2835" t="s">
        <v>58</v>
      </c>
      <c r="AG2835" t="s">
        <v>63</v>
      </c>
      <c r="AH2835" s="11" t="str">
        <f t="shared" si="172"/>
        <v>mailto: soilterrain@victoria1.gov.bc.ca</v>
      </c>
    </row>
    <row r="2836" spans="1:34">
      <c r="A2836" t="s">
        <v>6164</v>
      </c>
      <c r="B2836" t="s">
        <v>56</v>
      </c>
      <c r="C2836" s="10" t="s">
        <v>3084</v>
      </c>
      <c r="D2836" t="s">
        <v>58</v>
      </c>
      <c r="E2836" t="s">
        <v>4176</v>
      </c>
      <c r="F2836" t="s">
        <v>6165</v>
      </c>
      <c r="G2836">
        <v>100000</v>
      </c>
      <c r="H2836">
        <v>1980</v>
      </c>
      <c r="I2836" t="s">
        <v>58</v>
      </c>
      <c r="J2836" t="s">
        <v>58</v>
      </c>
      <c r="K2836" t="s">
        <v>58</v>
      </c>
      <c r="L2836" t="s">
        <v>58</v>
      </c>
      <c r="M2836" t="s">
        <v>58</v>
      </c>
      <c r="O2836" t="s">
        <v>61</v>
      </c>
      <c r="Q2836" t="s">
        <v>58</v>
      </c>
      <c r="R2836" s="11" t="str">
        <f>HYPERLINK("\\imagefiles.bcgov\imagery\scanned_maps\moe_terrain_maps\Scanned_T_maps_all\R14\R14-1800","\\imagefiles.bcgov\imagery\scanned_maps\moe_terrain_maps\Scanned_T_maps_all\R14\R14-1800")</f>
        <v>\\imagefiles.bcgov\imagery\scanned_maps\moe_terrain_maps\Scanned_T_maps_all\R14\R14-1800</v>
      </c>
      <c r="S2836" t="s">
        <v>62</v>
      </c>
      <c r="T2836" s="11" t="str">
        <f>HYPERLINK("http://www.env.gov.bc.ca/esd/distdata/ecosystems/TEI_Scanned_Maps/R14/R14-1800","http://www.env.gov.bc.ca/esd/distdata/ecosystems/TEI_Scanned_Maps/R14/R14-1800")</f>
        <v>http://www.env.gov.bc.ca/esd/distdata/ecosystems/TEI_Scanned_Maps/R14/R14-1800</v>
      </c>
      <c r="U2836" t="s">
        <v>58</v>
      </c>
      <c r="V2836" t="s">
        <v>58</v>
      </c>
      <c r="W2836" t="s">
        <v>58</v>
      </c>
      <c r="X2836" t="s">
        <v>58</v>
      </c>
      <c r="Y2836" t="s">
        <v>58</v>
      </c>
      <c r="Z2836" t="s">
        <v>58</v>
      </c>
      <c r="AA2836" t="s">
        <v>58</v>
      </c>
      <c r="AC2836" t="s">
        <v>58</v>
      </c>
      <c r="AE2836" t="s">
        <v>58</v>
      </c>
      <c r="AG2836" t="s">
        <v>63</v>
      </c>
      <c r="AH2836" s="11" t="str">
        <f t="shared" si="172"/>
        <v>mailto: soilterrain@victoria1.gov.bc.ca</v>
      </c>
    </row>
    <row r="2837" spans="1:34">
      <c r="A2837" t="s">
        <v>6166</v>
      </c>
      <c r="B2837" t="s">
        <v>56</v>
      </c>
      <c r="C2837" s="10" t="s">
        <v>587</v>
      </c>
      <c r="D2837" t="s">
        <v>58</v>
      </c>
      <c r="E2837" t="s">
        <v>4176</v>
      </c>
      <c r="F2837" t="s">
        <v>6167</v>
      </c>
      <c r="G2837">
        <v>100000</v>
      </c>
      <c r="H2837">
        <v>1980</v>
      </c>
      <c r="I2837" t="s">
        <v>58</v>
      </c>
      <c r="J2837" t="s">
        <v>58</v>
      </c>
      <c r="K2837" t="s">
        <v>58</v>
      </c>
      <c r="L2837" t="s">
        <v>58</v>
      </c>
      <c r="M2837" t="s">
        <v>58</v>
      </c>
      <c r="O2837" t="s">
        <v>61</v>
      </c>
      <c r="Q2837" t="s">
        <v>58</v>
      </c>
      <c r="R2837" s="11" t="str">
        <f>HYPERLINK("\\imagefiles.bcgov\imagery\scanned_maps\moe_terrain_maps\Scanned_T_maps_all\R14\R14-1806","\\imagefiles.bcgov\imagery\scanned_maps\moe_terrain_maps\Scanned_T_maps_all\R14\R14-1806")</f>
        <v>\\imagefiles.bcgov\imagery\scanned_maps\moe_terrain_maps\Scanned_T_maps_all\R14\R14-1806</v>
      </c>
      <c r="S2837" t="s">
        <v>62</v>
      </c>
      <c r="T2837" s="11" t="str">
        <f>HYPERLINK("http://www.env.gov.bc.ca/esd/distdata/ecosystems/TEI_Scanned_Maps/R14/R14-1806","http://www.env.gov.bc.ca/esd/distdata/ecosystems/TEI_Scanned_Maps/R14/R14-1806")</f>
        <v>http://www.env.gov.bc.ca/esd/distdata/ecosystems/TEI_Scanned_Maps/R14/R14-1806</v>
      </c>
      <c r="U2837" t="s">
        <v>58</v>
      </c>
      <c r="V2837" t="s">
        <v>58</v>
      </c>
      <c r="W2837" t="s">
        <v>58</v>
      </c>
      <c r="X2837" t="s">
        <v>58</v>
      </c>
      <c r="Y2837" t="s">
        <v>58</v>
      </c>
      <c r="Z2837" t="s">
        <v>58</v>
      </c>
      <c r="AA2837" t="s">
        <v>58</v>
      </c>
      <c r="AC2837" t="s">
        <v>58</v>
      </c>
      <c r="AE2837" t="s">
        <v>58</v>
      </c>
      <c r="AG2837" t="s">
        <v>63</v>
      </c>
      <c r="AH2837" s="11" t="str">
        <f t="shared" si="172"/>
        <v>mailto: soilterrain@victoria1.gov.bc.ca</v>
      </c>
    </row>
    <row r="2838" spans="1:34">
      <c r="A2838" t="s">
        <v>6168</v>
      </c>
      <c r="B2838" t="s">
        <v>56</v>
      </c>
      <c r="C2838" s="10" t="s">
        <v>3089</v>
      </c>
      <c r="D2838" t="s">
        <v>58</v>
      </c>
      <c r="E2838" t="s">
        <v>4176</v>
      </c>
      <c r="F2838" t="s">
        <v>6169</v>
      </c>
      <c r="G2838">
        <v>100000</v>
      </c>
      <c r="H2838">
        <v>1974</v>
      </c>
      <c r="I2838" t="s">
        <v>58</v>
      </c>
      <c r="J2838" t="s">
        <v>58</v>
      </c>
      <c r="K2838" t="s">
        <v>58</v>
      </c>
      <c r="L2838" t="s">
        <v>58</v>
      </c>
      <c r="M2838" t="s">
        <v>58</v>
      </c>
      <c r="O2838" t="s">
        <v>61</v>
      </c>
      <c r="Q2838" t="s">
        <v>58</v>
      </c>
      <c r="R2838" s="11" t="str">
        <f>HYPERLINK("\\imagefiles.bcgov\imagery\scanned_maps\moe_terrain_maps\Scanned_T_maps_all\R14\R14-1812","\\imagefiles.bcgov\imagery\scanned_maps\moe_terrain_maps\Scanned_T_maps_all\R14\R14-1812")</f>
        <v>\\imagefiles.bcgov\imagery\scanned_maps\moe_terrain_maps\Scanned_T_maps_all\R14\R14-1812</v>
      </c>
      <c r="S2838" t="s">
        <v>62</v>
      </c>
      <c r="T2838" s="11" t="str">
        <f>HYPERLINK("http://www.env.gov.bc.ca/esd/distdata/ecosystems/TEI_Scanned_Maps/R14/R14-1812","http://www.env.gov.bc.ca/esd/distdata/ecosystems/TEI_Scanned_Maps/R14/R14-1812")</f>
        <v>http://www.env.gov.bc.ca/esd/distdata/ecosystems/TEI_Scanned_Maps/R14/R14-1812</v>
      </c>
      <c r="U2838" t="s">
        <v>58</v>
      </c>
      <c r="V2838" t="s">
        <v>58</v>
      </c>
      <c r="W2838" t="s">
        <v>58</v>
      </c>
      <c r="X2838" t="s">
        <v>58</v>
      </c>
      <c r="Y2838" t="s">
        <v>58</v>
      </c>
      <c r="Z2838" t="s">
        <v>58</v>
      </c>
      <c r="AA2838" t="s">
        <v>58</v>
      </c>
      <c r="AC2838" t="s">
        <v>58</v>
      </c>
      <c r="AE2838" t="s">
        <v>58</v>
      </c>
      <c r="AG2838" t="s">
        <v>63</v>
      </c>
      <c r="AH2838" s="11" t="str">
        <f t="shared" si="172"/>
        <v>mailto: soilterrain@victoria1.gov.bc.ca</v>
      </c>
    </row>
    <row r="2839" spans="1:34">
      <c r="A2839" t="s">
        <v>6170</v>
      </c>
      <c r="B2839" t="s">
        <v>56</v>
      </c>
      <c r="C2839" s="10" t="s">
        <v>4220</v>
      </c>
      <c r="D2839" t="s">
        <v>58</v>
      </c>
      <c r="E2839" t="s">
        <v>4176</v>
      </c>
      <c r="F2839" t="s">
        <v>6171</v>
      </c>
      <c r="G2839">
        <v>100000</v>
      </c>
      <c r="H2839">
        <v>1972</v>
      </c>
      <c r="I2839" t="s">
        <v>58</v>
      </c>
      <c r="J2839" t="s">
        <v>58</v>
      </c>
      <c r="K2839" t="s">
        <v>58</v>
      </c>
      <c r="L2839" t="s">
        <v>58</v>
      </c>
      <c r="M2839" t="s">
        <v>58</v>
      </c>
      <c r="O2839" t="s">
        <v>61</v>
      </c>
      <c r="Q2839" t="s">
        <v>58</v>
      </c>
      <c r="R2839" s="11" t="str">
        <f>HYPERLINK("\\imagefiles.bcgov\imagery\scanned_maps\moe_terrain_maps\Scanned_T_maps_all\R14\R14-1840","\\imagefiles.bcgov\imagery\scanned_maps\moe_terrain_maps\Scanned_T_maps_all\R14\R14-1840")</f>
        <v>\\imagefiles.bcgov\imagery\scanned_maps\moe_terrain_maps\Scanned_T_maps_all\R14\R14-1840</v>
      </c>
      <c r="S2839" t="s">
        <v>62</v>
      </c>
      <c r="T2839" s="11" t="str">
        <f>HYPERLINK("http://www.env.gov.bc.ca/esd/distdata/ecosystems/TEI_Scanned_Maps/R14/R14-1840","http://www.env.gov.bc.ca/esd/distdata/ecosystems/TEI_Scanned_Maps/R14/R14-1840")</f>
        <v>http://www.env.gov.bc.ca/esd/distdata/ecosystems/TEI_Scanned_Maps/R14/R14-1840</v>
      </c>
      <c r="U2839" t="s">
        <v>58</v>
      </c>
      <c r="V2839" t="s">
        <v>58</v>
      </c>
      <c r="W2839" t="s">
        <v>58</v>
      </c>
      <c r="X2839" t="s">
        <v>58</v>
      </c>
      <c r="Y2839" t="s">
        <v>58</v>
      </c>
      <c r="Z2839" t="s">
        <v>58</v>
      </c>
      <c r="AA2839" t="s">
        <v>58</v>
      </c>
      <c r="AC2839" t="s">
        <v>58</v>
      </c>
      <c r="AE2839" t="s">
        <v>58</v>
      </c>
      <c r="AG2839" t="s">
        <v>63</v>
      </c>
      <c r="AH2839" s="11" t="str">
        <f t="shared" si="172"/>
        <v>mailto: soilterrain@victoria1.gov.bc.ca</v>
      </c>
    </row>
    <row r="2840" spans="1:34">
      <c r="A2840" t="s">
        <v>6172</v>
      </c>
      <c r="B2840" t="s">
        <v>56</v>
      </c>
      <c r="C2840" s="10" t="s">
        <v>6173</v>
      </c>
      <c r="D2840" t="s">
        <v>58</v>
      </c>
      <c r="E2840" t="s">
        <v>4176</v>
      </c>
      <c r="F2840" t="s">
        <v>6174</v>
      </c>
      <c r="G2840">
        <v>100000</v>
      </c>
      <c r="H2840">
        <v>1974</v>
      </c>
      <c r="I2840" t="s">
        <v>58</v>
      </c>
      <c r="J2840" t="s">
        <v>58</v>
      </c>
      <c r="K2840" t="s">
        <v>58</v>
      </c>
      <c r="L2840" t="s">
        <v>58</v>
      </c>
      <c r="M2840" t="s">
        <v>58</v>
      </c>
      <c r="O2840" t="s">
        <v>61</v>
      </c>
      <c r="Q2840" t="s">
        <v>58</v>
      </c>
      <c r="R2840" s="11" t="str">
        <f>HYPERLINK("\\imagefiles.bcgov\imagery\scanned_maps\moe_terrain_maps\Scanned_T_maps_all\R14\R14-1845","\\imagefiles.bcgov\imagery\scanned_maps\moe_terrain_maps\Scanned_T_maps_all\R14\R14-1845")</f>
        <v>\\imagefiles.bcgov\imagery\scanned_maps\moe_terrain_maps\Scanned_T_maps_all\R14\R14-1845</v>
      </c>
      <c r="S2840" t="s">
        <v>62</v>
      </c>
      <c r="T2840" s="11" t="str">
        <f>HYPERLINK("http://www.env.gov.bc.ca/esd/distdata/ecosystems/TEI_Scanned_Maps/R14/R14-1845","http://www.env.gov.bc.ca/esd/distdata/ecosystems/TEI_Scanned_Maps/R14/R14-1845")</f>
        <v>http://www.env.gov.bc.ca/esd/distdata/ecosystems/TEI_Scanned_Maps/R14/R14-1845</v>
      </c>
      <c r="U2840" t="s">
        <v>58</v>
      </c>
      <c r="V2840" t="s">
        <v>58</v>
      </c>
      <c r="W2840" t="s">
        <v>58</v>
      </c>
      <c r="X2840" t="s">
        <v>58</v>
      </c>
      <c r="Y2840" t="s">
        <v>58</v>
      </c>
      <c r="Z2840" t="s">
        <v>58</v>
      </c>
      <c r="AA2840" t="s">
        <v>58</v>
      </c>
      <c r="AC2840" t="s">
        <v>58</v>
      </c>
      <c r="AE2840" t="s">
        <v>58</v>
      </c>
      <c r="AG2840" t="s">
        <v>63</v>
      </c>
      <c r="AH2840" s="11" t="str">
        <f t="shared" si="172"/>
        <v>mailto: soilterrain@victoria1.gov.bc.ca</v>
      </c>
    </row>
    <row r="2841" spans="1:34">
      <c r="A2841" t="s">
        <v>6175</v>
      </c>
      <c r="B2841" t="s">
        <v>56</v>
      </c>
      <c r="C2841" s="10" t="s">
        <v>1907</v>
      </c>
      <c r="D2841" t="s">
        <v>58</v>
      </c>
      <c r="E2841" t="s">
        <v>4176</v>
      </c>
      <c r="F2841" t="s">
        <v>6176</v>
      </c>
      <c r="G2841">
        <v>100000</v>
      </c>
      <c r="H2841">
        <v>1979</v>
      </c>
      <c r="I2841" t="s">
        <v>58</v>
      </c>
      <c r="J2841" t="s">
        <v>58</v>
      </c>
      <c r="K2841" t="s">
        <v>58</v>
      </c>
      <c r="L2841" t="s">
        <v>58</v>
      </c>
      <c r="M2841" t="s">
        <v>58</v>
      </c>
      <c r="O2841" t="s">
        <v>61</v>
      </c>
      <c r="Q2841" t="s">
        <v>58</v>
      </c>
      <c r="R2841" s="11" t="str">
        <f>HYPERLINK("\\imagefiles.bcgov\imagery\scanned_maps\moe_terrain_maps\Scanned_T_maps_all\R14\R14-1870","\\imagefiles.bcgov\imagery\scanned_maps\moe_terrain_maps\Scanned_T_maps_all\R14\R14-1870")</f>
        <v>\\imagefiles.bcgov\imagery\scanned_maps\moe_terrain_maps\Scanned_T_maps_all\R14\R14-1870</v>
      </c>
      <c r="S2841" t="s">
        <v>62</v>
      </c>
      <c r="T2841" s="11" t="str">
        <f>HYPERLINK("http://www.env.gov.bc.ca/esd/distdata/ecosystems/TEI_Scanned_Maps/R14/R14-1870","http://www.env.gov.bc.ca/esd/distdata/ecosystems/TEI_Scanned_Maps/R14/R14-1870")</f>
        <v>http://www.env.gov.bc.ca/esd/distdata/ecosystems/TEI_Scanned_Maps/R14/R14-1870</v>
      </c>
      <c r="U2841" t="s">
        <v>58</v>
      </c>
      <c r="V2841" t="s">
        <v>58</v>
      </c>
      <c r="W2841" t="s">
        <v>58</v>
      </c>
      <c r="X2841" t="s">
        <v>58</v>
      </c>
      <c r="Y2841" t="s">
        <v>58</v>
      </c>
      <c r="Z2841" t="s">
        <v>58</v>
      </c>
      <c r="AA2841" t="s">
        <v>58</v>
      </c>
      <c r="AC2841" t="s">
        <v>58</v>
      </c>
      <c r="AE2841" t="s">
        <v>58</v>
      </c>
      <c r="AG2841" t="s">
        <v>63</v>
      </c>
      <c r="AH2841" s="11" t="str">
        <f t="shared" si="172"/>
        <v>mailto: soilterrain@victoria1.gov.bc.ca</v>
      </c>
    </row>
    <row r="2842" spans="1:34">
      <c r="A2842" t="s">
        <v>6177</v>
      </c>
      <c r="B2842" t="s">
        <v>56</v>
      </c>
      <c r="C2842" s="10" t="s">
        <v>4231</v>
      </c>
      <c r="D2842" t="s">
        <v>58</v>
      </c>
      <c r="E2842" t="s">
        <v>4176</v>
      </c>
      <c r="F2842" t="s">
        <v>6178</v>
      </c>
      <c r="G2842">
        <v>100000</v>
      </c>
      <c r="H2842">
        <v>1979</v>
      </c>
      <c r="I2842" t="s">
        <v>58</v>
      </c>
      <c r="J2842" t="s">
        <v>58</v>
      </c>
      <c r="K2842" t="s">
        <v>58</v>
      </c>
      <c r="L2842" t="s">
        <v>58</v>
      </c>
      <c r="M2842" t="s">
        <v>58</v>
      </c>
      <c r="O2842" t="s">
        <v>61</v>
      </c>
      <c r="Q2842" t="s">
        <v>58</v>
      </c>
      <c r="R2842" s="11" t="str">
        <f>HYPERLINK("\\imagefiles.bcgov\imagery\scanned_maps\moe_terrain_maps\Scanned_T_maps_all\R14\R14-1903","\\imagefiles.bcgov\imagery\scanned_maps\moe_terrain_maps\Scanned_T_maps_all\R14\R14-1903")</f>
        <v>\\imagefiles.bcgov\imagery\scanned_maps\moe_terrain_maps\Scanned_T_maps_all\R14\R14-1903</v>
      </c>
      <c r="S2842" t="s">
        <v>62</v>
      </c>
      <c r="T2842" s="11" t="str">
        <f>HYPERLINK("http://www.env.gov.bc.ca/esd/distdata/ecosystems/TEI_Scanned_Maps/R14/R14-1903","http://www.env.gov.bc.ca/esd/distdata/ecosystems/TEI_Scanned_Maps/R14/R14-1903")</f>
        <v>http://www.env.gov.bc.ca/esd/distdata/ecosystems/TEI_Scanned_Maps/R14/R14-1903</v>
      </c>
      <c r="U2842" t="s">
        <v>58</v>
      </c>
      <c r="V2842" t="s">
        <v>58</v>
      </c>
      <c r="W2842" t="s">
        <v>58</v>
      </c>
      <c r="X2842" t="s">
        <v>58</v>
      </c>
      <c r="Y2842" t="s">
        <v>58</v>
      </c>
      <c r="Z2842" t="s">
        <v>58</v>
      </c>
      <c r="AA2842" t="s">
        <v>58</v>
      </c>
      <c r="AC2842" t="s">
        <v>58</v>
      </c>
      <c r="AE2842" t="s">
        <v>58</v>
      </c>
      <c r="AG2842" t="s">
        <v>63</v>
      </c>
      <c r="AH2842" s="11" t="str">
        <f t="shared" si="172"/>
        <v>mailto: soilterrain@victoria1.gov.bc.ca</v>
      </c>
    </row>
    <row r="2843" spans="1:34">
      <c r="A2843" t="s">
        <v>6179</v>
      </c>
      <c r="B2843" t="s">
        <v>56</v>
      </c>
      <c r="C2843" s="10" t="s">
        <v>4234</v>
      </c>
      <c r="D2843" t="s">
        <v>58</v>
      </c>
      <c r="E2843" t="s">
        <v>4176</v>
      </c>
      <c r="F2843" t="s">
        <v>6180</v>
      </c>
      <c r="G2843">
        <v>100000</v>
      </c>
      <c r="H2843">
        <v>1974</v>
      </c>
      <c r="I2843" t="s">
        <v>58</v>
      </c>
      <c r="J2843" t="s">
        <v>58</v>
      </c>
      <c r="K2843" t="s">
        <v>58</v>
      </c>
      <c r="L2843" t="s">
        <v>58</v>
      </c>
      <c r="M2843" t="s">
        <v>58</v>
      </c>
      <c r="O2843" t="s">
        <v>61</v>
      </c>
      <c r="Q2843" t="s">
        <v>58</v>
      </c>
      <c r="R2843" s="11" t="str">
        <f>HYPERLINK("\\imagefiles.bcgov\imagery\scanned_maps\moe_terrain_maps\Scanned_T_maps_all\R14\R14-1908","\\imagefiles.bcgov\imagery\scanned_maps\moe_terrain_maps\Scanned_T_maps_all\R14\R14-1908")</f>
        <v>\\imagefiles.bcgov\imagery\scanned_maps\moe_terrain_maps\Scanned_T_maps_all\R14\R14-1908</v>
      </c>
      <c r="S2843" t="s">
        <v>62</v>
      </c>
      <c r="T2843" s="11" t="str">
        <f>HYPERLINK("http://www.env.gov.bc.ca/esd/distdata/ecosystems/TEI_Scanned_Maps/R14/R14-1908","http://www.env.gov.bc.ca/esd/distdata/ecosystems/TEI_Scanned_Maps/R14/R14-1908")</f>
        <v>http://www.env.gov.bc.ca/esd/distdata/ecosystems/TEI_Scanned_Maps/R14/R14-1908</v>
      </c>
      <c r="U2843" t="s">
        <v>58</v>
      </c>
      <c r="V2843" t="s">
        <v>58</v>
      </c>
      <c r="W2843" t="s">
        <v>58</v>
      </c>
      <c r="X2843" t="s">
        <v>58</v>
      </c>
      <c r="Y2843" t="s">
        <v>58</v>
      </c>
      <c r="Z2843" t="s">
        <v>58</v>
      </c>
      <c r="AA2843" t="s">
        <v>58</v>
      </c>
      <c r="AC2843" t="s">
        <v>58</v>
      </c>
      <c r="AE2843" t="s">
        <v>58</v>
      </c>
      <c r="AG2843" t="s">
        <v>63</v>
      </c>
      <c r="AH2843" s="11" t="str">
        <f t="shared" si="172"/>
        <v>mailto: soilterrain@victoria1.gov.bc.ca</v>
      </c>
    </row>
    <row r="2844" spans="1:34">
      <c r="A2844" t="s">
        <v>6181</v>
      </c>
      <c r="B2844" t="s">
        <v>56</v>
      </c>
      <c r="C2844" s="10" t="s">
        <v>1904</v>
      </c>
      <c r="D2844" t="s">
        <v>58</v>
      </c>
      <c r="E2844" t="s">
        <v>4176</v>
      </c>
      <c r="F2844" t="s">
        <v>6182</v>
      </c>
      <c r="G2844">
        <v>100000</v>
      </c>
      <c r="H2844">
        <v>1979</v>
      </c>
      <c r="I2844" t="s">
        <v>58</v>
      </c>
      <c r="J2844" t="s">
        <v>58</v>
      </c>
      <c r="K2844" t="s">
        <v>58</v>
      </c>
      <c r="L2844" t="s">
        <v>58</v>
      </c>
      <c r="M2844" t="s">
        <v>58</v>
      </c>
      <c r="O2844" t="s">
        <v>61</v>
      </c>
      <c r="Q2844" t="s">
        <v>58</v>
      </c>
      <c r="R2844" s="11" t="str">
        <f>HYPERLINK("\\imagefiles.bcgov\imagery\scanned_maps\moe_terrain_maps\Scanned_T_maps_all\R14\R14-1914","\\imagefiles.bcgov\imagery\scanned_maps\moe_terrain_maps\Scanned_T_maps_all\R14\R14-1914")</f>
        <v>\\imagefiles.bcgov\imagery\scanned_maps\moe_terrain_maps\Scanned_T_maps_all\R14\R14-1914</v>
      </c>
      <c r="S2844" t="s">
        <v>62</v>
      </c>
      <c r="T2844" s="11" t="str">
        <f>HYPERLINK("http://www.env.gov.bc.ca/esd/distdata/ecosystems/TEI_Scanned_Maps/R14/R14-1914","http://www.env.gov.bc.ca/esd/distdata/ecosystems/TEI_Scanned_Maps/R14/R14-1914")</f>
        <v>http://www.env.gov.bc.ca/esd/distdata/ecosystems/TEI_Scanned_Maps/R14/R14-1914</v>
      </c>
      <c r="U2844" t="s">
        <v>58</v>
      </c>
      <c r="V2844" t="s">
        <v>58</v>
      </c>
      <c r="W2844" t="s">
        <v>58</v>
      </c>
      <c r="X2844" t="s">
        <v>58</v>
      </c>
      <c r="Y2844" t="s">
        <v>58</v>
      </c>
      <c r="Z2844" t="s">
        <v>58</v>
      </c>
      <c r="AA2844" t="s">
        <v>58</v>
      </c>
      <c r="AC2844" t="s">
        <v>58</v>
      </c>
      <c r="AE2844" t="s">
        <v>58</v>
      </c>
      <c r="AG2844" t="s">
        <v>63</v>
      </c>
      <c r="AH2844" s="11" t="str">
        <f t="shared" si="172"/>
        <v>mailto: soilterrain@victoria1.gov.bc.ca</v>
      </c>
    </row>
    <row r="2845" spans="1:34">
      <c r="A2845" t="s">
        <v>6183</v>
      </c>
      <c r="B2845" t="s">
        <v>56</v>
      </c>
      <c r="C2845" s="10" t="s">
        <v>4433</v>
      </c>
      <c r="D2845" t="s">
        <v>58</v>
      </c>
      <c r="E2845" t="s">
        <v>4176</v>
      </c>
      <c r="F2845" t="s">
        <v>6184</v>
      </c>
      <c r="G2845">
        <v>100000</v>
      </c>
      <c r="H2845">
        <v>1980</v>
      </c>
      <c r="I2845" t="s">
        <v>58</v>
      </c>
      <c r="J2845" t="s">
        <v>58</v>
      </c>
      <c r="K2845" t="s">
        <v>58</v>
      </c>
      <c r="L2845" t="s">
        <v>58</v>
      </c>
      <c r="M2845" t="s">
        <v>58</v>
      </c>
      <c r="O2845" t="s">
        <v>61</v>
      </c>
      <c r="Q2845" t="s">
        <v>58</v>
      </c>
      <c r="R2845" s="11" t="str">
        <f>HYPERLINK("\\imagefiles.bcgov\imagery\scanned_maps\moe_terrain_maps\Scanned_T_maps_all\R14\R14-1917","\\imagefiles.bcgov\imagery\scanned_maps\moe_terrain_maps\Scanned_T_maps_all\R14\R14-1917")</f>
        <v>\\imagefiles.bcgov\imagery\scanned_maps\moe_terrain_maps\Scanned_T_maps_all\R14\R14-1917</v>
      </c>
      <c r="S2845" t="s">
        <v>62</v>
      </c>
      <c r="T2845" s="11" t="str">
        <f>HYPERLINK("http://www.env.gov.bc.ca/esd/distdata/ecosystems/TEI_Scanned_Maps/R14/R14-1917","http://www.env.gov.bc.ca/esd/distdata/ecosystems/TEI_Scanned_Maps/R14/R14-1917")</f>
        <v>http://www.env.gov.bc.ca/esd/distdata/ecosystems/TEI_Scanned_Maps/R14/R14-1917</v>
      </c>
      <c r="U2845" t="s">
        <v>58</v>
      </c>
      <c r="V2845" t="s">
        <v>58</v>
      </c>
      <c r="W2845" t="s">
        <v>58</v>
      </c>
      <c r="X2845" t="s">
        <v>58</v>
      </c>
      <c r="Y2845" t="s">
        <v>58</v>
      </c>
      <c r="Z2845" t="s">
        <v>58</v>
      </c>
      <c r="AA2845" t="s">
        <v>58</v>
      </c>
      <c r="AC2845" t="s">
        <v>58</v>
      </c>
      <c r="AE2845" t="s">
        <v>58</v>
      </c>
      <c r="AG2845" t="s">
        <v>63</v>
      </c>
      <c r="AH2845" s="11" t="str">
        <f t="shared" si="172"/>
        <v>mailto: soilterrain@victoria1.gov.bc.ca</v>
      </c>
    </row>
    <row r="2846" spans="1:34">
      <c r="A2846" t="s">
        <v>6185</v>
      </c>
      <c r="B2846" t="s">
        <v>56</v>
      </c>
      <c r="C2846" s="10" t="s">
        <v>1922</v>
      </c>
      <c r="D2846" t="s">
        <v>58</v>
      </c>
      <c r="E2846" t="s">
        <v>4176</v>
      </c>
      <c r="F2846" t="s">
        <v>6186</v>
      </c>
      <c r="G2846">
        <v>100000</v>
      </c>
      <c r="H2846">
        <v>1978</v>
      </c>
      <c r="I2846" t="s">
        <v>58</v>
      </c>
      <c r="J2846" t="s">
        <v>58</v>
      </c>
      <c r="K2846" t="s">
        <v>58</v>
      </c>
      <c r="L2846" t="s">
        <v>58</v>
      </c>
      <c r="M2846" t="s">
        <v>58</v>
      </c>
      <c r="O2846" t="s">
        <v>61</v>
      </c>
      <c r="Q2846" t="s">
        <v>58</v>
      </c>
      <c r="R2846" s="11" t="str">
        <f>HYPERLINK("\\imagefiles.bcgov\imagery\scanned_maps\moe_terrain_maps\Scanned_T_maps_all\R14\R14-2044","\\imagefiles.bcgov\imagery\scanned_maps\moe_terrain_maps\Scanned_T_maps_all\R14\R14-2044")</f>
        <v>\\imagefiles.bcgov\imagery\scanned_maps\moe_terrain_maps\Scanned_T_maps_all\R14\R14-2044</v>
      </c>
      <c r="S2846" t="s">
        <v>62</v>
      </c>
      <c r="T2846" s="11" t="str">
        <f>HYPERLINK("http://www.env.gov.bc.ca/esd/distdata/ecosystems/TEI_Scanned_Maps/R14/R14-2044","http://www.env.gov.bc.ca/esd/distdata/ecosystems/TEI_Scanned_Maps/R14/R14-2044")</f>
        <v>http://www.env.gov.bc.ca/esd/distdata/ecosystems/TEI_Scanned_Maps/R14/R14-2044</v>
      </c>
      <c r="U2846" t="s">
        <v>58</v>
      </c>
      <c r="V2846" t="s">
        <v>58</v>
      </c>
      <c r="W2846" t="s">
        <v>58</v>
      </c>
      <c r="X2846" t="s">
        <v>58</v>
      </c>
      <c r="Y2846" t="s">
        <v>58</v>
      </c>
      <c r="Z2846" t="s">
        <v>58</v>
      </c>
      <c r="AA2846" t="s">
        <v>58</v>
      </c>
      <c r="AC2846" t="s">
        <v>58</v>
      </c>
      <c r="AE2846" t="s">
        <v>58</v>
      </c>
      <c r="AG2846" t="s">
        <v>63</v>
      </c>
      <c r="AH2846" s="11" t="str">
        <f t="shared" si="172"/>
        <v>mailto: soilterrain@victoria1.gov.bc.ca</v>
      </c>
    </row>
    <row r="2847" spans="1:34">
      <c r="A2847" t="s">
        <v>6187</v>
      </c>
      <c r="B2847" t="s">
        <v>56</v>
      </c>
      <c r="C2847" s="10" t="s">
        <v>1928</v>
      </c>
      <c r="D2847" t="s">
        <v>58</v>
      </c>
      <c r="E2847" t="s">
        <v>4176</v>
      </c>
      <c r="F2847" t="s">
        <v>6188</v>
      </c>
      <c r="G2847">
        <v>100000</v>
      </c>
      <c r="H2847">
        <v>1980</v>
      </c>
      <c r="I2847" t="s">
        <v>58</v>
      </c>
      <c r="J2847" t="s">
        <v>58</v>
      </c>
      <c r="K2847" t="s">
        <v>58</v>
      </c>
      <c r="L2847" t="s">
        <v>58</v>
      </c>
      <c r="M2847" t="s">
        <v>58</v>
      </c>
      <c r="O2847" t="s">
        <v>61</v>
      </c>
      <c r="Q2847" t="s">
        <v>58</v>
      </c>
      <c r="R2847" s="11" t="str">
        <f>HYPERLINK("\\imagefiles.bcgov\imagery\scanned_maps\moe_terrain_maps\Scanned_T_maps_all\R14\R14-2058","\\imagefiles.bcgov\imagery\scanned_maps\moe_terrain_maps\Scanned_T_maps_all\R14\R14-2058")</f>
        <v>\\imagefiles.bcgov\imagery\scanned_maps\moe_terrain_maps\Scanned_T_maps_all\R14\R14-2058</v>
      </c>
      <c r="S2847" t="s">
        <v>62</v>
      </c>
      <c r="T2847" s="11" t="str">
        <f>HYPERLINK("http://www.env.gov.bc.ca/esd/distdata/ecosystems/TEI_Scanned_Maps/R14/R14-2058","http://www.env.gov.bc.ca/esd/distdata/ecosystems/TEI_Scanned_Maps/R14/R14-2058")</f>
        <v>http://www.env.gov.bc.ca/esd/distdata/ecosystems/TEI_Scanned_Maps/R14/R14-2058</v>
      </c>
      <c r="U2847" t="s">
        <v>58</v>
      </c>
      <c r="V2847" t="s">
        <v>58</v>
      </c>
      <c r="W2847" t="s">
        <v>58</v>
      </c>
      <c r="X2847" t="s">
        <v>58</v>
      </c>
      <c r="Y2847" t="s">
        <v>58</v>
      </c>
      <c r="Z2847" t="s">
        <v>58</v>
      </c>
      <c r="AA2847" t="s">
        <v>58</v>
      </c>
      <c r="AC2847" t="s">
        <v>58</v>
      </c>
      <c r="AE2847" t="s">
        <v>58</v>
      </c>
      <c r="AG2847" t="s">
        <v>63</v>
      </c>
      <c r="AH2847" s="11" t="str">
        <f t="shared" si="172"/>
        <v>mailto: soilterrain@victoria1.gov.bc.ca</v>
      </c>
    </row>
    <row r="2848" spans="1:34">
      <c r="A2848" t="s">
        <v>6189</v>
      </c>
      <c r="B2848" t="s">
        <v>56</v>
      </c>
      <c r="C2848" s="10" t="s">
        <v>1934</v>
      </c>
      <c r="D2848" t="s">
        <v>58</v>
      </c>
      <c r="E2848" t="s">
        <v>4176</v>
      </c>
      <c r="F2848" t="s">
        <v>6190</v>
      </c>
      <c r="G2848">
        <v>126720</v>
      </c>
      <c r="H2848">
        <v>1979</v>
      </c>
      <c r="I2848" t="s">
        <v>58</v>
      </c>
      <c r="J2848" t="s">
        <v>58</v>
      </c>
      <c r="K2848" t="s">
        <v>58</v>
      </c>
      <c r="L2848" t="s">
        <v>58</v>
      </c>
      <c r="M2848" t="s">
        <v>58</v>
      </c>
      <c r="O2848" t="s">
        <v>61</v>
      </c>
      <c r="Q2848" t="s">
        <v>58</v>
      </c>
      <c r="R2848" s="11" t="str">
        <f>HYPERLINK("\\imagefiles.bcgov\imagery\scanned_maps\moe_terrain_maps\Scanned_T_maps_all\R14\R14-2124","\\imagefiles.bcgov\imagery\scanned_maps\moe_terrain_maps\Scanned_T_maps_all\R14\R14-2124")</f>
        <v>\\imagefiles.bcgov\imagery\scanned_maps\moe_terrain_maps\Scanned_T_maps_all\R14\R14-2124</v>
      </c>
      <c r="S2848" t="s">
        <v>62</v>
      </c>
      <c r="T2848" s="11" t="str">
        <f>HYPERLINK("http://www.env.gov.bc.ca/esd/distdata/ecosystems/TEI_Scanned_Maps/R14/R14-2124","http://www.env.gov.bc.ca/esd/distdata/ecosystems/TEI_Scanned_Maps/R14/R14-2124")</f>
        <v>http://www.env.gov.bc.ca/esd/distdata/ecosystems/TEI_Scanned_Maps/R14/R14-2124</v>
      </c>
      <c r="U2848" t="s">
        <v>58</v>
      </c>
      <c r="V2848" t="s">
        <v>58</v>
      </c>
      <c r="W2848" t="s">
        <v>58</v>
      </c>
      <c r="X2848" t="s">
        <v>58</v>
      </c>
      <c r="Y2848" t="s">
        <v>58</v>
      </c>
      <c r="Z2848" t="s">
        <v>58</v>
      </c>
      <c r="AA2848" t="s">
        <v>58</v>
      </c>
      <c r="AC2848" t="s">
        <v>58</v>
      </c>
      <c r="AE2848" t="s">
        <v>58</v>
      </c>
      <c r="AG2848" t="s">
        <v>63</v>
      </c>
      <c r="AH2848" s="11" t="str">
        <f t="shared" si="172"/>
        <v>mailto: soilterrain@victoria1.gov.bc.ca</v>
      </c>
    </row>
    <row r="2849" spans="1:34">
      <c r="A2849" t="s">
        <v>6191</v>
      </c>
      <c r="B2849" t="s">
        <v>56</v>
      </c>
      <c r="C2849" s="10" t="s">
        <v>1937</v>
      </c>
      <c r="D2849" t="s">
        <v>58</v>
      </c>
      <c r="E2849" t="s">
        <v>4176</v>
      </c>
      <c r="F2849" t="s">
        <v>6190</v>
      </c>
      <c r="G2849">
        <v>126720</v>
      </c>
      <c r="H2849">
        <v>1974</v>
      </c>
      <c r="I2849" t="s">
        <v>58</v>
      </c>
      <c r="J2849" t="s">
        <v>58</v>
      </c>
      <c r="K2849" t="s">
        <v>58</v>
      </c>
      <c r="L2849" t="s">
        <v>58</v>
      </c>
      <c r="M2849" t="s">
        <v>58</v>
      </c>
      <c r="O2849" t="s">
        <v>61</v>
      </c>
      <c r="Q2849" t="s">
        <v>58</v>
      </c>
      <c r="R2849" s="11" t="str">
        <f>HYPERLINK("\\imagefiles.bcgov\imagery\scanned_maps\moe_terrain_maps\Scanned_T_maps_all\R14\R14-2128","\\imagefiles.bcgov\imagery\scanned_maps\moe_terrain_maps\Scanned_T_maps_all\R14\R14-2128")</f>
        <v>\\imagefiles.bcgov\imagery\scanned_maps\moe_terrain_maps\Scanned_T_maps_all\R14\R14-2128</v>
      </c>
      <c r="S2849" t="s">
        <v>62</v>
      </c>
      <c r="T2849" s="11" t="str">
        <f>HYPERLINK("http://www.env.gov.bc.ca/esd/distdata/ecosystems/TEI_Scanned_Maps/R14/R14-2128","http://www.env.gov.bc.ca/esd/distdata/ecosystems/TEI_Scanned_Maps/R14/R14-2128")</f>
        <v>http://www.env.gov.bc.ca/esd/distdata/ecosystems/TEI_Scanned_Maps/R14/R14-2128</v>
      </c>
      <c r="U2849" t="s">
        <v>58</v>
      </c>
      <c r="V2849" t="s">
        <v>58</v>
      </c>
      <c r="W2849" t="s">
        <v>58</v>
      </c>
      <c r="X2849" t="s">
        <v>58</v>
      </c>
      <c r="Y2849" t="s">
        <v>58</v>
      </c>
      <c r="Z2849" t="s">
        <v>58</v>
      </c>
      <c r="AA2849" t="s">
        <v>58</v>
      </c>
      <c r="AC2849" t="s">
        <v>58</v>
      </c>
      <c r="AE2849" t="s">
        <v>58</v>
      </c>
      <c r="AG2849" t="s">
        <v>63</v>
      </c>
      <c r="AH2849" s="11" t="str">
        <f t="shared" si="172"/>
        <v>mailto: soilterrain@victoria1.gov.bc.ca</v>
      </c>
    </row>
    <row r="2850" spans="1:34">
      <c r="A2850" t="s">
        <v>6192</v>
      </c>
      <c r="B2850" t="s">
        <v>56</v>
      </c>
      <c r="C2850" s="10" t="s">
        <v>4458</v>
      </c>
      <c r="D2850" t="s">
        <v>58</v>
      </c>
      <c r="E2850" t="s">
        <v>4176</v>
      </c>
      <c r="F2850" t="s">
        <v>6193</v>
      </c>
      <c r="G2850">
        <v>100000</v>
      </c>
      <c r="H2850">
        <v>1978</v>
      </c>
      <c r="I2850" t="s">
        <v>58</v>
      </c>
      <c r="J2850" t="s">
        <v>58</v>
      </c>
      <c r="K2850" t="s">
        <v>58</v>
      </c>
      <c r="L2850" t="s">
        <v>58</v>
      </c>
      <c r="M2850" t="s">
        <v>58</v>
      </c>
      <c r="O2850" t="s">
        <v>61</v>
      </c>
      <c r="Q2850" t="s">
        <v>58</v>
      </c>
      <c r="R2850" s="11" t="str">
        <f>HYPERLINK("\\imagefiles.bcgov\imagery\scanned_maps\moe_terrain_maps\Scanned_T_maps_all\R14\R14-2340","\\imagefiles.bcgov\imagery\scanned_maps\moe_terrain_maps\Scanned_T_maps_all\R14\R14-2340")</f>
        <v>\\imagefiles.bcgov\imagery\scanned_maps\moe_terrain_maps\Scanned_T_maps_all\R14\R14-2340</v>
      </c>
      <c r="S2850" t="s">
        <v>62</v>
      </c>
      <c r="T2850" s="11" t="str">
        <f>HYPERLINK("http://www.env.gov.bc.ca/esd/distdata/ecosystems/TEI_Scanned_Maps/R14/R14-2340","http://www.env.gov.bc.ca/esd/distdata/ecosystems/TEI_Scanned_Maps/R14/R14-2340")</f>
        <v>http://www.env.gov.bc.ca/esd/distdata/ecosystems/TEI_Scanned_Maps/R14/R14-2340</v>
      </c>
      <c r="U2850" t="s">
        <v>58</v>
      </c>
      <c r="V2850" t="s">
        <v>58</v>
      </c>
      <c r="W2850" t="s">
        <v>58</v>
      </c>
      <c r="X2850" t="s">
        <v>58</v>
      </c>
      <c r="Y2850" t="s">
        <v>58</v>
      </c>
      <c r="Z2850" t="s">
        <v>58</v>
      </c>
      <c r="AA2850" t="s">
        <v>58</v>
      </c>
      <c r="AC2850" t="s">
        <v>58</v>
      </c>
      <c r="AE2850" t="s">
        <v>58</v>
      </c>
      <c r="AG2850" t="s">
        <v>63</v>
      </c>
      <c r="AH2850" s="11" t="str">
        <f t="shared" si="172"/>
        <v>mailto: soilterrain@victoria1.gov.bc.ca</v>
      </c>
    </row>
    <row r="2851" spans="1:34">
      <c r="A2851" t="s">
        <v>6194</v>
      </c>
      <c r="B2851" t="s">
        <v>56</v>
      </c>
      <c r="C2851" s="10" t="s">
        <v>3157</v>
      </c>
      <c r="D2851" t="s">
        <v>58</v>
      </c>
      <c r="E2851" t="s">
        <v>4176</v>
      </c>
      <c r="F2851" t="s">
        <v>6195</v>
      </c>
      <c r="G2851">
        <v>100000</v>
      </c>
      <c r="H2851">
        <v>1980</v>
      </c>
      <c r="I2851" t="s">
        <v>58</v>
      </c>
      <c r="J2851" t="s">
        <v>58</v>
      </c>
      <c r="K2851" t="s">
        <v>58</v>
      </c>
      <c r="L2851" t="s">
        <v>58</v>
      </c>
      <c r="M2851" t="s">
        <v>58</v>
      </c>
      <c r="O2851" t="s">
        <v>61</v>
      </c>
      <c r="Q2851" t="s">
        <v>58</v>
      </c>
      <c r="R2851" s="11" t="str">
        <f>HYPERLINK("\\imagefiles.bcgov\imagery\scanned_maps\moe_terrain_maps\Scanned_T_maps_all\R14\R14-2345","\\imagefiles.bcgov\imagery\scanned_maps\moe_terrain_maps\Scanned_T_maps_all\R14\R14-2345")</f>
        <v>\\imagefiles.bcgov\imagery\scanned_maps\moe_terrain_maps\Scanned_T_maps_all\R14\R14-2345</v>
      </c>
      <c r="S2851" t="s">
        <v>62</v>
      </c>
      <c r="T2851" s="11" t="str">
        <f>HYPERLINK("http://www.env.gov.bc.ca/esd/distdata/ecosystems/TEI_Scanned_Maps/R14/R14-2345","http://www.env.gov.bc.ca/esd/distdata/ecosystems/TEI_Scanned_Maps/R14/R14-2345")</f>
        <v>http://www.env.gov.bc.ca/esd/distdata/ecosystems/TEI_Scanned_Maps/R14/R14-2345</v>
      </c>
      <c r="U2851" t="s">
        <v>58</v>
      </c>
      <c r="V2851" t="s">
        <v>58</v>
      </c>
      <c r="W2851" t="s">
        <v>58</v>
      </c>
      <c r="X2851" t="s">
        <v>58</v>
      </c>
      <c r="Y2851" t="s">
        <v>58</v>
      </c>
      <c r="Z2851" t="s">
        <v>58</v>
      </c>
      <c r="AA2851" t="s">
        <v>58</v>
      </c>
      <c r="AC2851" t="s">
        <v>58</v>
      </c>
      <c r="AE2851" t="s">
        <v>58</v>
      </c>
      <c r="AG2851" t="s">
        <v>63</v>
      </c>
      <c r="AH2851" s="11" t="str">
        <f t="shared" si="172"/>
        <v>mailto: soilterrain@victoria1.gov.bc.ca</v>
      </c>
    </row>
    <row r="2852" spans="1:34">
      <c r="A2852" t="s">
        <v>6196</v>
      </c>
      <c r="B2852" t="s">
        <v>56</v>
      </c>
      <c r="C2852" s="10" t="s">
        <v>4463</v>
      </c>
      <c r="D2852" t="s">
        <v>58</v>
      </c>
      <c r="E2852" t="s">
        <v>4176</v>
      </c>
      <c r="F2852" t="s">
        <v>6197</v>
      </c>
      <c r="G2852">
        <v>100000</v>
      </c>
      <c r="H2852">
        <v>1979</v>
      </c>
      <c r="I2852" t="s">
        <v>58</v>
      </c>
      <c r="J2852" t="s">
        <v>58</v>
      </c>
      <c r="K2852" t="s">
        <v>58</v>
      </c>
      <c r="L2852" t="s">
        <v>58</v>
      </c>
      <c r="M2852" t="s">
        <v>58</v>
      </c>
      <c r="O2852" t="s">
        <v>61</v>
      </c>
      <c r="Q2852" t="s">
        <v>58</v>
      </c>
      <c r="R2852" s="11" t="str">
        <f>HYPERLINK("\\imagefiles.bcgov\imagery\scanned_maps\moe_terrain_maps\Scanned_T_maps_all\R14\R14-2350","\\imagefiles.bcgov\imagery\scanned_maps\moe_terrain_maps\Scanned_T_maps_all\R14\R14-2350")</f>
        <v>\\imagefiles.bcgov\imagery\scanned_maps\moe_terrain_maps\Scanned_T_maps_all\R14\R14-2350</v>
      </c>
      <c r="S2852" t="s">
        <v>62</v>
      </c>
      <c r="T2852" s="11" t="str">
        <f>HYPERLINK("http://www.env.gov.bc.ca/esd/distdata/ecosystems/TEI_Scanned_Maps/R14/R14-2350","http://www.env.gov.bc.ca/esd/distdata/ecosystems/TEI_Scanned_Maps/R14/R14-2350")</f>
        <v>http://www.env.gov.bc.ca/esd/distdata/ecosystems/TEI_Scanned_Maps/R14/R14-2350</v>
      </c>
      <c r="U2852" t="s">
        <v>58</v>
      </c>
      <c r="V2852" t="s">
        <v>58</v>
      </c>
      <c r="W2852" t="s">
        <v>58</v>
      </c>
      <c r="X2852" t="s">
        <v>58</v>
      </c>
      <c r="Y2852" t="s">
        <v>58</v>
      </c>
      <c r="Z2852" t="s">
        <v>58</v>
      </c>
      <c r="AA2852" t="s">
        <v>58</v>
      </c>
      <c r="AC2852" t="s">
        <v>58</v>
      </c>
      <c r="AE2852" t="s">
        <v>58</v>
      </c>
      <c r="AG2852" t="s">
        <v>63</v>
      </c>
      <c r="AH2852" s="11" t="str">
        <f t="shared" si="172"/>
        <v>mailto: soilterrain@victoria1.gov.bc.ca</v>
      </c>
    </row>
    <row r="2853" spans="1:34">
      <c r="A2853" t="s">
        <v>6198</v>
      </c>
      <c r="B2853" t="s">
        <v>56</v>
      </c>
      <c r="C2853" s="10" t="s">
        <v>4501</v>
      </c>
      <c r="D2853" t="s">
        <v>58</v>
      </c>
      <c r="E2853" t="s">
        <v>4176</v>
      </c>
      <c r="F2853" t="s">
        <v>6199</v>
      </c>
      <c r="G2853">
        <v>100000</v>
      </c>
      <c r="H2853">
        <v>1980</v>
      </c>
      <c r="I2853" t="s">
        <v>58</v>
      </c>
      <c r="J2853" t="s">
        <v>58</v>
      </c>
      <c r="K2853" t="s">
        <v>58</v>
      </c>
      <c r="L2853" t="s">
        <v>58</v>
      </c>
      <c r="M2853" t="s">
        <v>58</v>
      </c>
      <c r="O2853" t="s">
        <v>61</v>
      </c>
      <c r="Q2853" t="s">
        <v>58</v>
      </c>
      <c r="R2853" s="11" t="str">
        <f>HYPERLINK("\\imagefiles.bcgov\imagery\scanned_maps\moe_terrain_maps\Scanned_T_maps_all\R14\R14-5","\\imagefiles.bcgov\imagery\scanned_maps\moe_terrain_maps\Scanned_T_maps_all\R14\R14-5")</f>
        <v>\\imagefiles.bcgov\imagery\scanned_maps\moe_terrain_maps\Scanned_T_maps_all\R14\R14-5</v>
      </c>
      <c r="S2853" t="s">
        <v>62</v>
      </c>
      <c r="T2853" s="11" t="str">
        <f>HYPERLINK("http://www.env.gov.bc.ca/esd/distdata/ecosystems/TEI_Scanned_Maps/R14/R14-5","http://www.env.gov.bc.ca/esd/distdata/ecosystems/TEI_Scanned_Maps/R14/R14-5")</f>
        <v>http://www.env.gov.bc.ca/esd/distdata/ecosystems/TEI_Scanned_Maps/R14/R14-5</v>
      </c>
      <c r="U2853" t="s">
        <v>58</v>
      </c>
      <c r="V2853" t="s">
        <v>58</v>
      </c>
      <c r="W2853" t="s">
        <v>58</v>
      </c>
      <c r="X2853" t="s">
        <v>58</v>
      </c>
      <c r="Y2853" t="s">
        <v>58</v>
      </c>
      <c r="Z2853" t="s">
        <v>58</v>
      </c>
      <c r="AA2853" t="s">
        <v>58</v>
      </c>
      <c r="AC2853" t="s">
        <v>58</v>
      </c>
      <c r="AE2853" t="s">
        <v>58</v>
      </c>
      <c r="AG2853" t="s">
        <v>63</v>
      </c>
      <c r="AH2853" s="11" t="str">
        <f t="shared" si="172"/>
        <v>mailto: soilterrain@victoria1.gov.bc.ca</v>
      </c>
    </row>
    <row r="2854" spans="1:34">
      <c r="A2854" t="s">
        <v>6200</v>
      </c>
      <c r="B2854" t="s">
        <v>56</v>
      </c>
      <c r="C2854" s="10" t="s">
        <v>1946</v>
      </c>
      <c r="D2854" t="s">
        <v>58</v>
      </c>
      <c r="E2854" t="s">
        <v>4176</v>
      </c>
      <c r="F2854" t="s">
        <v>6190</v>
      </c>
      <c r="G2854">
        <v>126720</v>
      </c>
      <c r="H2854" t="s">
        <v>187</v>
      </c>
      <c r="I2854" t="s">
        <v>58</v>
      </c>
      <c r="J2854" t="s">
        <v>58</v>
      </c>
      <c r="K2854" t="s">
        <v>58</v>
      </c>
      <c r="L2854" t="s">
        <v>58</v>
      </c>
      <c r="M2854" t="s">
        <v>58</v>
      </c>
      <c r="O2854" t="s">
        <v>61</v>
      </c>
      <c r="Q2854" t="s">
        <v>58</v>
      </c>
      <c r="R2854" s="11" t="str">
        <f>HYPERLINK("\\imagefiles.bcgov\imagery\scanned_maps\moe_terrain_maps\Scanned_T_maps_all\R14\R14-5105","\\imagefiles.bcgov\imagery\scanned_maps\moe_terrain_maps\Scanned_T_maps_all\R14\R14-5105")</f>
        <v>\\imagefiles.bcgov\imagery\scanned_maps\moe_terrain_maps\Scanned_T_maps_all\R14\R14-5105</v>
      </c>
      <c r="S2854" t="s">
        <v>62</v>
      </c>
      <c r="T2854" s="11" t="str">
        <f>HYPERLINK("http://www.env.gov.bc.ca/esd/distdata/ecosystems/TEI_Scanned_Maps/R14/R14-5105","http://www.env.gov.bc.ca/esd/distdata/ecosystems/TEI_Scanned_Maps/R14/R14-5105")</f>
        <v>http://www.env.gov.bc.ca/esd/distdata/ecosystems/TEI_Scanned_Maps/R14/R14-5105</v>
      </c>
      <c r="U2854" t="s">
        <v>58</v>
      </c>
      <c r="V2854" t="s">
        <v>58</v>
      </c>
      <c r="W2854" t="s">
        <v>58</v>
      </c>
      <c r="X2854" t="s">
        <v>58</v>
      </c>
      <c r="Y2854" t="s">
        <v>58</v>
      </c>
      <c r="Z2854" t="s">
        <v>58</v>
      </c>
      <c r="AA2854" t="s">
        <v>58</v>
      </c>
      <c r="AC2854" t="s">
        <v>58</v>
      </c>
      <c r="AE2854" t="s">
        <v>58</v>
      </c>
      <c r="AG2854" t="s">
        <v>63</v>
      </c>
      <c r="AH2854" s="11" t="str">
        <f t="shared" si="172"/>
        <v>mailto: soilterrain@victoria1.gov.bc.ca</v>
      </c>
    </row>
    <row r="2855" spans="1:34">
      <c r="A2855" t="s">
        <v>6201</v>
      </c>
      <c r="B2855" t="s">
        <v>56</v>
      </c>
      <c r="C2855" s="10" t="s">
        <v>2148</v>
      </c>
      <c r="D2855" t="s">
        <v>58</v>
      </c>
      <c r="E2855" t="s">
        <v>4176</v>
      </c>
      <c r="F2855" t="s">
        <v>6202</v>
      </c>
      <c r="G2855">
        <v>100000</v>
      </c>
      <c r="H2855">
        <v>1980</v>
      </c>
      <c r="I2855" t="s">
        <v>58</v>
      </c>
      <c r="J2855" t="s">
        <v>58</v>
      </c>
      <c r="K2855" t="s">
        <v>58</v>
      </c>
      <c r="L2855" t="s">
        <v>58</v>
      </c>
      <c r="M2855" t="s">
        <v>58</v>
      </c>
      <c r="O2855" t="s">
        <v>61</v>
      </c>
      <c r="Q2855" t="s">
        <v>58</v>
      </c>
      <c r="R2855" s="11" t="str">
        <f>HYPERLINK("\\imagefiles.bcgov\imagery\scanned_maps\moe_terrain_maps\Scanned_T_maps_all\R14\R14-794","\\imagefiles.bcgov\imagery\scanned_maps\moe_terrain_maps\Scanned_T_maps_all\R14\R14-794")</f>
        <v>\\imagefiles.bcgov\imagery\scanned_maps\moe_terrain_maps\Scanned_T_maps_all\R14\R14-794</v>
      </c>
      <c r="S2855" t="s">
        <v>62</v>
      </c>
      <c r="T2855" s="11" t="str">
        <f>HYPERLINK("http://www.env.gov.bc.ca/esd/distdata/ecosystems/TEI_Scanned_Maps/R14/R14-794","http://www.env.gov.bc.ca/esd/distdata/ecosystems/TEI_Scanned_Maps/R14/R14-794")</f>
        <v>http://www.env.gov.bc.ca/esd/distdata/ecosystems/TEI_Scanned_Maps/R14/R14-794</v>
      </c>
      <c r="U2855" t="s">
        <v>58</v>
      </c>
      <c r="V2855" t="s">
        <v>58</v>
      </c>
      <c r="W2855" t="s">
        <v>58</v>
      </c>
      <c r="X2855" t="s">
        <v>58</v>
      </c>
      <c r="Y2855" t="s">
        <v>58</v>
      </c>
      <c r="Z2855" t="s">
        <v>58</v>
      </c>
      <c r="AA2855" t="s">
        <v>58</v>
      </c>
      <c r="AC2855" t="s">
        <v>58</v>
      </c>
      <c r="AE2855" t="s">
        <v>58</v>
      </c>
      <c r="AG2855" t="s">
        <v>63</v>
      </c>
      <c r="AH2855" s="11" t="str">
        <f t="shared" si="172"/>
        <v>mailto: soilterrain@victoria1.gov.bc.ca</v>
      </c>
    </row>
    <row r="2856" spans="1:34">
      <c r="A2856" t="s">
        <v>6203</v>
      </c>
      <c r="B2856" t="s">
        <v>56</v>
      </c>
      <c r="C2856" s="10" t="s">
        <v>2154</v>
      </c>
      <c r="D2856" t="s">
        <v>58</v>
      </c>
      <c r="E2856" t="s">
        <v>4176</v>
      </c>
      <c r="F2856" t="s">
        <v>6204</v>
      </c>
      <c r="G2856">
        <v>100000</v>
      </c>
      <c r="H2856">
        <v>1978</v>
      </c>
      <c r="I2856" t="s">
        <v>58</v>
      </c>
      <c r="J2856" t="s">
        <v>58</v>
      </c>
      <c r="K2856" t="s">
        <v>58</v>
      </c>
      <c r="L2856" t="s">
        <v>58</v>
      </c>
      <c r="M2856" t="s">
        <v>58</v>
      </c>
      <c r="O2856" t="s">
        <v>61</v>
      </c>
      <c r="Q2856" t="s">
        <v>58</v>
      </c>
      <c r="R2856" s="11" t="str">
        <f>HYPERLINK("\\imagefiles.bcgov\imagery\scanned_maps\moe_terrain_maps\Scanned_T_maps_all\R14\R14-804","\\imagefiles.bcgov\imagery\scanned_maps\moe_terrain_maps\Scanned_T_maps_all\R14\R14-804")</f>
        <v>\\imagefiles.bcgov\imagery\scanned_maps\moe_terrain_maps\Scanned_T_maps_all\R14\R14-804</v>
      </c>
      <c r="S2856" t="s">
        <v>62</v>
      </c>
      <c r="T2856" s="11" t="str">
        <f>HYPERLINK("http://www.env.gov.bc.ca/esd/distdata/ecosystems/TEI_Scanned_Maps/R14/R14-804","http://www.env.gov.bc.ca/esd/distdata/ecosystems/TEI_Scanned_Maps/R14/R14-804")</f>
        <v>http://www.env.gov.bc.ca/esd/distdata/ecosystems/TEI_Scanned_Maps/R14/R14-804</v>
      </c>
      <c r="U2856" t="s">
        <v>58</v>
      </c>
      <c r="V2856" t="s">
        <v>58</v>
      </c>
      <c r="W2856" t="s">
        <v>58</v>
      </c>
      <c r="X2856" t="s">
        <v>58</v>
      </c>
      <c r="Y2856" t="s">
        <v>58</v>
      </c>
      <c r="Z2856" t="s">
        <v>58</v>
      </c>
      <c r="AA2856" t="s">
        <v>58</v>
      </c>
      <c r="AC2856" t="s">
        <v>58</v>
      </c>
      <c r="AE2856" t="s">
        <v>58</v>
      </c>
      <c r="AG2856" t="s">
        <v>63</v>
      </c>
      <c r="AH2856" s="11" t="str">
        <f t="shared" si="172"/>
        <v>mailto: soilterrain@victoria1.gov.bc.ca</v>
      </c>
    </row>
    <row r="2857" spans="1:34">
      <c r="A2857" t="s">
        <v>6205</v>
      </c>
      <c r="B2857" t="s">
        <v>56</v>
      </c>
      <c r="C2857" s="10" t="s">
        <v>2161</v>
      </c>
      <c r="D2857" t="s">
        <v>58</v>
      </c>
      <c r="E2857" t="s">
        <v>4176</v>
      </c>
      <c r="F2857" t="s">
        <v>6206</v>
      </c>
      <c r="G2857">
        <v>100000</v>
      </c>
      <c r="H2857">
        <v>1980</v>
      </c>
      <c r="I2857" t="s">
        <v>58</v>
      </c>
      <c r="J2857" t="s">
        <v>58</v>
      </c>
      <c r="K2857" t="s">
        <v>58</v>
      </c>
      <c r="L2857" t="s">
        <v>58</v>
      </c>
      <c r="M2857" t="s">
        <v>58</v>
      </c>
      <c r="O2857" t="s">
        <v>61</v>
      </c>
      <c r="Q2857" t="s">
        <v>58</v>
      </c>
      <c r="R2857" s="11" t="str">
        <f>HYPERLINK("\\imagefiles.bcgov\imagery\scanned_maps\moe_terrain_maps\Scanned_T_maps_all\R14\R14-850","\\imagefiles.bcgov\imagery\scanned_maps\moe_terrain_maps\Scanned_T_maps_all\R14\R14-850")</f>
        <v>\\imagefiles.bcgov\imagery\scanned_maps\moe_terrain_maps\Scanned_T_maps_all\R14\R14-850</v>
      </c>
      <c r="S2857" t="s">
        <v>62</v>
      </c>
      <c r="T2857" s="11" t="str">
        <f>HYPERLINK("http://www.env.gov.bc.ca/esd/distdata/ecosystems/TEI_Scanned_Maps/R14/R14-850","http://www.env.gov.bc.ca/esd/distdata/ecosystems/TEI_Scanned_Maps/R14/R14-850")</f>
        <v>http://www.env.gov.bc.ca/esd/distdata/ecosystems/TEI_Scanned_Maps/R14/R14-850</v>
      </c>
      <c r="U2857" t="s">
        <v>58</v>
      </c>
      <c r="V2857" t="s">
        <v>58</v>
      </c>
      <c r="W2857" t="s">
        <v>58</v>
      </c>
      <c r="X2857" t="s">
        <v>58</v>
      </c>
      <c r="Y2857" t="s">
        <v>58</v>
      </c>
      <c r="Z2857" t="s">
        <v>58</v>
      </c>
      <c r="AA2857" t="s">
        <v>58</v>
      </c>
      <c r="AC2857" t="s">
        <v>58</v>
      </c>
      <c r="AE2857" t="s">
        <v>58</v>
      </c>
      <c r="AG2857" t="s">
        <v>63</v>
      </c>
      <c r="AH2857" s="11" t="str">
        <f t="shared" si="172"/>
        <v>mailto: soilterrain@victoria1.gov.bc.ca</v>
      </c>
    </row>
    <row r="2858" spans="1:34">
      <c r="A2858" t="s">
        <v>6207</v>
      </c>
      <c r="B2858" t="s">
        <v>56</v>
      </c>
      <c r="C2858" s="10" t="s">
        <v>2171</v>
      </c>
      <c r="D2858" t="s">
        <v>58</v>
      </c>
      <c r="E2858" t="s">
        <v>4176</v>
      </c>
      <c r="F2858" t="s">
        <v>6208</v>
      </c>
      <c r="G2858">
        <v>100000</v>
      </c>
      <c r="H2858">
        <v>1974</v>
      </c>
      <c r="I2858" t="s">
        <v>58</v>
      </c>
      <c r="J2858" t="s">
        <v>58</v>
      </c>
      <c r="K2858" t="s">
        <v>58</v>
      </c>
      <c r="L2858" t="s">
        <v>58</v>
      </c>
      <c r="M2858" t="s">
        <v>58</v>
      </c>
      <c r="O2858" t="s">
        <v>61</v>
      </c>
      <c r="Q2858" t="s">
        <v>58</v>
      </c>
      <c r="R2858" s="11" t="str">
        <f>HYPERLINK("\\imagefiles.bcgov\imagery\scanned_maps\moe_terrain_maps\Scanned_T_maps_all\R14\R14-865","\\imagefiles.bcgov\imagery\scanned_maps\moe_terrain_maps\Scanned_T_maps_all\R14\R14-865")</f>
        <v>\\imagefiles.bcgov\imagery\scanned_maps\moe_terrain_maps\Scanned_T_maps_all\R14\R14-865</v>
      </c>
      <c r="S2858" t="s">
        <v>62</v>
      </c>
      <c r="T2858" s="11" t="str">
        <f>HYPERLINK("http://www.env.gov.bc.ca/esd/distdata/ecosystems/TEI_Scanned_Maps/R14/R14-865","http://www.env.gov.bc.ca/esd/distdata/ecosystems/TEI_Scanned_Maps/R14/R14-865")</f>
        <v>http://www.env.gov.bc.ca/esd/distdata/ecosystems/TEI_Scanned_Maps/R14/R14-865</v>
      </c>
      <c r="U2858" t="s">
        <v>58</v>
      </c>
      <c r="V2858" t="s">
        <v>58</v>
      </c>
      <c r="W2858" t="s">
        <v>58</v>
      </c>
      <c r="X2858" t="s">
        <v>58</v>
      </c>
      <c r="Y2858" t="s">
        <v>58</v>
      </c>
      <c r="Z2858" t="s">
        <v>58</v>
      </c>
      <c r="AA2858" t="s">
        <v>58</v>
      </c>
      <c r="AC2858" t="s">
        <v>58</v>
      </c>
      <c r="AE2858" t="s">
        <v>58</v>
      </c>
      <c r="AG2858" t="s">
        <v>63</v>
      </c>
      <c r="AH2858" s="11" t="str">
        <f t="shared" si="172"/>
        <v>mailto: soilterrain@victoria1.gov.bc.ca</v>
      </c>
    </row>
    <row r="2859" spans="1:34">
      <c r="A2859" t="s">
        <v>6209</v>
      </c>
      <c r="B2859" t="s">
        <v>56</v>
      </c>
      <c r="C2859" s="10" t="s">
        <v>4518</v>
      </c>
      <c r="D2859" t="s">
        <v>58</v>
      </c>
      <c r="E2859" t="s">
        <v>4176</v>
      </c>
      <c r="F2859" t="s">
        <v>6210</v>
      </c>
      <c r="G2859">
        <v>100000</v>
      </c>
      <c r="H2859">
        <v>1975</v>
      </c>
      <c r="I2859" t="s">
        <v>58</v>
      </c>
      <c r="J2859" t="s">
        <v>58</v>
      </c>
      <c r="K2859" t="s">
        <v>58</v>
      </c>
      <c r="L2859" t="s">
        <v>58</v>
      </c>
      <c r="M2859" t="s">
        <v>58</v>
      </c>
      <c r="O2859" t="s">
        <v>61</v>
      </c>
      <c r="Q2859" t="s">
        <v>58</v>
      </c>
      <c r="R2859" s="11" t="str">
        <f>HYPERLINK("\\imagefiles.bcgov\imagery\scanned_maps\moe_terrain_maps\Scanned_T_maps_all\R14\R14-894","\\imagefiles.bcgov\imagery\scanned_maps\moe_terrain_maps\Scanned_T_maps_all\R14\R14-894")</f>
        <v>\\imagefiles.bcgov\imagery\scanned_maps\moe_terrain_maps\Scanned_T_maps_all\R14\R14-894</v>
      </c>
      <c r="S2859" t="s">
        <v>62</v>
      </c>
      <c r="T2859" s="11" t="str">
        <f>HYPERLINK("http://www.env.gov.bc.ca/esd/distdata/ecosystems/TEI_Scanned_Maps/R14/R14-894","http://www.env.gov.bc.ca/esd/distdata/ecosystems/TEI_Scanned_Maps/R14/R14-894")</f>
        <v>http://www.env.gov.bc.ca/esd/distdata/ecosystems/TEI_Scanned_Maps/R14/R14-894</v>
      </c>
      <c r="U2859" t="s">
        <v>58</v>
      </c>
      <c r="V2859" t="s">
        <v>58</v>
      </c>
      <c r="W2859" t="s">
        <v>58</v>
      </c>
      <c r="X2859" t="s">
        <v>58</v>
      </c>
      <c r="Y2859" t="s">
        <v>58</v>
      </c>
      <c r="Z2859" t="s">
        <v>58</v>
      </c>
      <c r="AA2859" t="s">
        <v>58</v>
      </c>
      <c r="AC2859" t="s">
        <v>58</v>
      </c>
      <c r="AE2859" t="s">
        <v>58</v>
      </c>
      <c r="AG2859" t="s">
        <v>63</v>
      </c>
      <c r="AH2859" s="11" t="str">
        <f t="shared" si="172"/>
        <v>mailto: soilterrain@victoria1.gov.bc.ca</v>
      </c>
    </row>
    <row r="2860" spans="1:34">
      <c r="A2860" t="s">
        <v>6211</v>
      </c>
      <c r="B2860" t="s">
        <v>56</v>
      </c>
      <c r="C2860" s="10" t="s">
        <v>4521</v>
      </c>
      <c r="D2860" t="s">
        <v>58</v>
      </c>
      <c r="E2860" t="s">
        <v>4176</v>
      </c>
      <c r="F2860" t="s">
        <v>6212</v>
      </c>
      <c r="G2860">
        <v>100000</v>
      </c>
      <c r="H2860">
        <v>1976</v>
      </c>
      <c r="I2860" t="s">
        <v>58</v>
      </c>
      <c r="J2860" t="s">
        <v>58</v>
      </c>
      <c r="K2860" t="s">
        <v>58</v>
      </c>
      <c r="L2860" t="s">
        <v>58</v>
      </c>
      <c r="M2860" t="s">
        <v>58</v>
      </c>
      <c r="O2860" t="s">
        <v>61</v>
      </c>
      <c r="Q2860" t="s">
        <v>58</v>
      </c>
      <c r="R2860" s="11" t="str">
        <f>HYPERLINK("\\imagefiles.bcgov\imagery\scanned_maps\moe_terrain_maps\Scanned_T_maps_all\R14\R14-897","\\imagefiles.bcgov\imagery\scanned_maps\moe_terrain_maps\Scanned_T_maps_all\R14\R14-897")</f>
        <v>\\imagefiles.bcgov\imagery\scanned_maps\moe_terrain_maps\Scanned_T_maps_all\R14\R14-897</v>
      </c>
      <c r="S2860" t="s">
        <v>62</v>
      </c>
      <c r="T2860" s="11" t="str">
        <f>HYPERLINK("http://www.env.gov.bc.ca/esd/distdata/ecosystems/TEI_Scanned_Maps/R14/R14-897","http://www.env.gov.bc.ca/esd/distdata/ecosystems/TEI_Scanned_Maps/R14/R14-897")</f>
        <v>http://www.env.gov.bc.ca/esd/distdata/ecosystems/TEI_Scanned_Maps/R14/R14-897</v>
      </c>
      <c r="U2860" t="s">
        <v>58</v>
      </c>
      <c r="V2860" t="s">
        <v>58</v>
      </c>
      <c r="W2860" t="s">
        <v>58</v>
      </c>
      <c r="X2860" t="s">
        <v>58</v>
      </c>
      <c r="Y2860" t="s">
        <v>58</v>
      </c>
      <c r="Z2860" t="s">
        <v>58</v>
      </c>
      <c r="AA2860" t="s">
        <v>58</v>
      </c>
      <c r="AC2860" t="s">
        <v>58</v>
      </c>
      <c r="AE2860" t="s">
        <v>58</v>
      </c>
      <c r="AG2860" t="s">
        <v>63</v>
      </c>
      <c r="AH2860" s="11" t="str">
        <f t="shared" si="172"/>
        <v>mailto: soilterrain@victoria1.gov.bc.ca</v>
      </c>
    </row>
    <row r="2861" spans="1:34">
      <c r="A2861" t="s">
        <v>6213</v>
      </c>
      <c r="B2861" t="s">
        <v>56</v>
      </c>
      <c r="C2861" s="10" t="s">
        <v>4524</v>
      </c>
      <c r="D2861" t="s">
        <v>58</v>
      </c>
      <c r="E2861" t="s">
        <v>4176</v>
      </c>
      <c r="F2861" t="s">
        <v>6214</v>
      </c>
      <c r="G2861">
        <v>100000</v>
      </c>
      <c r="H2861">
        <v>1976</v>
      </c>
      <c r="I2861" t="s">
        <v>58</v>
      </c>
      <c r="J2861" t="s">
        <v>58</v>
      </c>
      <c r="K2861" t="s">
        <v>58</v>
      </c>
      <c r="L2861" t="s">
        <v>58</v>
      </c>
      <c r="M2861" t="s">
        <v>58</v>
      </c>
      <c r="O2861" t="s">
        <v>61</v>
      </c>
      <c r="Q2861" t="s">
        <v>58</v>
      </c>
      <c r="R2861" s="11" t="str">
        <f>HYPERLINK("\\imagefiles.bcgov\imagery\scanned_maps\moe_terrain_maps\Scanned_T_maps_all\R14\R14-904","\\imagefiles.bcgov\imagery\scanned_maps\moe_terrain_maps\Scanned_T_maps_all\R14\R14-904")</f>
        <v>\\imagefiles.bcgov\imagery\scanned_maps\moe_terrain_maps\Scanned_T_maps_all\R14\R14-904</v>
      </c>
      <c r="S2861" t="s">
        <v>62</v>
      </c>
      <c r="T2861" s="11" t="str">
        <f>HYPERLINK("http://www.env.gov.bc.ca/esd/distdata/ecosystems/TEI_Scanned_Maps/R14/R14-904","http://www.env.gov.bc.ca/esd/distdata/ecosystems/TEI_Scanned_Maps/R14/R14-904")</f>
        <v>http://www.env.gov.bc.ca/esd/distdata/ecosystems/TEI_Scanned_Maps/R14/R14-904</v>
      </c>
      <c r="U2861" t="s">
        <v>58</v>
      </c>
      <c r="V2861" t="s">
        <v>58</v>
      </c>
      <c r="W2861" t="s">
        <v>58</v>
      </c>
      <c r="X2861" t="s">
        <v>58</v>
      </c>
      <c r="Y2861" t="s">
        <v>58</v>
      </c>
      <c r="Z2861" t="s">
        <v>58</v>
      </c>
      <c r="AA2861" t="s">
        <v>58</v>
      </c>
      <c r="AC2861" t="s">
        <v>58</v>
      </c>
      <c r="AE2861" t="s">
        <v>58</v>
      </c>
      <c r="AG2861" t="s">
        <v>63</v>
      </c>
      <c r="AH2861" s="11" t="str">
        <f t="shared" si="172"/>
        <v>mailto: soilterrain@victoria1.gov.bc.ca</v>
      </c>
    </row>
    <row r="2862" spans="1:34">
      <c r="A2862" t="s">
        <v>6215</v>
      </c>
      <c r="B2862" t="s">
        <v>56</v>
      </c>
      <c r="C2862" s="10" t="s">
        <v>5473</v>
      </c>
      <c r="D2862" t="s">
        <v>58</v>
      </c>
      <c r="E2862" t="s">
        <v>497</v>
      </c>
      <c r="F2862" t="s">
        <v>6216</v>
      </c>
      <c r="G2862">
        <v>25000</v>
      </c>
      <c r="H2862">
        <v>1976</v>
      </c>
      <c r="I2862" t="s">
        <v>6217</v>
      </c>
      <c r="J2862" t="s">
        <v>58</v>
      </c>
      <c r="K2862" t="s">
        <v>58</v>
      </c>
      <c r="L2862" t="s">
        <v>58</v>
      </c>
      <c r="M2862" t="s">
        <v>58</v>
      </c>
      <c r="N2862" t="s">
        <v>61</v>
      </c>
      <c r="Q2862" t="s">
        <v>58</v>
      </c>
      <c r="R2862" s="11" t="str">
        <f>HYPERLINK("\\imagefiles.bcgov\imagery\scanned_maps\moe_terrain_maps\Scanned_T_maps_all\R15\R15-1499","\\imagefiles.bcgov\imagery\scanned_maps\moe_terrain_maps\Scanned_T_maps_all\R15\R15-1499")</f>
        <v>\\imagefiles.bcgov\imagery\scanned_maps\moe_terrain_maps\Scanned_T_maps_all\R15\R15-1499</v>
      </c>
      <c r="S2862" t="s">
        <v>62</v>
      </c>
      <c r="T2862" s="11" t="str">
        <f>HYPERLINK("http://www.env.gov.bc.ca/esd/distdata/ecosystems/TEI_Scanned_Maps/R15/R15-1499","http://www.env.gov.bc.ca/esd/distdata/ecosystems/TEI_Scanned_Maps/R15/R15-1499")</f>
        <v>http://www.env.gov.bc.ca/esd/distdata/ecosystems/TEI_Scanned_Maps/R15/R15-1499</v>
      </c>
      <c r="U2862" t="s">
        <v>2490</v>
      </c>
      <c r="V2862" s="11" t="str">
        <f t="shared" ref="V2862:V2888" si="173">HYPERLINK("http://res.agr.ca/cansis/publications/surveys/bc/","http://res.agr.ca/cansis/publications/surveys/bc/")</f>
        <v>http://res.agr.ca/cansis/publications/surveys/bc/</v>
      </c>
      <c r="W2862" t="s">
        <v>269</v>
      </c>
      <c r="X2862" s="11" t="str">
        <f t="shared" ref="X2862:X2888" si="174">HYPERLINK("http://www.library.for.gov.bc.ca/#focus","http://www.library.for.gov.bc.ca/#focus")</f>
        <v>http://www.library.for.gov.bc.ca/#focus</v>
      </c>
      <c r="Y2862" t="s">
        <v>58</v>
      </c>
      <c r="Z2862" t="s">
        <v>58</v>
      </c>
      <c r="AA2862" t="s">
        <v>58</v>
      </c>
      <c r="AC2862" t="s">
        <v>58</v>
      </c>
      <c r="AE2862" t="s">
        <v>58</v>
      </c>
      <c r="AG2862" t="s">
        <v>63</v>
      </c>
      <c r="AH2862" s="11" t="str">
        <f t="shared" si="172"/>
        <v>mailto: soilterrain@victoria1.gov.bc.ca</v>
      </c>
    </row>
    <row r="2863" spans="1:34">
      <c r="A2863" t="s">
        <v>6218</v>
      </c>
      <c r="B2863" t="s">
        <v>56</v>
      </c>
      <c r="C2863" s="10" t="s">
        <v>5476</v>
      </c>
      <c r="D2863" t="s">
        <v>58</v>
      </c>
      <c r="E2863" t="s">
        <v>497</v>
      </c>
      <c r="F2863" t="s">
        <v>6219</v>
      </c>
      <c r="G2863">
        <v>25000</v>
      </c>
      <c r="H2863">
        <v>1976</v>
      </c>
      <c r="I2863" t="s">
        <v>6217</v>
      </c>
      <c r="J2863" t="s">
        <v>58</v>
      </c>
      <c r="K2863" t="s">
        <v>58</v>
      </c>
      <c r="L2863" t="s">
        <v>58</v>
      </c>
      <c r="M2863" t="s">
        <v>58</v>
      </c>
      <c r="N2863" t="s">
        <v>61</v>
      </c>
      <c r="Q2863" t="s">
        <v>58</v>
      </c>
      <c r="R2863" s="11" t="str">
        <f>HYPERLINK("\\imagefiles.bcgov\imagery\scanned_maps\moe_terrain_maps\Scanned_T_maps_all\R15\R15-1504","\\imagefiles.bcgov\imagery\scanned_maps\moe_terrain_maps\Scanned_T_maps_all\R15\R15-1504")</f>
        <v>\\imagefiles.bcgov\imagery\scanned_maps\moe_terrain_maps\Scanned_T_maps_all\R15\R15-1504</v>
      </c>
      <c r="S2863" t="s">
        <v>62</v>
      </c>
      <c r="T2863" s="11" t="str">
        <f>HYPERLINK("http://www.env.gov.bc.ca/esd/distdata/ecosystems/TEI_Scanned_Maps/R15/R15-1504","http://www.env.gov.bc.ca/esd/distdata/ecosystems/TEI_Scanned_Maps/R15/R15-1504")</f>
        <v>http://www.env.gov.bc.ca/esd/distdata/ecosystems/TEI_Scanned_Maps/R15/R15-1504</v>
      </c>
      <c r="U2863" t="s">
        <v>2490</v>
      </c>
      <c r="V2863" s="11" t="str">
        <f t="shared" si="173"/>
        <v>http://res.agr.ca/cansis/publications/surveys/bc/</v>
      </c>
      <c r="W2863" t="s">
        <v>269</v>
      </c>
      <c r="X2863" s="11" t="str">
        <f t="shared" si="174"/>
        <v>http://www.library.for.gov.bc.ca/#focus</v>
      </c>
      <c r="Y2863" t="s">
        <v>58</v>
      </c>
      <c r="Z2863" t="s">
        <v>58</v>
      </c>
      <c r="AA2863" t="s">
        <v>58</v>
      </c>
      <c r="AC2863" t="s">
        <v>58</v>
      </c>
      <c r="AE2863" t="s">
        <v>58</v>
      </c>
      <c r="AG2863" t="s">
        <v>63</v>
      </c>
      <c r="AH2863" s="11" t="str">
        <f t="shared" si="172"/>
        <v>mailto: soilterrain@victoria1.gov.bc.ca</v>
      </c>
    </row>
    <row r="2864" spans="1:34">
      <c r="A2864" t="s">
        <v>6220</v>
      </c>
      <c r="B2864" t="s">
        <v>56</v>
      </c>
      <c r="C2864" s="10" t="s">
        <v>5479</v>
      </c>
      <c r="D2864" t="s">
        <v>58</v>
      </c>
      <c r="E2864" t="s">
        <v>497</v>
      </c>
      <c r="F2864" t="s">
        <v>6221</v>
      </c>
      <c r="G2864">
        <v>25000</v>
      </c>
      <c r="H2864">
        <v>1976</v>
      </c>
      <c r="I2864" t="s">
        <v>6217</v>
      </c>
      <c r="J2864" t="s">
        <v>58</v>
      </c>
      <c r="K2864" t="s">
        <v>58</v>
      </c>
      <c r="L2864" t="s">
        <v>58</v>
      </c>
      <c r="M2864" t="s">
        <v>58</v>
      </c>
      <c r="N2864" t="s">
        <v>61</v>
      </c>
      <c r="Q2864" t="s">
        <v>58</v>
      </c>
      <c r="R2864" s="11" t="str">
        <f>HYPERLINK("\\imagefiles.bcgov\imagery\scanned_maps\moe_terrain_maps\Scanned_T_maps_all\R15\R15-1509","\\imagefiles.bcgov\imagery\scanned_maps\moe_terrain_maps\Scanned_T_maps_all\R15\R15-1509")</f>
        <v>\\imagefiles.bcgov\imagery\scanned_maps\moe_terrain_maps\Scanned_T_maps_all\R15\R15-1509</v>
      </c>
      <c r="S2864" t="s">
        <v>62</v>
      </c>
      <c r="T2864" s="11" t="str">
        <f>HYPERLINK("http://www.env.gov.bc.ca/esd/distdata/ecosystems/TEI_Scanned_Maps/R15/R15-1509","http://www.env.gov.bc.ca/esd/distdata/ecosystems/TEI_Scanned_Maps/R15/R15-1509")</f>
        <v>http://www.env.gov.bc.ca/esd/distdata/ecosystems/TEI_Scanned_Maps/R15/R15-1509</v>
      </c>
      <c r="U2864" t="s">
        <v>2490</v>
      </c>
      <c r="V2864" s="11" t="str">
        <f t="shared" si="173"/>
        <v>http://res.agr.ca/cansis/publications/surveys/bc/</v>
      </c>
      <c r="W2864" t="s">
        <v>269</v>
      </c>
      <c r="X2864" s="11" t="str">
        <f t="shared" si="174"/>
        <v>http://www.library.for.gov.bc.ca/#focus</v>
      </c>
      <c r="Y2864" t="s">
        <v>58</v>
      </c>
      <c r="Z2864" t="s">
        <v>58</v>
      </c>
      <c r="AA2864" t="s">
        <v>58</v>
      </c>
      <c r="AC2864" t="s">
        <v>58</v>
      </c>
      <c r="AE2864" t="s">
        <v>58</v>
      </c>
      <c r="AG2864" t="s">
        <v>63</v>
      </c>
      <c r="AH2864" s="11" t="str">
        <f t="shared" si="172"/>
        <v>mailto: soilterrain@victoria1.gov.bc.ca</v>
      </c>
    </row>
    <row r="2865" spans="1:34">
      <c r="A2865" t="s">
        <v>6222</v>
      </c>
      <c r="B2865" t="s">
        <v>56</v>
      </c>
      <c r="C2865" s="10" t="s">
        <v>5482</v>
      </c>
      <c r="D2865" t="s">
        <v>58</v>
      </c>
      <c r="E2865" t="s">
        <v>497</v>
      </c>
      <c r="F2865" t="s">
        <v>6223</v>
      </c>
      <c r="G2865">
        <v>25000</v>
      </c>
      <c r="H2865">
        <v>1976</v>
      </c>
      <c r="I2865" t="s">
        <v>6217</v>
      </c>
      <c r="J2865" t="s">
        <v>58</v>
      </c>
      <c r="K2865" t="s">
        <v>58</v>
      </c>
      <c r="L2865" t="s">
        <v>58</v>
      </c>
      <c r="M2865" t="s">
        <v>58</v>
      </c>
      <c r="N2865" t="s">
        <v>61</v>
      </c>
      <c r="Q2865" t="s">
        <v>58</v>
      </c>
      <c r="R2865" s="11" t="str">
        <f>HYPERLINK("\\imagefiles.bcgov\imagery\scanned_maps\moe_terrain_maps\Scanned_T_maps_all\R15\R15-1514","\\imagefiles.bcgov\imagery\scanned_maps\moe_terrain_maps\Scanned_T_maps_all\R15\R15-1514")</f>
        <v>\\imagefiles.bcgov\imagery\scanned_maps\moe_terrain_maps\Scanned_T_maps_all\R15\R15-1514</v>
      </c>
      <c r="S2865" t="s">
        <v>62</v>
      </c>
      <c r="T2865" s="11" t="str">
        <f>HYPERLINK("http://www.env.gov.bc.ca/esd/distdata/ecosystems/TEI_Scanned_Maps/R15/R15-1514","http://www.env.gov.bc.ca/esd/distdata/ecosystems/TEI_Scanned_Maps/R15/R15-1514")</f>
        <v>http://www.env.gov.bc.ca/esd/distdata/ecosystems/TEI_Scanned_Maps/R15/R15-1514</v>
      </c>
      <c r="U2865" t="s">
        <v>2490</v>
      </c>
      <c r="V2865" s="11" t="str">
        <f t="shared" si="173"/>
        <v>http://res.agr.ca/cansis/publications/surveys/bc/</v>
      </c>
      <c r="W2865" t="s">
        <v>269</v>
      </c>
      <c r="X2865" s="11" t="str">
        <f t="shared" si="174"/>
        <v>http://www.library.for.gov.bc.ca/#focus</v>
      </c>
      <c r="Y2865" t="s">
        <v>58</v>
      </c>
      <c r="Z2865" t="s">
        <v>58</v>
      </c>
      <c r="AA2865" t="s">
        <v>58</v>
      </c>
      <c r="AC2865" t="s">
        <v>58</v>
      </c>
      <c r="AE2865" t="s">
        <v>58</v>
      </c>
      <c r="AG2865" t="s">
        <v>63</v>
      </c>
      <c r="AH2865" s="11" t="str">
        <f t="shared" si="172"/>
        <v>mailto: soilterrain@victoria1.gov.bc.ca</v>
      </c>
    </row>
    <row r="2866" spans="1:34">
      <c r="A2866" t="s">
        <v>6224</v>
      </c>
      <c r="B2866" t="s">
        <v>56</v>
      </c>
      <c r="C2866" s="10" t="s">
        <v>5485</v>
      </c>
      <c r="D2866" t="s">
        <v>58</v>
      </c>
      <c r="E2866" t="s">
        <v>497</v>
      </c>
      <c r="F2866" t="s">
        <v>6225</v>
      </c>
      <c r="G2866">
        <v>25000</v>
      </c>
      <c r="H2866">
        <v>1976</v>
      </c>
      <c r="I2866" t="s">
        <v>6217</v>
      </c>
      <c r="J2866" t="s">
        <v>58</v>
      </c>
      <c r="K2866" t="s">
        <v>58</v>
      </c>
      <c r="L2866" t="s">
        <v>58</v>
      </c>
      <c r="M2866" t="s">
        <v>58</v>
      </c>
      <c r="N2866" t="s">
        <v>61</v>
      </c>
      <c r="Q2866" t="s">
        <v>58</v>
      </c>
      <c r="R2866" s="11" t="str">
        <f>HYPERLINK("\\imagefiles.bcgov\imagery\scanned_maps\moe_terrain_maps\Scanned_T_maps_all\R15\R15-1519","\\imagefiles.bcgov\imagery\scanned_maps\moe_terrain_maps\Scanned_T_maps_all\R15\R15-1519")</f>
        <v>\\imagefiles.bcgov\imagery\scanned_maps\moe_terrain_maps\Scanned_T_maps_all\R15\R15-1519</v>
      </c>
      <c r="S2866" t="s">
        <v>62</v>
      </c>
      <c r="T2866" s="11" t="str">
        <f>HYPERLINK("http://www.env.gov.bc.ca/esd/distdata/ecosystems/TEI_Scanned_Maps/R15/R15-1519","http://www.env.gov.bc.ca/esd/distdata/ecosystems/TEI_Scanned_Maps/R15/R15-1519")</f>
        <v>http://www.env.gov.bc.ca/esd/distdata/ecosystems/TEI_Scanned_Maps/R15/R15-1519</v>
      </c>
      <c r="U2866" t="s">
        <v>2490</v>
      </c>
      <c r="V2866" s="11" t="str">
        <f t="shared" si="173"/>
        <v>http://res.agr.ca/cansis/publications/surveys/bc/</v>
      </c>
      <c r="W2866" t="s">
        <v>269</v>
      </c>
      <c r="X2866" s="11" t="str">
        <f t="shared" si="174"/>
        <v>http://www.library.for.gov.bc.ca/#focus</v>
      </c>
      <c r="Y2866" t="s">
        <v>58</v>
      </c>
      <c r="Z2866" t="s">
        <v>58</v>
      </c>
      <c r="AA2866" t="s">
        <v>58</v>
      </c>
      <c r="AC2866" t="s">
        <v>58</v>
      </c>
      <c r="AE2866" t="s">
        <v>58</v>
      </c>
      <c r="AG2866" t="s">
        <v>63</v>
      </c>
      <c r="AH2866" s="11" t="str">
        <f t="shared" si="172"/>
        <v>mailto: soilterrain@victoria1.gov.bc.ca</v>
      </c>
    </row>
    <row r="2867" spans="1:34">
      <c r="A2867" t="s">
        <v>6226</v>
      </c>
      <c r="B2867" t="s">
        <v>56</v>
      </c>
      <c r="C2867" s="10" t="s">
        <v>5488</v>
      </c>
      <c r="D2867" t="s">
        <v>58</v>
      </c>
      <c r="E2867" t="s">
        <v>497</v>
      </c>
      <c r="F2867" t="s">
        <v>6227</v>
      </c>
      <c r="G2867">
        <v>25000</v>
      </c>
      <c r="H2867">
        <v>1979</v>
      </c>
      <c r="I2867" t="s">
        <v>6217</v>
      </c>
      <c r="J2867" t="s">
        <v>58</v>
      </c>
      <c r="K2867" t="s">
        <v>58</v>
      </c>
      <c r="L2867" t="s">
        <v>58</v>
      </c>
      <c r="M2867" t="s">
        <v>58</v>
      </c>
      <c r="N2867" t="s">
        <v>61</v>
      </c>
      <c r="Q2867" t="s">
        <v>58</v>
      </c>
      <c r="R2867" s="11" t="str">
        <f>HYPERLINK("\\imagefiles.bcgov\imagery\scanned_maps\moe_terrain_maps\Scanned_T_maps_all\R15\R15-1524","\\imagefiles.bcgov\imagery\scanned_maps\moe_terrain_maps\Scanned_T_maps_all\R15\R15-1524")</f>
        <v>\\imagefiles.bcgov\imagery\scanned_maps\moe_terrain_maps\Scanned_T_maps_all\R15\R15-1524</v>
      </c>
      <c r="S2867" t="s">
        <v>62</v>
      </c>
      <c r="T2867" s="11" t="str">
        <f>HYPERLINK("http://www.env.gov.bc.ca/esd/distdata/ecosystems/TEI_Scanned_Maps/R15/R15-1524","http://www.env.gov.bc.ca/esd/distdata/ecosystems/TEI_Scanned_Maps/R15/R15-1524")</f>
        <v>http://www.env.gov.bc.ca/esd/distdata/ecosystems/TEI_Scanned_Maps/R15/R15-1524</v>
      </c>
      <c r="U2867" t="s">
        <v>2490</v>
      </c>
      <c r="V2867" s="11" t="str">
        <f t="shared" si="173"/>
        <v>http://res.agr.ca/cansis/publications/surveys/bc/</v>
      </c>
      <c r="W2867" t="s">
        <v>269</v>
      </c>
      <c r="X2867" s="11" t="str">
        <f t="shared" si="174"/>
        <v>http://www.library.for.gov.bc.ca/#focus</v>
      </c>
      <c r="Y2867" t="s">
        <v>58</v>
      </c>
      <c r="Z2867" t="s">
        <v>58</v>
      </c>
      <c r="AA2867" t="s">
        <v>58</v>
      </c>
      <c r="AC2867" t="s">
        <v>58</v>
      </c>
      <c r="AE2867" t="s">
        <v>58</v>
      </c>
      <c r="AG2867" t="s">
        <v>63</v>
      </c>
      <c r="AH2867" s="11" t="str">
        <f t="shared" si="172"/>
        <v>mailto: soilterrain@victoria1.gov.bc.ca</v>
      </c>
    </row>
    <row r="2868" spans="1:34">
      <c r="A2868" t="s">
        <v>6228</v>
      </c>
      <c r="B2868" t="s">
        <v>56</v>
      </c>
      <c r="C2868" s="10" t="s">
        <v>5491</v>
      </c>
      <c r="D2868" t="s">
        <v>58</v>
      </c>
      <c r="E2868" t="s">
        <v>497</v>
      </c>
      <c r="F2868" t="s">
        <v>6229</v>
      </c>
      <c r="G2868">
        <v>25000</v>
      </c>
      <c r="H2868">
        <v>1979</v>
      </c>
      <c r="I2868" t="s">
        <v>6217</v>
      </c>
      <c r="J2868" t="s">
        <v>58</v>
      </c>
      <c r="K2868" t="s">
        <v>58</v>
      </c>
      <c r="L2868" t="s">
        <v>58</v>
      </c>
      <c r="M2868" t="s">
        <v>58</v>
      </c>
      <c r="N2868" t="s">
        <v>61</v>
      </c>
      <c r="Q2868" t="s">
        <v>58</v>
      </c>
      <c r="R2868" s="11" t="str">
        <f>HYPERLINK("\\imagefiles.bcgov\imagery\scanned_maps\moe_terrain_maps\Scanned_T_maps_all\R15\R15-1529","\\imagefiles.bcgov\imagery\scanned_maps\moe_terrain_maps\Scanned_T_maps_all\R15\R15-1529")</f>
        <v>\\imagefiles.bcgov\imagery\scanned_maps\moe_terrain_maps\Scanned_T_maps_all\R15\R15-1529</v>
      </c>
      <c r="S2868" t="s">
        <v>62</v>
      </c>
      <c r="T2868" s="11" t="str">
        <f>HYPERLINK("http://www.env.gov.bc.ca/esd/distdata/ecosystems/TEI_Scanned_Maps/R15/R15-1529","http://www.env.gov.bc.ca/esd/distdata/ecosystems/TEI_Scanned_Maps/R15/R15-1529")</f>
        <v>http://www.env.gov.bc.ca/esd/distdata/ecosystems/TEI_Scanned_Maps/R15/R15-1529</v>
      </c>
      <c r="U2868" t="s">
        <v>2490</v>
      </c>
      <c r="V2868" s="11" t="str">
        <f t="shared" si="173"/>
        <v>http://res.agr.ca/cansis/publications/surveys/bc/</v>
      </c>
      <c r="W2868" t="s">
        <v>269</v>
      </c>
      <c r="X2868" s="11" t="str">
        <f t="shared" si="174"/>
        <v>http://www.library.for.gov.bc.ca/#focus</v>
      </c>
      <c r="Y2868" t="s">
        <v>58</v>
      </c>
      <c r="Z2868" t="s">
        <v>58</v>
      </c>
      <c r="AA2868" t="s">
        <v>58</v>
      </c>
      <c r="AC2868" t="s">
        <v>58</v>
      </c>
      <c r="AE2868" t="s">
        <v>58</v>
      </c>
      <c r="AG2868" t="s">
        <v>63</v>
      </c>
      <c r="AH2868" s="11" t="str">
        <f t="shared" si="172"/>
        <v>mailto: soilterrain@victoria1.gov.bc.ca</v>
      </c>
    </row>
    <row r="2869" spans="1:34">
      <c r="A2869" t="s">
        <v>6230</v>
      </c>
      <c r="B2869" t="s">
        <v>56</v>
      </c>
      <c r="C2869" s="10" t="s">
        <v>5494</v>
      </c>
      <c r="D2869" t="s">
        <v>58</v>
      </c>
      <c r="E2869" t="s">
        <v>497</v>
      </c>
      <c r="F2869" t="s">
        <v>6231</v>
      </c>
      <c r="G2869">
        <v>25000</v>
      </c>
      <c r="H2869">
        <v>1976</v>
      </c>
      <c r="I2869" t="s">
        <v>6217</v>
      </c>
      <c r="J2869" t="s">
        <v>58</v>
      </c>
      <c r="K2869" t="s">
        <v>58</v>
      </c>
      <c r="L2869" t="s">
        <v>58</v>
      </c>
      <c r="M2869" t="s">
        <v>58</v>
      </c>
      <c r="N2869" t="s">
        <v>61</v>
      </c>
      <c r="Q2869" t="s">
        <v>58</v>
      </c>
      <c r="R2869" s="11" t="str">
        <f>HYPERLINK("\\imagefiles.bcgov\imagery\scanned_maps\moe_terrain_maps\Scanned_T_maps_all\R15\R15-1534","\\imagefiles.bcgov\imagery\scanned_maps\moe_terrain_maps\Scanned_T_maps_all\R15\R15-1534")</f>
        <v>\\imagefiles.bcgov\imagery\scanned_maps\moe_terrain_maps\Scanned_T_maps_all\R15\R15-1534</v>
      </c>
      <c r="S2869" t="s">
        <v>62</v>
      </c>
      <c r="T2869" s="11" t="str">
        <f>HYPERLINK("http://www.env.gov.bc.ca/esd/distdata/ecosystems/TEI_Scanned_Maps/R15/R15-1534","http://www.env.gov.bc.ca/esd/distdata/ecosystems/TEI_Scanned_Maps/R15/R15-1534")</f>
        <v>http://www.env.gov.bc.ca/esd/distdata/ecosystems/TEI_Scanned_Maps/R15/R15-1534</v>
      </c>
      <c r="U2869" t="s">
        <v>2490</v>
      </c>
      <c r="V2869" s="11" t="str">
        <f t="shared" si="173"/>
        <v>http://res.agr.ca/cansis/publications/surveys/bc/</v>
      </c>
      <c r="W2869" t="s">
        <v>269</v>
      </c>
      <c r="X2869" s="11" t="str">
        <f t="shared" si="174"/>
        <v>http://www.library.for.gov.bc.ca/#focus</v>
      </c>
      <c r="Y2869" t="s">
        <v>58</v>
      </c>
      <c r="Z2869" t="s">
        <v>58</v>
      </c>
      <c r="AA2869" t="s">
        <v>58</v>
      </c>
      <c r="AC2869" t="s">
        <v>58</v>
      </c>
      <c r="AE2869" t="s">
        <v>58</v>
      </c>
      <c r="AG2869" t="s">
        <v>63</v>
      </c>
      <c r="AH2869" s="11" t="str">
        <f t="shared" si="172"/>
        <v>mailto: soilterrain@victoria1.gov.bc.ca</v>
      </c>
    </row>
    <row r="2870" spans="1:34">
      <c r="A2870" t="s">
        <v>6232</v>
      </c>
      <c r="B2870" t="s">
        <v>56</v>
      </c>
      <c r="C2870" s="10" t="s">
        <v>5497</v>
      </c>
      <c r="D2870" t="s">
        <v>58</v>
      </c>
      <c r="E2870" t="s">
        <v>497</v>
      </c>
      <c r="F2870" t="s">
        <v>6233</v>
      </c>
      <c r="G2870">
        <v>25000</v>
      </c>
      <c r="H2870">
        <v>1980</v>
      </c>
      <c r="I2870" t="s">
        <v>6217</v>
      </c>
      <c r="J2870" t="s">
        <v>58</v>
      </c>
      <c r="K2870" t="s">
        <v>58</v>
      </c>
      <c r="L2870" t="s">
        <v>58</v>
      </c>
      <c r="M2870" t="s">
        <v>58</v>
      </c>
      <c r="N2870" t="s">
        <v>61</v>
      </c>
      <c r="Q2870" t="s">
        <v>58</v>
      </c>
      <c r="R2870" s="11" t="str">
        <f>HYPERLINK("\\imagefiles.bcgov\imagery\scanned_maps\moe_terrain_maps\Scanned_T_maps_all\R15\R15-1539","\\imagefiles.bcgov\imagery\scanned_maps\moe_terrain_maps\Scanned_T_maps_all\R15\R15-1539")</f>
        <v>\\imagefiles.bcgov\imagery\scanned_maps\moe_terrain_maps\Scanned_T_maps_all\R15\R15-1539</v>
      </c>
      <c r="S2870" t="s">
        <v>62</v>
      </c>
      <c r="T2870" s="11" t="str">
        <f>HYPERLINK("http://www.env.gov.bc.ca/esd/distdata/ecosystems/TEI_Scanned_Maps/R15/R15-1539","http://www.env.gov.bc.ca/esd/distdata/ecosystems/TEI_Scanned_Maps/R15/R15-1539")</f>
        <v>http://www.env.gov.bc.ca/esd/distdata/ecosystems/TEI_Scanned_Maps/R15/R15-1539</v>
      </c>
      <c r="U2870" t="s">
        <v>2490</v>
      </c>
      <c r="V2870" s="11" t="str">
        <f t="shared" si="173"/>
        <v>http://res.agr.ca/cansis/publications/surveys/bc/</v>
      </c>
      <c r="W2870" t="s">
        <v>269</v>
      </c>
      <c r="X2870" s="11" t="str">
        <f t="shared" si="174"/>
        <v>http://www.library.for.gov.bc.ca/#focus</v>
      </c>
      <c r="Y2870" t="s">
        <v>58</v>
      </c>
      <c r="Z2870" t="s">
        <v>58</v>
      </c>
      <c r="AA2870" t="s">
        <v>58</v>
      </c>
      <c r="AC2870" t="s">
        <v>58</v>
      </c>
      <c r="AE2870" t="s">
        <v>58</v>
      </c>
      <c r="AG2870" t="s">
        <v>63</v>
      </c>
      <c r="AH2870" s="11" t="str">
        <f t="shared" si="172"/>
        <v>mailto: soilterrain@victoria1.gov.bc.ca</v>
      </c>
    </row>
    <row r="2871" spans="1:34">
      <c r="A2871" t="s">
        <v>6234</v>
      </c>
      <c r="B2871" t="s">
        <v>56</v>
      </c>
      <c r="C2871" s="10" t="s">
        <v>5500</v>
      </c>
      <c r="D2871" t="s">
        <v>58</v>
      </c>
      <c r="E2871" t="s">
        <v>497</v>
      </c>
      <c r="F2871" t="s">
        <v>6235</v>
      </c>
      <c r="G2871">
        <v>25000</v>
      </c>
      <c r="H2871">
        <v>1974</v>
      </c>
      <c r="I2871" t="s">
        <v>6217</v>
      </c>
      <c r="J2871" t="s">
        <v>58</v>
      </c>
      <c r="K2871" t="s">
        <v>58</v>
      </c>
      <c r="L2871" t="s">
        <v>58</v>
      </c>
      <c r="M2871" t="s">
        <v>58</v>
      </c>
      <c r="N2871" t="s">
        <v>61</v>
      </c>
      <c r="Q2871" t="s">
        <v>58</v>
      </c>
      <c r="R2871" s="11" t="str">
        <f>HYPERLINK("\\imagefiles.bcgov\imagery\scanned_maps\moe_terrain_maps\Scanned_T_maps_all\R15\R15-1544","\\imagefiles.bcgov\imagery\scanned_maps\moe_terrain_maps\Scanned_T_maps_all\R15\R15-1544")</f>
        <v>\\imagefiles.bcgov\imagery\scanned_maps\moe_terrain_maps\Scanned_T_maps_all\R15\R15-1544</v>
      </c>
      <c r="S2871" t="s">
        <v>62</v>
      </c>
      <c r="T2871" s="11" t="str">
        <f>HYPERLINK("http://www.env.gov.bc.ca/esd/distdata/ecosystems/TEI_Scanned_Maps/R15/R15-1544","http://www.env.gov.bc.ca/esd/distdata/ecosystems/TEI_Scanned_Maps/R15/R15-1544")</f>
        <v>http://www.env.gov.bc.ca/esd/distdata/ecosystems/TEI_Scanned_Maps/R15/R15-1544</v>
      </c>
      <c r="U2871" t="s">
        <v>2490</v>
      </c>
      <c r="V2871" s="11" t="str">
        <f t="shared" si="173"/>
        <v>http://res.agr.ca/cansis/publications/surveys/bc/</v>
      </c>
      <c r="W2871" t="s">
        <v>269</v>
      </c>
      <c r="X2871" s="11" t="str">
        <f t="shared" si="174"/>
        <v>http://www.library.for.gov.bc.ca/#focus</v>
      </c>
      <c r="Y2871" t="s">
        <v>58</v>
      </c>
      <c r="Z2871" t="s">
        <v>58</v>
      </c>
      <c r="AA2871" t="s">
        <v>58</v>
      </c>
      <c r="AC2871" t="s">
        <v>58</v>
      </c>
      <c r="AE2871" t="s">
        <v>58</v>
      </c>
      <c r="AG2871" t="s">
        <v>63</v>
      </c>
      <c r="AH2871" s="11" t="str">
        <f t="shared" si="172"/>
        <v>mailto: soilterrain@victoria1.gov.bc.ca</v>
      </c>
    </row>
    <row r="2872" spans="1:34">
      <c r="A2872" t="s">
        <v>6236</v>
      </c>
      <c r="B2872" t="s">
        <v>56</v>
      </c>
      <c r="C2872" s="10" t="s">
        <v>5503</v>
      </c>
      <c r="D2872" t="s">
        <v>58</v>
      </c>
      <c r="E2872" t="s">
        <v>497</v>
      </c>
      <c r="F2872" t="s">
        <v>6237</v>
      </c>
      <c r="G2872">
        <v>25000</v>
      </c>
      <c r="H2872">
        <v>1980</v>
      </c>
      <c r="I2872" t="s">
        <v>6217</v>
      </c>
      <c r="J2872" t="s">
        <v>58</v>
      </c>
      <c r="K2872" t="s">
        <v>58</v>
      </c>
      <c r="L2872" t="s">
        <v>58</v>
      </c>
      <c r="M2872" t="s">
        <v>58</v>
      </c>
      <c r="N2872" t="s">
        <v>61</v>
      </c>
      <c r="Q2872" t="s">
        <v>58</v>
      </c>
      <c r="R2872" s="11" t="str">
        <f>HYPERLINK("\\imagefiles.bcgov\imagery\scanned_maps\moe_terrain_maps\Scanned_T_maps_all\R15\R15-1549","\\imagefiles.bcgov\imagery\scanned_maps\moe_terrain_maps\Scanned_T_maps_all\R15\R15-1549")</f>
        <v>\\imagefiles.bcgov\imagery\scanned_maps\moe_terrain_maps\Scanned_T_maps_all\R15\R15-1549</v>
      </c>
      <c r="S2872" t="s">
        <v>62</v>
      </c>
      <c r="T2872" s="11" t="str">
        <f>HYPERLINK("http://www.env.gov.bc.ca/esd/distdata/ecosystems/TEI_Scanned_Maps/R15/R15-1549","http://www.env.gov.bc.ca/esd/distdata/ecosystems/TEI_Scanned_Maps/R15/R15-1549")</f>
        <v>http://www.env.gov.bc.ca/esd/distdata/ecosystems/TEI_Scanned_Maps/R15/R15-1549</v>
      </c>
      <c r="U2872" t="s">
        <v>2490</v>
      </c>
      <c r="V2872" s="11" t="str">
        <f t="shared" si="173"/>
        <v>http://res.agr.ca/cansis/publications/surveys/bc/</v>
      </c>
      <c r="W2872" t="s">
        <v>269</v>
      </c>
      <c r="X2872" s="11" t="str">
        <f t="shared" si="174"/>
        <v>http://www.library.for.gov.bc.ca/#focus</v>
      </c>
      <c r="Y2872" t="s">
        <v>58</v>
      </c>
      <c r="Z2872" t="s">
        <v>58</v>
      </c>
      <c r="AA2872" t="s">
        <v>58</v>
      </c>
      <c r="AC2872" t="s">
        <v>58</v>
      </c>
      <c r="AE2872" t="s">
        <v>58</v>
      </c>
      <c r="AG2872" t="s">
        <v>63</v>
      </c>
      <c r="AH2872" s="11" t="str">
        <f t="shared" si="172"/>
        <v>mailto: soilterrain@victoria1.gov.bc.ca</v>
      </c>
    </row>
    <row r="2873" spans="1:34">
      <c r="A2873" t="s">
        <v>6238</v>
      </c>
      <c r="B2873" t="s">
        <v>56</v>
      </c>
      <c r="C2873" s="10" t="s">
        <v>5506</v>
      </c>
      <c r="D2873" t="s">
        <v>58</v>
      </c>
      <c r="E2873" t="s">
        <v>497</v>
      </c>
      <c r="F2873" t="s">
        <v>6239</v>
      </c>
      <c r="G2873">
        <v>25000</v>
      </c>
      <c r="H2873">
        <v>1976</v>
      </c>
      <c r="I2873" t="s">
        <v>6217</v>
      </c>
      <c r="J2873" t="s">
        <v>58</v>
      </c>
      <c r="K2873" t="s">
        <v>58</v>
      </c>
      <c r="L2873" t="s">
        <v>58</v>
      </c>
      <c r="M2873" t="s">
        <v>58</v>
      </c>
      <c r="N2873" t="s">
        <v>61</v>
      </c>
      <c r="Q2873" t="s">
        <v>58</v>
      </c>
      <c r="R2873" s="11" t="str">
        <f>HYPERLINK("\\imagefiles.bcgov\imagery\scanned_maps\moe_terrain_maps\Scanned_T_maps_all\R15\R15-1554","\\imagefiles.bcgov\imagery\scanned_maps\moe_terrain_maps\Scanned_T_maps_all\R15\R15-1554")</f>
        <v>\\imagefiles.bcgov\imagery\scanned_maps\moe_terrain_maps\Scanned_T_maps_all\R15\R15-1554</v>
      </c>
      <c r="S2873" t="s">
        <v>62</v>
      </c>
      <c r="T2873" s="11" t="str">
        <f>HYPERLINK("http://www.env.gov.bc.ca/esd/distdata/ecosystems/TEI_Scanned_Maps/R15/R15-1554","http://www.env.gov.bc.ca/esd/distdata/ecosystems/TEI_Scanned_Maps/R15/R15-1554")</f>
        <v>http://www.env.gov.bc.ca/esd/distdata/ecosystems/TEI_Scanned_Maps/R15/R15-1554</v>
      </c>
      <c r="U2873" t="s">
        <v>2490</v>
      </c>
      <c r="V2873" s="11" t="str">
        <f t="shared" si="173"/>
        <v>http://res.agr.ca/cansis/publications/surveys/bc/</v>
      </c>
      <c r="W2873" t="s">
        <v>269</v>
      </c>
      <c r="X2873" s="11" t="str">
        <f t="shared" si="174"/>
        <v>http://www.library.for.gov.bc.ca/#focus</v>
      </c>
      <c r="Y2873" t="s">
        <v>58</v>
      </c>
      <c r="Z2873" t="s">
        <v>58</v>
      </c>
      <c r="AA2873" t="s">
        <v>58</v>
      </c>
      <c r="AC2873" t="s">
        <v>58</v>
      </c>
      <c r="AE2873" t="s">
        <v>58</v>
      </c>
      <c r="AG2873" t="s">
        <v>63</v>
      </c>
      <c r="AH2873" s="11" t="str">
        <f t="shared" si="172"/>
        <v>mailto: soilterrain@victoria1.gov.bc.ca</v>
      </c>
    </row>
    <row r="2874" spans="1:34">
      <c r="A2874" t="s">
        <v>6240</v>
      </c>
      <c r="B2874" t="s">
        <v>56</v>
      </c>
      <c r="C2874" s="10" t="s">
        <v>5509</v>
      </c>
      <c r="D2874" t="s">
        <v>58</v>
      </c>
      <c r="E2874" t="s">
        <v>497</v>
      </c>
      <c r="F2874" t="s">
        <v>6241</v>
      </c>
      <c r="G2874">
        <v>25000</v>
      </c>
      <c r="H2874">
        <v>1980</v>
      </c>
      <c r="I2874" t="s">
        <v>6217</v>
      </c>
      <c r="J2874" t="s">
        <v>58</v>
      </c>
      <c r="K2874" t="s">
        <v>58</v>
      </c>
      <c r="L2874" t="s">
        <v>58</v>
      </c>
      <c r="M2874" t="s">
        <v>58</v>
      </c>
      <c r="N2874" t="s">
        <v>61</v>
      </c>
      <c r="Q2874" t="s">
        <v>58</v>
      </c>
      <c r="R2874" s="11" t="str">
        <f>HYPERLINK("\\imagefiles.bcgov\imagery\scanned_maps\moe_terrain_maps\Scanned_T_maps_all\R15\R15-1559","\\imagefiles.bcgov\imagery\scanned_maps\moe_terrain_maps\Scanned_T_maps_all\R15\R15-1559")</f>
        <v>\\imagefiles.bcgov\imagery\scanned_maps\moe_terrain_maps\Scanned_T_maps_all\R15\R15-1559</v>
      </c>
      <c r="S2874" t="s">
        <v>62</v>
      </c>
      <c r="T2874" s="11" t="str">
        <f>HYPERLINK("http://www.env.gov.bc.ca/esd/distdata/ecosystems/TEI_Scanned_Maps/R15/R15-1559","http://www.env.gov.bc.ca/esd/distdata/ecosystems/TEI_Scanned_Maps/R15/R15-1559")</f>
        <v>http://www.env.gov.bc.ca/esd/distdata/ecosystems/TEI_Scanned_Maps/R15/R15-1559</v>
      </c>
      <c r="U2874" t="s">
        <v>2490</v>
      </c>
      <c r="V2874" s="11" t="str">
        <f t="shared" si="173"/>
        <v>http://res.agr.ca/cansis/publications/surveys/bc/</v>
      </c>
      <c r="W2874" t="s">
        <v>269</v>
      </c>
      <c r="X2874" s="11" t="str">
        <f t="shared" si="174"/>
        <v>http://www.library.for.gov.bc.ca/#focus</v>
      </c>
      <c r="Y2874" t="s">
        <v>58</v>
      </c>
      <c r="Z2874" t="s">
        <v>58</v>
      </c>
      <c r="AA2874" t="s">
        <v>58</v>
      </c>
      <c r="AC2874" t="s">
        <v>58</v>
      </c>
      <c r="AE2874" t="s">
        <v>58</v>
      </c>
      <c r="AG2874" t="s">
        <v>63</v>
      </c>
      <c r="AH2874" s="11" t="str">
        <f t="shared" si="172"/>
        <v>mailto: soilterrain@victoria1.gov.bc.ca</v>
      </c>
    </row>
    <row r="2875" spans="1:34">
      <c r="A2875" t="s">
        <v>6242</v>
      </c>
      <c r="B2875" t="s">
        <v>56</v>
      </c>
      <c r="C2875" s="10" t="s">
        <v>5512</v>
      </c>
      <c r="D2875" t="s">
        <v>58</v>
      </c>
      <c r="E2875" t="s">
        <v>497</v>
      </c>
      <c r="F2875" t="s">
        <v>6243</v>
      </c>
      <c r="G2875">
        <v>25000</v>
      </c>
      <c r="H2875">
        <v>1976</v>
      </c>
      <c r="I2875" t="s">
        <v>6217</v>
      </c>
      <c r="J2875" t="s">
        <v>58</v>
      </c>
      <c r="K2875" t="s">
        <v>58</v>
      </c>
      <c r="L2875" t="s">
        <v>58</v>
      </c>
      <c r="M2875" t="s">
        <v>58</v>
      </c>
      <c r="N2875" t="s">
        <v>61</v>
      </c>
      <c r="Q2875" t="s">
        <v>58</v>
      </c>
      <c r="R2875" s="11" t="str">
        <f>HYPERLINK("\\imagefiles.bcgov\imagery\scanned_maps\moe_terrain_maps\Scanned_T_maps_all\R15\R15-1564","\\imagefiles.bcgov\imagery\scanned_maps\moe_terrain_maps\Scanned_T_maps_all\R15\R15-1564")</f>
        <v>\\imagefiles.bcgov\imagery\scanned_maps\moe_terrain_maps\Scanned_T_maps_all\R15\R15-1564</v>
      </c>
      <c r="S2875" t="s">
        <v>62</v>
      </c>
      <c r="T2875" s="11" t="str">
        <f>HYPERLINK("http://www.env.gov.bc.ca/esd/distdata/ecosystems/TEI_Scanned_Maps/R15/R15-1564","http://www.env.gov.bc.ca/esd/distdata/ecosystems/TEI_Scanned_Maps/R15/R15-1564")</f>
        <v>http://www.env.gov.bc.ca/esd/distdata/ecosystems/TEI_Scanned_Maps/R15/R15-1564</v>
      </c>
      <c r="U2875" t="s">
        <v>2490</v>
      </c>
      <c r="V2875" s="11" t="str">
        <f t="shared" si="173"/>
        <v>http://res.agr.ca/cansis/publications/surveys/bc/</v>
      </c>
      <c r="W2875" t="s">
        <v>269</v>
      </c>
      <c r="X2875" s="11" t="str">
        <f t="shared" si="174"/>
        <v>http://www.library.for.gov.bc.ca/#focus</v>
      </c>
      <c r="Y2875" t="s">
        <v>58</v>
      </c>
      <c r="Z2875" t="s">
        <v>58</v>
      </c>
      <c r="AA2875" t="s">
        <v>58</v>
      </c>
      <c r="AC2875" t="s">
        <v>58</v>
      </c>
      <c r="AE2875" t="s">
        <v>58</v>
      </c>
      <c r="AG2875" t="s">
        <v>63</v>
      </c>
      <c r="AH2875" s="11" t="str">
        <f t="shared" si="172"/>
        <v>mailto: soilterrain@victoria1.gov.bc.ca</v>
      </c>
    </row>
    <row r="2876" spans="1:34">
      <c r="A2876" t="s">
        <v>6244</v>
      </c>
      <c r="B2876" t="s">
        <v>56</v>
      </c>
      <c r="C2876" s="10" t="s">
        <v>5515</v>
      </c>
      <c r="D2876" t="s">
        <v>58</v>
      </c>
      <c r="E2876" t="s">
        <v>497</v>
      </c>
      <c r="F2876" t="s">
        <v>6245</v>
      </c>
      <c r="G2876">
        <v>25000</v>
      </c>
      <c r="H2876">
        <v>1980</v>
      </c>
      <c r="I2876" t="s">
        <v>6217</v>
      </c>
      <c r="J2876" t="s">
        <v>58</v>
      </c>
      <c r="K2876" t="s">
        <v>58</v>
      </c>
      <c r="L2876" t="s">
        <v>58</v>
      </c>
      <c r="M2876" t="s">
        <v>58</v>
      </c>
      <c r="N2876" t="s">
        <v>61</v>
      </c>
      <c r="Q2876" t="s">
        <v>58</v>
      </c>
      <c r="R2876" s="11" t="str">
        <f>HYPERLINK("\\imagefiles.bcgov\imagery\scanned_maps\moe_terrain_maps\Scanned_T_maps_all\R15\R15-1569","\\imagefiles.bcgov\imagery\scanned_maps\moe_terrain_maps\Scanned_T_maps_all\R15\R15-1569")</f>
        <v>\\imagefiles.bcgov\imagery\scanned_maps\moe_terrain_maps\Scanned_T_maps_all\R15\R15-1569</v>
      </c>
      <c r="S2876" t="s">
        <v>62</v>
      </c>
      <c r="T2876" s="11" t="str">
        <f>HYPERLINK("http://www.env.gov.bc.ca/esd/distdata/ecosystems/TEI_Scanned_Maps/R15/R15-1569","http://www.env.gov.bc.ca/esd/distdata/ecosystems/TEI_Scanned_Maps/R15/R15-1569")</f>
        <v>http://www.env.gov.bc.ca/esd/distdata/ecosystems/TEI_Scanned_Maps/R15/R15-1569</v>
      </c>
      <c r="U2876" t="s">
        <v>2490</v>
      </c>
      <c r="V2876" s="11" t="str">
        <f t="shared" si="173"/>
        <v>http://res.agr.ca/cansis/publications/surveys/bc/</v>
      </c>
      <c r="W2876" t="s">
        <v>269</v>
      </c>
      <c r="X2876" s="11" t="str">
        <f t="shared" si="174"/>
        <v>http://www.library.for.gov.bc.ca/#focus</v>
      </c>
      <c r="Y2876" t="s">
        <v>58</v>
      </c>
      <c r="Z2876" t="s">
        <v>58</v>
      </c>
      <c r="AA2876" t="s">
        <v>58</v>
      </c>
      <c r="AC2876" t="s">
        <v>58</v>
      </c>
      <c r="AE2876" t="s">
        <v>58</v>
      </c>
      <c r="AG2876" t="s">
        <v>63</v>
      </c>
      <c r="AH2876" s="11" t="str">
        <f t="shared" si="172"/>
        <v>mailto: soilterrain@victoria1.gov.bc.ca</v>
      </c>
    </row>
    <row r="2877" spans="1:34">
      <c r="A2877" t="s">
        <v>6246</v>
      </c>
      <c r="B2877" t="s">
        <v>56</v>
      </c>
      <c r="C2877" s="10" t="s">
        <v>5518</v>
      </c>
      <c r="D2877" t="s">
        <v>58</v>
      </c>
      <c r="E2877" t="s">
        <v>497</v>
      </c>
      <c r="F2877" t="s">
        <v>6247</v>
      </c>
      <c r="G2877">
        <v>25000</v>
      </c>
      <c r="H2877">
        <v>1979</v>
      </c>
      <c r="I2877" t="s">
        <v>6217</v>
      </c>
      <c r="J2877" t="s">
        <v>58</v>
      </c>
      <c r="K2877" t="s">
        <v>58</v>
      </c>
      <c r="L2877" t="s">
        <v>58</v>
      </c>
      <c r="M2877" t="s">
        <v>58</v>
      </c>
      <c r="N2877" t="s">
        <v>61</v>
      </c>
      <c r="Q2877" t="s">
        <v>58</v>
      </c>
      <c r="R2877" s="11" t="str">
        <f>HYPERLINK("\\imagefiles.bcgov\imagery\scanned_maps\moe_terrain_maps\Scanned_T_maps_all\R15\R15-1574","\\imagefiles.bcgov\imagery\scanned_maps\moe_terrain_maps\Scanned_T_maps_all\R15\R15-1574")</f>
        <v>\\imagefiles.bcgov\imagery\scanned_maps\moe_terrain_maps\Scanned_T_maps_all\R15\R15-1574</v>
      </c>
      <c r="S2877" t="s">
        <v>62</v>
      </c>
      <c r="T2877" s="11" t="str">
        <f>HYPERLINK("http://www.env.gov.bc.ca/esd/distdata/ecosystems/TEI_Scanned_Maps/R15/R15-1574","http://www.env.gov.bc.ca/esd/distdata/ecosystems/TEI_Scanned_Maps/R15/R15-1574")</f>
        <v>http://www.env.gov.bc.ca/esd/distdata/ecosystems/TEI_Scanned_Maps/R15/R15-1574</v>
      </c>
      <c r="U2877" t="s">
        <v>2490</v>
      </c>
      <c r="V2877" s="11" t="str">
        <f t="shared" si="173"/>
        <v>http://res.agr.ca/cansis/publications/surveys/bc/</v>
      </c>
      <c r="W2877" t="s">
        <v>269</v>
      </c>
      <c r="X2877" s="11" t="str">
        <f t="shared" si="174"/>
        <v>http://www.library.for.gov.bc.ca/#focus</v>
      </c>
      <c r="Y2877" t="s">
        <v>58</v>
      </c>
      <c r="Z2877" t="s">
        <v>58</v>
      </c>
      <c r="AA2877" t="s">
        <v>58</v>
      </c>
      <c r="AC2877" t="s">
        <v>58</v>
      </c>
      <c r="AE2877" t="s">
        <v>58</v>
      </c>
      <c r="AG2877" t="s">
        <v>63</v>
      </c>
      <c r="AH2877" s="11" t="str">
        <f t="shared" si="172"/>
        <v>mailto: soilterrain@victoria1.gov.bc.ca</v>
      </c>
    </row>
    <row r="2878" spans="1:34">
      <c r="A2878" t="s">
        <v>6248</v>
      </c>
      <c r="B2878" t="s">
        <v>56</v>
      </c>
      <c r="C2878" s="10" t="s">
        <v>5521</v>
      </c>
      <c r="D2878" t="s">
        <v>58</v>
      </c>
      <c r="E2878" t="s">
        <v>497</v>
      </c>
      <c r="F2878" t="s">
        <v>6249</v>
      </c>
      <c r="G2878">
        <v>25000</v>
      </c>
      <c r="H2878">
        <v>1979</v>
      </c>
      <c r="I2878" t="s">
        <v>6217</v>
      </c>
      <c r="J2878" t="s">
        <v>58</v>
      </c>
      <c r="K2878" t="s">
        <v>58</v>
      </c>
      <c r="L2878" t="s">
        <v>58</v>
      </c>
      <c r="M2878" t="s">
        <v>58</v>
      </c>
      <c r="N2878" t="s">
        <v>61</v>
      </c>
      <c r="Q2878" t="s">
        <v>58</v>
      </c>
      <c r="R2878" s="11" t="str">
        <f>HYPERLINK("\\imagefiles.bcgov\imagery\scanned_maps\moe_terrain_maps\Scanned_T_maps_all\R15\R15-1579","\\imagefiles.bcgov\imagery\scanned_maps\moe_terrain_maps\Scanned_T_maps_all\R15\R15-1579")</f>
        <v>\\imagefiles.bcgov\imagery\scanned_maps\moe_terrain_maps\Scanned_T_maps_all\R15\R15-1579</v>
      </c>
      <c r="S2878" t="s">
        <v>62</v>
      </c>
      <c r="T2878" s="11" t="str">
        <f>HYPERLINK("http://www.env.gov.bc.ca/esd/distdata/ecosystems/TEI_Scanned_Maps/R15/R15-1579","http://www.env.gov.bc.ca/esd/distdata/ecosystems/TEI_Scanned_Maps/R15/R15-1579")</f>
        <v>http://www.env.gov.bc.ca/esd/distdata/ecosystems/TEI_Scanned_Maps/R15/R15-1579</v>
      </c>
      <c r="U2878" t="s">
        <v>2490</v>
      </c>
      <c r="V2878" s="11" t="str">
        <f t="shared" si="173"/>
        <v>http://res.agr.ca/cansis/publications/surveys/bc/</v>
      </c>
      <c r="W2878" t="s">
        <v>269</v>
      </c>
      <c r="X2878" s="11" t="str">
        <f t="shared" si="174"/>
        <v>http://www.library.for.gov.bc.ca/#focus</v>
      </c>
      <c r="Y2878" t="s">
        <v>58</v>
      </c>
      <c r="Z2878" t="s">
        <v>58</v>
      </c>
      <c r="AA2878" t="s">
        <v>58</v>
      </c>
      <c r="AC2878" t="s">
        <v>58</v>
      </c>
      <c r="AE2878" t="s">
        <v>58</v>
      </c>
      <c r="AG2878" t="s">
        <v>63</v>
      </c>
      <c r="AH2878" s="11" t="str">
        <f t="shared" si="172"/>
        <v>mailto: soilterrain@victoria1.gov.bc.ca</v>
      </c>
    </row>
    <row r="2879" spans="1:34">
      <c r="A2879" t="s">
        <v>6250</v>
      </c>
      <c r="B2879" t="s">
        <v>56</v>
      </c>
      <c r="C2879" s="10" t="s">
        <v>5524</v>
      </c>
      <c r="D2879" t="s">
        <v>58</v>
      </c>
      <c r="E2879" t="s">
        <v>497</v>
      </c>
      <c r="F2879" t="s">
        <v>6251</v>
      </c>
      <c r="G2879">
        <v>25000</v>
      </c>
      <c r="H2879">
        <v>1979</v>
      </c>
      <c r="I2879" t="s">
        <v>6217</v>
      </c>
      <c r="J2879" t="s">
        <v>58</v>
      </c>
      <c r="K2879" t="s">
        <v>58</v>
      </c>
      <c r="L2879" t="s">
        <v>58</v>
      </c>
      <c r="M2879" t="s">
        <v>58</v>
      </c>
      <c r="N2879" t="s">
        <v>61</v>
      </c>
      <c r="Q2879" t="s">
        <v>58</v>
      </c>
      <c r="R2879" s="11" t="str">
        <f>HYPERLINK("\\imagefiles.bcgov\imagery\scanned_maps\moe_terrain_maps\Scanned_T_maps_all\R15\R15-1584","\\imagefiles.bcgov\imagery\scanned_maps\moe_terrain_maps\Scanned_T_maps_all\R15\R15-1584")</f>
        <v>\\imagefiles.bcgov\imagery\scanned_maps\moe_terrain_maps\Scanned_T_maps_all\R15\R15-1584</v>
      </c>
      <c r="S2879" t="s">
        <v>62</v>
      </c>
      <c r="T2879" s="11" t="str">
        <f>HYPERLINK("http://www.env.gov.bc.ca/esd/distdata/ecosystems/TEI_Scanned_Maps/R15/R15-1584","http://www.env.gov.bc.ca/esd/distdata/ecosystems/TEI_Scanned_Maps/R15/R15-1584")</f>
        <v>http://www.env.gov.bc.ca/esd/distdata/ecosystems/TEI_Scanned_Maps/R15/R15-1584</v>
      </c>
      <c r="U2879" t="s">
        <v>2490</v>
      </c>
      <c r="V2879" s="11" t="str">
        <f t="shared" si="173"/>
        <v>http://res.agr.ca/cansis/publications/surveys/bc/</v>
      </c>
      <c r="W2879" t="s">
        <v>269</v>
      </c>
      <c r="X2879" s="11" t="str">
        <f t="shared" si="174"/>
        <v>http://www.library.for.gov.bc.ca/#focus</v>
      </c>
      <c r="Y2879" t="s">
        <v>58</v>
      </c>
      <c r="Z2879" t="s">
        <v>58</v>
      </c>
      <c r="AA2879" t="s">
        <v>58</v>
      </c>
      <c r="AC2879" t="s">
        <v>58</v>
      </c>
      <c r="AE2879" t="s">
        <v>58</v>
      </c>
      <c r="AG2879" t="s">
        <v>63</v>
      </c>
      <c r="AH2879" s="11" t="str">
        <f t="shared" si="172"/>
        <v>mailto: soilterrain@victoria1.gov.bc.ca</v>
      </c>
    </row>
    <row r="2880" spans="1:34">
      <c r="A2880" t="s">
        <v>6252</v>
      </c>
      <c r="B2880" t="s">
        <v>56</v>
      </c>
      <c r="C2880" s="10" t="s">
        <v>5527</v>
      </c>
      <c r="D2880" t="s">
        <v>58</v>
      </c>
      <c r="E2880" t="s">
        <v>497</v>
      </c>
      <c r="F2880" t="s">
        <v>6253</v>
      </c>
      <c r="G2880">
        <v>25000</v>
      </c>
      <c r="H2880">
        <v>1979</v>
      </c>
      <c r="I2880" t="s">
        <v>6217</v>
      </c>
      <c r="J2880" t="s">
        <v>58</v>
      </c>
      <c r="K2880" t="s">
        <v>58</v>
      </c>
      <c r="L2880" t="s">
        <v>58</v>
      </c>
      <c r="M2880" t="s">
        <v>58</v>
      </c>
      <c r="N2880" t="s">
        <v>61</v>
      </c>
      <c r="Q2880" t="s">
        <v>58</v>
      </c>
      <c r="R2880" s="11" t="str">
        <f>HYPERLINK("\\imagefiles.bcgov\imagery\scanned_maps\moe_terrain_maps\Scanned_T_maps_all\R15\R15-1589","\\imagefiles.bcgov\imagery\scanned_maps\moe_terrain_maps\Scanned_T_maps_all\R15\R15-1589")</f>
        <v>\\imagefiles.bcgov\imagery\scanned_maps\moe_terrain_maps\Scanned_T_maps_all\R15\R15-1589</v>
      </c>
      <c r="S2880" t="s">
        <v>62</v>
      </c>
      <c r="T2880" s="11" t="str">
        <f>HYPERLINK("http://www.env.gov.bc.ca/esd/distdata/ecosystems/TEI_Scanned_Maps/R15/R15-1589","http://www.env.gov.bc.ca/esd/distdata/ecosystems/TEI_Scanned_Maps/R15/R15-1589")</f>
        <v>http://www.env.gov.bc.ca/esd/distdata/ecosystems/TEI_Scanned_Maps/R15/R15-1589</v>
      </c>
      <c r="U2880" t="s">
        <v>2490</v>
      </c>
      <c r="V2880" s="11" t="str">
        <f t="shared" si="173"/>
        <v>http://res.agr.ca/cansis/publications/surveys/bc/</v>
      </c>
      <c r="W2880" t="s">
        <v>269</v>
      </c>
      <c r="X2880" s="11" t="str">
        <f t="shared" si="174"/>
        <v>http://www.library.for.gov.bc.ca/#focus</v>
      </c>
      <c r="Y2880" t="s">
        <v>58</v>
      </c>
      <c r="Z2880" t="s">
        <v>58</v>
      </c>
      <c r="AA2880" t="s">
        <v>58</v>
      </c>
      <c r="AC2880" t="s">
        <v>58</v>
      </c>
      <c r="AE2880" t="s">
        <v>58</v>
      </c>
      <c r="AG2880" t="s">
        <v>63</v>
      </c>
      <c r="AH2880" s="11" t="str">
        <f t="shared" si="172"/>
        <v>mailto: soilterrain@victoria1.gov.bc.ca</v>
      </c>
    </row>
    <row r="2881" spans="1:34">
      <c r="A2881" t="s">
        <v>6254</v>
      </c>
      <c r="B2881" t="s">
        <v>56</v>
      </c>
      <c r="C2881" s="10" t="s">
        <v>5530</v>
      </c>
      <c r="D2881" t="s">
        <v>58</v>
      </c>
      <c r="E2881" t="s">
        <v>497</v>
      </c>
      <c r="F2881" t="s">
        <v>6255</v>
      </c>
      <c r="G2881">
        <v>25000</v>
      </c>
      <c r="H2881">
        <v>1979</v>
      </c>
      <c r="I2881" t="s">
        <v>6217</v>
      </c>
      <c r="J2881" t="s">
        <v>58</v>
      </c>
      <c r="K2881" t="s">
        <v>58</v>
      </c>
      <c r="L2881" t="s">
        <v>58</v>
      </c>
      <c r="M2881" t="s">
        <v>58</v>
      </c>
      <c r="N2881" t="s">
        <v>61</v>
      </c>
      <c r="Q2881" t="s">
        <v>58</v>
      </c>
      <c r="R2881" s="11" t="str">
        <f>HYPERLINK("\\imagefiles.bcgov\imagery\scanned_maps\moe_terrain_maps\Scanned_T_maps_all\R15\R15-1594","\\imagefiles.bcgov\imagery\scanned_maps\moe_terrain_maps\Scanned_T_maps_all\R15\R15-1594")</f>
        <v>\\imagefiles.bcgov\imagery\scanned_maps\moe_terrain_maps\Scanned_T_maps_all\R15\R15-1594</v>
      </c>
      <c r="S2881" t="s">
        <v>62</v>
      </c>
      <c r="T2881" s="11" t="str">
        <f>HYPERLINK("http://www.env.gov.bc.ca/esd/distdata/ecosystems/TEI_Scanned_Maps/R15/R15-1594","http://www.env.gov.bc.ca/esd/distdata/ecosystems/TEI_Scanned_Maps/R15/R15-1594")</f>
        <v>http://www.env.gov.bc.ca/esd/distdata/ecosystems/TEI_Scanned_Maps/R15/R15-1594</v>
      </c>
      <c r="U2881" t="s">
        <v>2490</v>
      </c>
      <c r="V2881" s="11" t="str">
        <f t="shared" si="173"/>
        <v>http://res.agr.ca/cansis/publications/surveys/bc/</v>
      </c>
      <c r="W2881" t="s">
        <v>269</v>
      </c>
      <c r="X2881" s="11" t="str">
        <f t="shared" si="174"/>
        <v>http://www.library.for.gov.bc.ca/#focus</v>
      </c>
      <c r="Y2881" t="s">
        <v>58</v>
      </c>
      <c r="Z2881" t="s">
        <v>58</v>
      </c>
      <c r="AA2881" t="s">
        <v>58</v>
      </c>
      <c r="AC2881" t="s">
        <v>58</v>
      </c>
      <c r="AE2881" t="s">
        <v>58</v>
      </c>
      <c r="AG2881" t="s">
        <v>63</v>
      </c>
      <c r="AH2881" s="11" t="str">
        <f t="shared" si="172"/>
        <v>mailto: soilterrain@victoria1.gov.bc.ca</v>
      </c>
    </row>
    <row r="2882" spans="1:34">
      <c r="A2882" t="s">
        <v>6256</v>
      </c>
      <c r="B2882" t="s">
        <v>56</v>
      </c>
      <c r="C2882" s="10" t="s">
        <v>170</v>
      </c>
      <c r="D2882" t="s">
        <v>58</v>
      </c>
      <c r="E2882" t="s">
        <v>497</v>
      </c>
      <c r="F2882" t="s">
        <v>6257</v>
      </c>
      <c r="G2882">
        <v>50000</v>
      </c>
      <c r="H2882">
        <v>1979</v>
      </c>
      <c r="I2882" t="s">
        <v>6217</v>
      </c>
      <c r="J2882" t="s">
        <v>58</v>
      </c>
      <c r="K2882" t="s">
        <v>58</v>
      </c>
      <c r="L2882" t="s">
        <v>58</v>
      </c>
      <c r="M2882" t="s">
        <v>58</v>
      </c>
      <c r="N2882" t="s">
        <v>61</v>
      </c>
      <c r="Q2882" t="s">
        <v>58</v>
      </c>
      <c r="R2882" s="11" t="str">
        <f>HYPERLINK("\\imagefiles.bcgov\imagery\scanned_maps\moe_terrain_maps\Scanned_T_maps_all\R15\R15-1600","\\imagefiles.bcgov\imagery\scanned_maps\moe_terrain_maps\Scanned_T_maps_all\R15\R15-1600")</f>
        <v>\\imagefiles.bcgov\imagery\scanned_maps\moe_terrain_maps\Scanned_T_maps_all\R15\R15-1600</v>
      </c>
      <c r="S2882" t="s">
        <v>62</v>
      </c>
      <c r="T2882" s="11" t="str">
        <f>HYPERLINK("http://www.env.gov.bc.ca/esd/distdata/ecosystems/TEI_Scanned_Maps/R15/R15-1600","http://www.env.gov.bc.ca/esd/distdata/ecosystems/TEI_Scanned_Maps/R15/R15-1600")</f>
        <v>http://www.env.gov.bc.ca/esd/distdata/ecosystems/TEI_Scanned_Maps/R15/R15-1600</v>
      </c>
      <c r="U2882" t="s">
        <v>2490</v>
      </c>
      <c r="V2882" s="11" t="str">
        <f t="shared" si="173"/>
        <v>http://res.agr.ca/cansis/publications/surveys/bc/</v>
      </c>
      <c r="W2882" t="s">
        <v>269</v>
      </c>
      <c r="X2882" s="11" t="str">
        <f t="shared" si="174"/>
        <v>http://www.library.for.gov.bc.ca/#focus</v>
      </c>
      <c r="Y2882" t="s">
        <v>58</v>
      </c>
      <c r="Z2882" t="s">
        <v>58</v>
      </c>
      <c r="AA2882" t="s">
        <v>58</v>
      </c>
      <c r="AC2882" t="s">
        <v>58</v>
      </c>
      <c r="AE2882" t="s">
        <v>58</v>
      </c>
      <c r="AG2882" t="s">
        <v>63</v>
      </c>
      <c r="AH2882" s="11" t="str">
        <f t="shared" ref="AH2882:AH2945" si="175">HYPERLINK("mailto: soilterrain@victoria1.gov.bc.ca","mailto: soilterrain@victoria1.gov.bc.ca")</f>
        <v>mailto: soilterrain@victoria1.gov.bc.ca</v>
      </c>
    </row>
    <row r="2883" spans="1:34">
      <c r="A2883" t="s">
        <v>6258</v>
      </c>
      <c r="B2883" t="s">
        <v>56</v>
      </c>
      <c r="C2883" s="10" t="s">
        <v>635</v>
      </c>
      <c r="D2883" t="s">
        <v>58</v>
      </c>
      <c r="E2883" t="s">
        <v>497</v>
      </c>
      <c r="F2883" t="s">
        <v>6259</v>
      </c>
      <c r="G2883">
        <v>50000</v>
      </c>
      <c r="H2883">
        <v>1979</v>
      </c>
      <c r="I2883" t="s">
        <v>6217</v>
      </c>
      <c r="J2883" t="s">
        <v>58</v>
      </c>
      <c r="K2883" t="s">
        <v>58</v>
      </c>
      <c r="L2883" t="s">
        <v>58</v>
      </c>
      <c r="M2883" t="s">
        <v>58</v>
      </c>
      <c r="N2883" t="s">
        <v>61</v>
      </c>
      <c r="Q2883" t="s">
        <v>58</v>
      </c>
      <c r="R2883" s="11" t="str">
        <f>HYPERLINK("\\imagefiles.bcgov\imagery\scanned_maps\moe_terrain_maps\Scanned_T_maps_all\R15\R15-1603","\\imagefiles.bcgov\imagery\scanned_maps\moe_terrain_maps\Scanned_T_maps_all\R15\R15-1603")</f>
        <v>\\imagefiles.bcgov\imagery\scanned_maps\moe_terrain_maps\Scanned_T_maps_all\R15\R15-1603</v>
      </c>
      <c r="S2883" t="s">
        <v>62</v>
      </c>
      <c r="T2883" s="11" t="str">
        <f>HYPERLINK("http://www.env.gov.bc.ca/esd/distdata/ecosystems/TEI_Scanned_Maps/R15/R15-1603","http://www.env.gov.bc.ca/esd/distdata/ecosystems/TEI_Scanned_Maps/R15/R15-1603")</f>
        <v>http://www.env.gov.bc.ca/esd/distdata/ecosystems/TEI_Scanned_Maps/R15/R15-1603</v>
      </c>
      <c r="U2883" t="s">
        <v>2490</v>
      </c>
      <c r="V2883" s="11" t="str">
        <f t="shared" si="173"/>
        <v>http://res.agr.ca/cansis/publications/surveys/bc/</v>
      </c>
      <c r="W2883" t="s">
        <v>269</v>
      </c>
      <c r="X2883" s="11" t="str">
        <f t="shared" si="174"/>
        <v>http://www.library.for.gov.bc.ca/#focus</v>
      </c>
      <c r="Y2883" t="s">
        <v>58</v>
      </c>
      <c r="Z2883" t="s">
        <v>58</v>
      </c>
      <c r="AA2883" t="s">
        <v>58</v>
      </c>
      <c r="AC2883" t="s">
        <v>58</v>
      </c>
      <c r="AE2883" t="s">
        <v>58</v>
      </c>
      <c r="AG2883" t="s">
        <v>63</v>
      </c>
      <c r="AH2883" s="11" t="str">
        <f t="shared" si="175"/>
        <v>mailto: soilterrain@victoria1.gov.bc.ca</v>
      </c>
    </row>
    <row r="2884" spans="1:34">
      <c r="A2884" t="s">
        <v>6260</v>
      </c>
      <c r="B2884" t="s">
        <v>56</v>
      </c>
      <c r="C2884" s="10" t="s">
        <v>185</v>
      </c>
      <c r="D2884" t="s">
        <v>58</v>
      </c>
      <c r="E2884" t="s">
        <v>497</v>
      </c>
      <c r="F2884" t="s">
        <v>6261</v>
      </c>
      <c r="G2884">
        <v>50000</v>
      </c>
      <c r="H2884">
        <v>1979</v>
      </c>
      <c r="I2884" t="s">
        <v>6217</v>
      </c>
      <c r="J2884" t="s">
        <v>58</v>
      </c>
      <c r="K2884" t="s">
        <v>58</v>
      </c>
      <c r="L2884" t="s">
        <v>58</v>
      </c>
      <c r="M2884" t="s">
        <v>58</v>
      </c>
      <c r="N2884" t="s">
        <v>61</v>
      </c>
      <c r="Q2884" t="s">
        <v>58</v>
      </c>
      <c r="R2884" s="11" t="str">
        <f>HYPERLINK("\\imagefiles.bcgov\imagery\scanned_maps\moe_terrain_maps\Scanned_T_maps_all\R15\R15-1606","\\imagefiles.bcgov\imagery\scanned_maps\moe_terrain_maps\Scanned_T_maps_all\R15\R15-1606")</f>
        <v>\\imagefiles.bcgov\imagery\scanned_maps\moe_terrain_maps\Scanned_T_maps_all\R15\R15-1606</v>
      </c>
      <c r="S2884" t="s">
        <v>62</v>
      </c>
      <c r="T2884" s="11" t="str">
        <f>HYPERLINK("http://www.env.gov.bc.ca/esd/distdata/ecosystems/TEI_Scanned_Maps/R15/R15-1606","http://www.env.gov.bc.ca/esd/distdata/ecosystems/TEI_Scanned_Maps/R15/R15-1606")</f>
        <v>http://www.env.gov.bc.ca/esd/distdata/ecosystems/TEI_Scanned_Maps/R15/R15-1606</v>
      </c>
      <c r="U2884" t="s">
        <v>2490</v>
      </c>
      <c r="V2884" s="11" t="str">
        <f t="shared" si="173"/>
        <v>http://res.agr.ca/cansis/publications/surveys/bc/</v>
      </c>
      <c r="W2884" t="s">
        <v>269</v>
      </c>
      <c r="X2884" s="11" t="str">
        <f t="shared" si="174"/>
        <v>http://www.library.for.gov.bc.ca/#focus</v>
      </c>
      <c r="Y2884" t="s">
        <v>58</v>
      </c>
      <c r="Z2884" t="s">
        <v>58</v>
      </c>
      <c r="AA2884" t="s">
        <v>58</v>
      </c>
      <c r="AC2884" t="s">
        <v>58</v>
      </c>
      <c r="AE2884" t="s">
        <v>58</v>
      </c>
      <c r="AG2884" t="s">
        <v>63</v>
      </c>
      <c r="AH2884" s="11" t="str">
        <f t="shared" si="175"/>
        <v>mailto: soilterrain@victoria1.gov.bc.ca</v>
      </c>
    </row>
    <row r="2885" spans="1:34">
      <c r="A2885" t="s">
        <v>6262</v>
      </c>
      <c r="B2885" t="s">
        <v>56</v>
      </c>
      <c r="C2885" s="10" t="s">
        <v>5533</v>
      </c>
      <c r="D2885" t="s">
        <v>58</v>
      </c>
      <c r="E2885" t="s">
        <v>497</v>
      </c>
      <c r="F2885" t="s">
        <v>6263</v>
      </c>
      <c r="G2885">
        <v>25000</v>
      </c>
      <c r="H2885">
        <v>1979</v>
      </c>
      <c r="I2885" t="s">
        <v>6217</v>
      </c>
      <c r="J2885" t="s">
        <v>58</v>
      </c>
      <c r="K2885" t="s">
        <v>58</v>
      </c>
      <c r="L2885" t="s">
        <v>58</v>
      </c>
      <c r="M2885" t="s">
        <v>58</v>
      </c>
      <c r="N2885" t="s">
        <v>61</v>
      </c>
      <c r="Q2885" t="s">
        <v>58</v>
      </c>
      <c r="R2885" s="11" t="str">
        <f>HYPERLINK("\\imagefiles.bcgov\imagery\scanned_maps\moe_terrain_maps\Scanned_T_maps_all\R15\R15-1609","\\imagefiles.bcgov\imagery\scanned_maps\moe_terrain_maps\Scanned_T_maps_all\R15\R15-1609")</f>
        <v>\\imagefiles.bcgov\imagery\scanned_maps\moe_terrain_maps\Scanned_T_maps_all\R15\R15-1609</v>
      </c>
      <c r="S2885" t="s">
        <v>62</v>
      </c>
      <c r="T2885" s="11" t="str">
        <f>HYPERLINK("http://www.env.gov.bc.ca/esd/distdata/ecosystems/TEI_Scanned_Maps/R15/R15-1609","http://www.env.gov.bc.ca/esd/distdata/ecosystems/TEI_Scanned_Maps/R15/R15-1609")</f>
        <v>http://www.env.gov.bc.ca/esd/distdata/ecosystems/TEI_Scanned_Maps/R15/R15-1609</v>
      </c>
      <c r="U2885" t="s">
        <v>2490</v>
      </c>
      <c r="V2885" s="11" t="str">
        <f t="shared" si="173"/>
        <v>http://res.agr.ca/cansis/publications/surveys/bc/</v>
      </c>
      <c r="W2885" t="s">
        <v>269</v>
      </c>
      <c r="X2885" s="11" t="str">
        <f t="shared" si="174"/>
        <v>http://www.library.for.gov.bc.ca/#focus</v>
      </c>
      <c r="Y2885" t="s">
        <v>58</v>
      </c>
      <c r="Z2885" t="s">
        <v>58</v>
      </c>
      <c r="AA2885" t="s">
        <v>58</v>
      </c>
      <c r="AC2885" t="s">
        <v>58</v>
      </c>
      <c r="AE2885" t="s">
        <v>58</v>
      </c>
      <c r="AG2885" t="s">
        <v>63</v>
      </c>
      <c r="AH2885" s="11" t="str">
        <f t="shared" si="175"/>
        <v>mailto: soilterrain@victoria1.gov.bc.ca</v>
      </c>
    </row>
    <row r="2886" spans="1:34">
      <c r="A2886" t="s">
        <v>6264</v>
      </c>
      <c r="B2886" t="s">
        <v>56</v>
      </c>
      <c r="C2886" s="10" t="s">
        <v>5536</v>
      </c>
      <c r="D2886" t="s">
        <v>58</v>
      </c>
      <c r="E2886" t="s">
        <v>497</v>
      </c>
      <c r="F2886" t="s">
        <v>6265</v>
      </c>
      <c r="G2886">
        <v>25000</v>
      </c>
      <c r="H2886">
        <v>1979</v>
      </c>
      <c r="I2886" t="s">
        <v>6217</v>
      </c>
      <c r="J2886" t="s">
        <v>58</v>
      </c>
      <c r="K2886" t="s">
        <v>58</v>
      </c>
      <c r="L2886" t="s">
        <v>58</v>
      </c>
      <c r="M2886" t="s">
        <v>58</v>
      </c>
      <c r="N2886" t="s">
        <v>61</v>
      </c>
      <c r="Q2886" t="s">
        <v>58</v>
      </c>
      <c r="R2886" s="11" t="str">
        <f>HYPERLINK("\\imagefiles.bcgov\imagery\scanned_maps\moe_terrain_maps\Scanned_T_maps_all\R15\R15-1614","\\imagefiles.bcgov\imagery\scanned_maps\moe_terrain_maps\Scanned_T_maps_all\R15\R15-1614")</f>
        <v>\\imagefiles.bcgov\imagery\scanned_maps\moe_terrain_maps\Scanned_T_maps_all\R15\R15-1614</v>
      </c>
      <c r="S2886" t="s">
        <v>62</v>
      </c>
      <c r="T2886" s="11" t="str">
        <f>HYPERLINK("http://www.env.gov.bc.ca/esd/distdata/ecosystems/TEI_Scanned_Maps/R15/R15-1614","http://www.env.gov.bc.ca/esd/distdata/ecosystems/TEI_Scanned_Maps/R15/R15-1614")</f>
        <v>http://www.env.gov.bc.ca/esd/distdata/ecosystems/TEI_Scanned_Maps/R15/R15-1614</v>
      </c>
      <c r="U2886" t="s">
        <v>2490</v>
      </c>
      <c r="V2886" s="11" t="str">
        <f t="shared" si="173"/>
        <v>http://res.agr.ca/cansis/publications/surveys/bc/</v>
      </c>
      <c r="W2886" t="s">
        <v>269</v>
      </c>
      <c r="X2886" s="11" t="str">
        <f t="shared" si="174"/>
        <v>http://www.library.for.gov.bc.ca/#focus</v>
      </c>
      <c r="Y2886" t="s">
        <v>58</v>
      </c>
      <c r="Z2886" t="s">
        <v>58</v>
      </c>
      <c r="AA2886" t="s">
        <v>58</v>
      </c>
      <c r="AC2886" t="s">
        <v>58</v>
      </c>
      <c r="AE2886" t="s">
        <v>58</v>
      </c>
      <c r="AG2886" t="s">
        <v>63</v>
      </c>
      <c r="AH2886" s="11" t="str">
        <f t="shared" si="175"/>
        <v>mailto: soilterrain@victoria1.gov.bc.ca</v>
      </c>
    </row>
    <row r="2887" spans="1:34">
      <c r="A2887" t="s">
        <v>6266</v>
      </c>
      <c r="B2887" t="s">
        <v>56</v>
      </c>
      <c r="C2887" s="10" t="s">
        <v>192</v>
      </c>
      <c r="D2887" t="s">
        <v>58</v>
      </c>
      <c r="E2887" t="s">
        <v>497</v>
      </c>
      <c r="F2887" t="s">
        <v>6267</v>
      </c>
      <c r="G2887">
        <v>50000</v>
      </c>
      <c r="H2887">
        <v>1979</v>
      </c>
      <c r="I2887" t="s">
        <v>6217</v>
      </c>
      <c r="J2887" t="s">
        <v>58</v>
      </c>
      <c r="K2887" t="s">
        <v>58</v>
      </c>
      <c r="L2887" t="s">
        <v>58</v>
      </c>
      <c r="M2887" t="s">
        <v>58</v>
      </c>
      <c r="N2887" t="s">
        <v>61</v>
      </c>
      <c r="Q2887" t="s">
        <v>58</v>
      </c>
      <c r="R2887" s="11" t="str">
        <f>HYPERLINK("\\imagefiles.bcgov\imagery\scanned_maps\moe_terrain_maps\Scanned_T_maps_all\R15\R15-1619","\\imagefiles.bcgov\imagery\scanned_maps\moe_terrain_maps\Scanned_T_maps_all\R15\R15-1619")</f>
        <v>\\imagefiles.bcgov\imagery\scanned_maps\moe_terrain_maps\Scanned_T_maps_all\R15\R15-1619</v>
      </c>
      <c r="S2887" t="s">
        <v>62</v>
      </c>
      <c r="T2887" s="11" t="str">
        <f>HYPERLINK("http://www.env.gov.bc.ca/esd/distdata/ecosystems/TEI_Scanned_Maps/R15/R15-1619","http://www.env.gov.bc.ca/esd/distdata/ecosystems/TEI_Scanned_Maps/R15/R15-1619")</f>
        <v>http://www.env.gov.bc.ca/esd/distdata/ecosystems/TEI_Scanned_Maps/R15/R15-1619</v>
      </c>
      <c r="U2887" t="s">
        <v>2490</v>
      </c>
      <c r="V2887" s="11" t="str">
        <f t="shared" si="173"/>
        <v>http://res.agr.ca/cansis/publications/surveys/bc/</v>
      </c>
      <c r="W2887" t="s">
        <v>269</v>
      </c>
      <c r="X2887" s="11" t="str">
        <f t="shared" si="174"/>
        <v>http://www.library.for.gov.bc.ca/#focus</v>
      </c>
      <c r="Y2887" t="s">
        <v>58</v>
      </c>
      <c r="Z2887" t="s">
        <v>58</v>
      </c>
      <c r="AA2887" t="s">
        <v>58</v>
      </c>
      <c r="AC2887" t="s">
        <v>58</v>
      </c>
      <c r="AE2887" t="s">
        <v>58</v>
      </c>
      <c r="AG2887" t="s">
        <v>63</v>
      </c>
      <c r="AH2887" s="11" t="str">
        <f t="shared" si="175"/>
        <v>mailto: soilterrain@victoria1.gov.bc.ca</v>
      </c>
    </row>
    <row r="2888" spans="1:34">
      <c r="A2888" t="s">
        <v>6268</v>
      </c>
      <c r="B2888" t="s">
        <v>56</v>
      </c>
      <c r="C2888" s="10" t="s">
        <v>5567</v>
      </c>
      <c r="D2888" t="s">
        <v>58</v>
      </c>
      <c r="E2888" t="s">
        <v>497</v>
      </c>
      <c r="F2888" t="s">
        <v>6257</v>
      </c>
      <c r="G2888">
        <v>25000</v>
      </c>
      <c r="H2888">
        <v>1974</v>
      </c>
      <c r="I2888" t="s">
        <v>6217</v>
      </c>
      <c r="J2888" t="s">
        <v>58</v>
      </c>
      <c r="K2888" t="s">
        <v>58</v>
      </c>
      <c r="L2888" t="s">
        <v>58</v>
      </c>
      <c r="M2888" t="s">
        <v>58</v>
      </c>
      <c r="N2888" t="s">
        <v>61</v>
      </c>
      <c r="Q2888" t="s">
        <v>58</v>
      </c>
      <c r="R2888" s="11" t="str">
        <f>HYPERLINK("\\imagefiles.bcgov\imagery\scanned_maps\moe_terrain_maps\Scanned_T_maps_all\R15\R15-1622","\\imagefiles.bcgov\imagery\scanned_maps\moe_terrain_maps\Scanned_T_maps_all\R15\R15-1622")</f>
        <v>\\imagefiles.bcgov\imagery\scanned_maps\moe_terrain_maps\Scanned_T_maps_all\R15\R15-1622</v>
      </c>
      <c r="S2888" t="s">
        <v>62</v>
      </c>
      <c r="T2888" s="11" t="str">
        <f>HYPERLINK("http://www.env.gov.bc.ca/esd/distdata/ecosystems/TEI_Scanned_Maps/R15/R15-1622","http://www.env.gov.bc.ca/esd/distdata/ecosystems/TEI_Scanned_Maps/R15/R15-1622")</f>
        <v>http://www.env.gov.bc.ca/esd/distdata/ecosystems/TEI_Scanned_Maps/R15/R15-1622</v>
      </c>
      <c r="U2888" t="s">
        <v>2490</v>
      </c>
      <c r="V2888" s="11" t="str">
        <f t="shared" si="173"/>
        <v>http://res.agr.ca/cansis/publications/surveys/bc/</v>
      </c>
      <c r="W2888" t="s">
        <v>269</v>
      </c>
      <c r="X2888" s="11" t="str">
        <f t="shared" si="174"/>
        <v>http://www.library.for.gov.bc.ca/#focus</v>
      </c>
      <c r="Y2888" t="s">
        <v>58</v>
      </c>
      <c r="Z2888" t="s">
        <v>58</v>
      </c>
      <c r="AA2888" t="s">
        <v>58</v>
      </c>
      <c r="AC2888" t="s">
        <v>58</v>
      </c>
      <c r="AE2888" t="s">
        <v>58</v>
      </c>
      <c r="AG2888" t="s">
        <v>63</v>
      </c>
      <c r="AH2888" s="11" t="str">
        <f t="shared" si="175"/>
        <v>mailto: soilterrain@victoria1.gov.bc.ca</v>
      </c>
    </row>
    <row r="2889" spans="1:34">
      <c r="A2889" t="s">
        <v>6269</v>
      </c>
      <c r="B2889" t="s">
        <v>56</v>
      </c>
      <c r="C2889" s="10" t="s">
        <v>6270</v>
      </c>
      <c r="D2889" t="s">
        <v>58</v>
      </c>
      <c r="E2889" t="s">
        <v>4176</v>
      </c>
      <c r="F2889" t="s">
        <v>6271</v>
      </c>
      <c r="G2889">
        <v>20000</v>
      </c>
      <c r="H2889">
        <v>1971</v>
      </c>
      <c r="I2889" t="s">
        <v>58</v>
      </c>
      <c r="J2889" t="s">
        <v>58</v>
      </c>
      <c r="K2889" t="s">
        <v>58</v>
      </c>
      <c r="L2889" t="s">
        <v>58</v>
      </c>
      <c r="M2889" t="s">
        <v>58</v>
      </c>
      <c r="O2889" t="s">
        <v>61</v>
      </c>
      <c r="Q2889" t="s">
        <v>58</v>
      </c>
      <c r="R2889" s="11" t="str">
        <f>HYPERLINK("\\imagefiles.bcgov\imagery\scanned_maps\moe_terrain_maps\Scanned_T_maps_all\R15\R15-395","\\imagefiles.bcgov\imagery\scanned_maps\moe_terrain_maps\Scanned_T_maps_all\R15\R15-395")</f>
        <v>\\imagefiles.bcgov\imagery\scanned_maps\moe_terrain_maps\Scanned_T_maps_all\R15\R15-395</v>
      </c>
      <c r="S2889" t="s">
        <v>62</v>
      </c>
      <c r="T2889" s="11" t="str">
        <f>HYPERLINK("http://www.env.gov.bc.ca/esd/distdata/ecosystems/TEI_Scanned_Maps/R15/R15-395","http://www.env.gov.bc.ca/esd/distdata/ecosystems/TEI_Scanned_Maps/R15/R15-395")</f>
        <v>http://www.env.gov.bc.ca/esd/distdata/ecosystems/TEI_Scanned_Maps/R15/R15-395</v>
      </c>
      <c r="U2889" t="s">
        <v>58</v>
      </c>
      <c r="V2889" t="s">
        <v>58</v>
      </c>
      <c r="W2889" t="s">
        <v>58</v>
      </c>
      <c r="X2889" t="s">
        <v>58</v>
      </c>
      <c r="Y2889" t="s">
        <v>58</v>
      </c>
      <c r="Z2889" t="s">
        <v>58</v>
      </c>
      <c r="AA2889" t="s">
        <v>58</v>
      </c>
      <c r="AC2889" t="s">
        <v>58</v>
      </c>
      <c r="AE2889" t="s">
        <v>58</v>
      </c>
      <c r="AG2889" t="s">
        <v>63</v>
      </c>
      <c r="AH2889" s="11" t="str">
        <f t="shared" si="175"/>
        <v>mailto: soilterrain@victoria1.gov.bc.ca</v>
      </c>
    </row>
    <row r="2890" spans="1:34">
      <c r="A2890" t="s">
        <v>6272</v>
      </c>
      <c r="B2890" t="s">
        <v>56</v>
      </c>
      <c r="C2890" s="10" t="s">
        <v>6273</v>
      </c>
      <c r="D2890" t="s">
        <v>58</v>
      </c>
      <c r="E2890" t="s">
        <v>4176</v>
      </c>
      <c r="F2890" t="s">
        <v>6271</v>
      </c>
      <c r="G2890">
        <v>20000</v>
      </c>
      <c r="H2890">
        <v>1969</v>
      </c>
      <c r="I2890" t="s">
        <v>58</v>
      </c>
      <c r="J2890" t="s">
        <v>58</v>
      </c>
      <c r="K2890" t="s">
        <v>58</v>
      </c>
      <c r="L2890" t="s">
        <v>58</v>
      </c>
      <c r="M2890" t="s">
        <v>58</v>
      </c>
      <c r="O2890" t="s">
        <v>61</v>
      </c>
      <c r="Q2890" t="s">
        <v>58</v>
      </c>
      <c r="R2890" s="11" t="str">
        <f>HYPERLINK("\\imagefiles.bcgov\imagery\scanned_maps\moe_terrain_maps\Scanned_T_maps_all\R15\R15-396","\\imagefiles.bcgov\imagery\scanned_maps\moe_terrain_maps\Scanned_T_maps_all\R15\R15-396")</f>
        <v>\\imagefiles.bcgov\imagery\scanned_maps\moe_terrain_maps\Scanned_T_maps_all\R15\R15-396</v>
      </c>
      <c r="S2890" t="s">
        <v>62</v>
      </c>
      <c r="T2890" s="11" t="str">
        <f>HYPERLINK("http://www.env.gov.bc.ca/esd/distdata/ecosystems/TEI_Scanned_Maps/R15/R15-396","http://www.env.gov.bc.ca/esd/distdata/ecosystems/TEI_Scanned_Maps/R15/R15-396")</f>
        <v>http://www.env.gov.bc.ca/esd/distdata/ecosystems/TEI_Scanned_Maps/R15/R15-396</v>
      </c>
      <c r="U2890" t="s">
        <v>58</v>
      </c>
      <c r="V2890" t="s">
        <v>58</v>
      </c>
      <c r="W2890" t="s">
        <v>58</v>
      </c>
      <c r="X2890" t="s">
        <v>58</v>
      </c>
      <c r="Y2890" t="s">
        <v>58</v>
      </c>
      <c r="Z2890" t="s">
        <v>58</v>
      </c>
      <c r="AA2890" t="s">
        <v>58</v>
      </c>
      <c r="AC2890" t="s">
        <v>58</v>
      </c>
      <c r="AE2890" t="s">
        <v>58</v>
      </c>
      <c r="AG2890" t="s">
        <v>63</v>
      </c>
      <c r="AH2890" s="11" t="str">
        <f t="shared" si="175"/>
        <v>mailto: soilterrain@victoria1.gov.bc.ca</v>
      </c>
    </row>
    <row r="2891" spans="1:34">
      <c r="A2891" t="s">
        <v>6274</v>
      </c>
      <c r="B2891" t="s">
        <v>56</v>
      </c>
      <c r="C2891" s="10" t="s">
        <v>2987</v>
      </c>
      <c r="D2891" t="s">
        <v>58</v>
      </c>
      <c r="E2891" t="s">
        <v>497</v>
      </c>
      <c r="F2891" t="s">
        <v>6275</v>
      </c>
      <c r="G2891">
        <v>20000</v>
      </c>
      <c r="H2891">
        <v>1976</v>
      </c>
      <c r="I2891" t="s">
        <v>58</v>
      </c>
      <c r="J2891" t="s">
        <v>58</v>
      </c>
      <c r="K2891" t="s">
        <v>58</v>
      </c>
      <c r="L2891" t="s">
        <v>58</v>
      </c>
      <c r="M2891" t="s">
        <v>58</v>
      </c>
      <c r="N2891" t="s">
        <v>61</v>
      </c>
      <c r="Q2891" t="s">
        <v>58</v>
      </c>
      <c r="R2891" s="11" t="str">
        <f>HYPERLINK("\\imagefiles.bcgov\imagery\scanned_maps\moe_terrain_maps\Scanned_T_maps_all\R16\R16-1005","\\imagefiles.bcgov\imagery\scanned_maps\moe_terrain_maps\Scanned_T_maps_all\R16\R16-1005")</f>
        <v>\\imagefiles.bcgov\imagery\scanned_maps\moe_terrain_maps\Scanned_T_maps_all\R16\R16-1005</v>
      </c>
      <c r="S2891" t="s">
        <v>62</v>
      </c>
      <c r="T2891" s="11" t="str">
        <f>HYPERLINK("http://www.env.gov.bc.ca/esd/distdata/ecosystems/TEI_Scanned_Maps/R16/R16-1005","http://www.env.gov.bc.ca/esd/distdata/ecosystems/TEI_Scanned_Maps/R16/R16-1005")</f>
        <v>http://www.env.gov.bc.ca/esd/distdata/ecosystems/TEI_Scanned_Maps/R16/R16-1005</v>
      </c>
      <c r="U2891" t="s">
        <v>58</v>
      </c>
      <c r="V2891" t="s">
        <v>58</v>
      </c>
      <c r="W2891" t="s">
        <v>58</v>
      </c>
      <c r="X2891" t="s">
        <v>58</v>
      </c>
      <c r="Y2891" t="s">
        <v>58</v>
      </c>
      <c r="Z2891" t="s">
        <v>58</v>
      </c>
      <c r="AA2891" t="s">
        <v>58</v>
      </c>
      <c r="AC2891" t="s">
        <v>58</v>
      </c>
      <c r="AE2891" t="s">
        <v>58</v>
      </c>
      <c r="AG2891" t="s">
        <v>63</v>
      </c>
      <c r="AH2891" s="11" t="str">
        <f t="shared" si="175"/>
        <v>mailto: soilterrain@victoria1.gov.bc.ca</v>
      </c>
    </row>
    <row r="2892" spans="1:34">
      <c r="A2892" t="s">
        <v>6276</v>
      </c>
      <c r="B2892" t="s">
        <v>56</v>
      </c>
      <c r="C2892" s="10" t="s">
        <v>5330</v>
      </c>
      <c r="D2892" t="s">
        <v>58</v>
      </c>
      <c r="E2892" t="s">
        <v>497</v>
      </c>
      <c r="F2892" t="s">
        <v>6275</v>
      </c>
      <c r="G2892">
        <v>20000</v>
      </c>
      <c r="H2892">
        <v>1969</v>
      </c>
      <c r="I2892" t="s">
        <v>58</v>
      </c>
      <c r="J2892" t="s">
        <v>58</v>
      </c>
      <c r="K2892" t="s">
        <v>58</v>
      </c>
      <c r="L2892" t="s">
        <v>58</v>
      </c>
      <c r="M2892" t="s">
        <v>58</v>
      </c>
      <c r="N2892" t="s">
        <v>61</v>
      </c>
      <c r="Q2892" t="s">
        <v>58</v>
      </c>
      <c r="R2892" s="11" t="str">
        <f>HYPERLINK("\\imagefiles.bcgov\imagery\scanned_maps\moe_terrain_maps\Scanned_T_maps_all\R16\R16-1014","\\imagefiles.bcgov\imagery\scanned_maps\moe_terrain_maps\Scanned_T_maps_all\R16\R16-1014")</f>
        <v>\\imagefiles.bcgov\imagery\scanned_maps\moe_terrain_maps\Scanned_T_maps_all\R16\R16-1014</v>
      </c>
      <c r="S2892" t="s">
        <v>62</v>
      </c>
      <c r="T2892" s="11" t="str">
        <f>HYPERLINK("http://www.env.gov.bc.ca/esd/distdata/ecosystems/TEI_Scanned_Maps/R16/R16-1014","http://www.env.gov.bc.ca/esd/distdata/ecosystems/TEI_Scanned_Maps/R16/R16-1014")</f>
        <v>http://www.env.gov.bc.ca/esd/distdata/ecosystems/TEI_Scanned_Maps/R16/R16-1014</v>
      </c>
      <c r="U2892" t="s">
        <v>58</v>
      </c>
      <c r="V2892" t="s">
        <v>58</v>
      </c>
      <c r="W2892" t="s">
        <v>58</v>
      </c>
      <c r="X2892" t="s">
        <v>58</v>
      </c>
      <c r="Y2892" t="s">
        <v>58</v>
      </c>
      <c r="Z2892" t="s">
        <v>58</v>
      </c>
      <c r="AA2892" t="s">
        <v>58</v>
      </c>
      <c r="AC2892" t="s">
        <v>58</v>
      </c>
      <c r="AE2892" t="s">
        <v>58</v>
      </c>
      <c r="AG2892" t="s">
        <v>63</v>
      </c>
      <c r="AH2892" s="11" t="str">
        <f t="shared" si="175"/>
        <v>mailto: soilterrain@victoria1.gov.bc.ca</v>
      </c>
    </row>
    <row r="2893" spans="1:34">
      <c r="A2893" t="s">
        <v>6277</v>
      </c>
      <c r="B2893" t="s">
        <v>56</v>
      </c>
      <c r="C2893" s="10" t="s">
        <v>5332</v>
      </c>
      <c r="D2893" t="s">
        <v>58</v>
      </c>
      <c r="E2893" t="s">
        <v>497</v>
      </c>
      <c r="F2893" t="s">
        <v>6275</v>
      </c>
      <c r="G2893">
        <v>20000</v>
      </c>
      <c r="H2893">
        <v>1976</v>
      </c>
      <c r="I2893" t="s">
        <v>58</v>
      </c>
      <c r="J2893" t="s">
        <v>58</v>
      </c>
      <c r="K2893" t="s">
        <v>58</v>
      </c>
      <c r="L2893" t="s">
        <v>58</v>
      </c>
      <c r="M2893" t="s">
        <v>58</v>
      </c>
      <c r="N2893" t="s">
        <v>61</v>
      </c>
      <c r="Q2893" t="s">
        <v>58</v>
      </c>
      <c r="R2893" s="11" t="str">
        <f>HYPERLINK("\\imagefiles.bcgov\imagery\scanned_maps\moe_terrain_maps\Scanned_T_maps_all\R16\R16-1023","\\imagefiles.bcgov\imagery\scanned_maps\moe_terrain_maps\Scanned_T_maps_all\R16\R16-1023")</f>
        <v>\\imagefiles.bcgov\imagery\scanned_maps\moe_terrain_maps\Scanned_T_maps_all\R16\R16-1023</v>
      </c>
      <c r="S2893" t="s">
        <v>62</v>
      </c>
      <c r="T2893" s="11" t="str">
        <f>HYPERLINK("http://www.env.gov.bc.ca/esd/distdata/ecosystems/TEI_Scanned_Maps/R16/R16-1023","http://www.env.gov.bc.ca/esd/distdata/ecosystems/TEI_Scanned_Maps/R16/R16-1023")</f>
        <v>http://www.env.gov.bc.ca/esd/distdata/ecosystems/TEI_Scanned_Maps/R16/R16-1023</v>
      </c>
      <c r="U2893" t="s">
        <v>58</v>
      </c>
      <c r="V2893" t="s">
        <v>58</v>
      </c>
      <c r="W2893" t="s">
        <v>58</v>
      </c>
      <c r="X2893" t="s">
        <v>58</v>
      </c>
      <c r="Y2893" t="s">
        <v>58</v>
      </c>
      <c r="Z2893" t="s">
        <v>58</v>
      </c>
      <c r="AA2893" t="s">
        <v>58</v>
      </c>
      <c r="AC2893" t="s">
        <v>58</v>
      </c>
      <c r="AE2893" t="s">
        <v>58</v>
      </c>
      <c r="AG2893" t="s">
        <v>63</v>
      </c>
      <c r="AH2893" s="11" t="str">
        <f t="shared" si="175"/>
        <v>mailto: soilterrain@victoria1.gov.bc.ca</v>
      </c>
    </row>
    <row r="2894" spans="1:34">
      <c r="A2894" t="s">
        <v>6278</v>
      </c>
      <c r="B2894" t="s">
        <v>56</v>
      </c>
      <c r="C2894" s="10" t="s">
        <v>5258</v>
      </c>
      <c r="D2894" t="s">
        <v>58</v>
      </c>
      <c r="E2894" t="s">
        <v>497</v>
      </c>
      <c r="F2894" t="s">
        <v>6275</v>
      </c>
      <c r="G2894">
        <v>20000</v>
      </c>
      <c r="H2894">
        <v>1969</v>
      </c>
      <c r="I2894" t="s">
        <v>58</v>
      </c>
      <c r="J2894" t="s">
        <v>58</v>
      </c>
      <c r="K2894" t="s">
        <v>58</v>
      </c>
      <c r="L2894" t="s">
        <v>58</v>
      </c>
      <c r="M2894" t="s">
        <v>58</v>
      </c>
      <c r="N2894" t="s">
        <v>61</v>
      </c>
      <c r="Q2894" t="s">
        <v>58</v>
      </c>
      <c r="R2894" s="11" t="str">
        <f>HYPERLINK("\\imagefiles.bcgov\imagery\scanned_maps\moe_terrain_maps\Scanned_T_maps_all\R16\R16-1032","\\imagefiles.bcgov\imagery\scanned_maps\moe_terrain_maps\Scanned_T_maps_all\R16\R16-1032")</f>
        <v>\\imagefiles.bcgov\imagery\scanned_maps\moe_terrain_maps\Scanned_T_maps_all\R16\R16-1032</v>
      </c>
      <c r="S2894" t="s">
        <v>62</v>
      </c>
      <c r="T2894" s="11" t="str">
        <f>HYPERLINK("http://www.env.gov.bc.ca/esd/distdata/ecosystems/TEI_Scanned_Maps/R16/R16-1032","http://www.env.gov.bc.ca/esd/distdata/ecosystems/TEI_Scanned_Maps/R16/R16-1032")</f>
        <v>http://www.env.gov.bc.ca/esd/distdata/ecosystems/TEI_Scanned_Maps/R16/R16-1032</v>
      </c>
      <c r="U2894" t="s">
        <v>58</v>
      </c>
      <c r="V2894" t="s">
        <v>58</v>
      </c>
      <c r="W2894" t="s">
        <v>58</v>
      </c>
      <c r="X2894" t="s">
        <v>58</v>
      </c>
      <c r="Y2894" t="s">
        <v>58</v>
      </c>
      <c r="Z2894" t="s">
        <v>58</v>
      </c>
      <c r="AA2894" t="s">
        <v>58</v>
      </c>
      <c r="AC2894" t="s">
        <v>58</v>
      </c>
      <c r="AE2894" t="s">
        <v>58</v>
      </c>
      <c r="AG2894" t="s">
        <v>63</v>
      </c>
      <c r="AH2894" s="11" t="str">
        <f t="shared" si="175"/>
        <v>mailto: soilterrain@victoria1.gov.bc.ca</v>
      </c>
    </row>
    <row r="2895" spans="1:34">
      <c r="A2895" t="s">
        <v>6279</v>
      </c>
      <c r="B2895" t="s">
        <v>56</v>
      </c>
      <c r="C2895" s="10" t="s">
        <v>5335</v>
      </c>
      <c r="D2895" t="s">
        <v>58</v>
      </c>
      <c r="E2895" t="s">
        <v>497</v>
      </c>
      <c r="F2895" t="s">
        <v>6275</v>
      </c>
      <c r="G2895">
        <v>20000</v>
      </c>
      <c r="H2895">
        <v>1976</v>
      </c>
      <c r="I2895" t="s">
        <v>58</v>
      </c>
      <c r="J2895" t="s">
        <v>58</v>
      </c>
      <c r="K2895" t="s">
        <v>58</v>
      </c>
      <c r="L2895" t="s">
        <v>58</v>
      </c>
      <c r="M2895" t="s">
        <v>58</v>
      </c>
      <c r="N2895" t="s">
        <v>61</v>
      </c>
      <c r="Q2895" t="s">
        <v>58</v>
      </c>
      <c r="R2895" s="11" t="str">
        <f>HYPERLINK("\\imagefiles.bcgov\imagery\scanned_maps\moe_terrain_maps\Scanned_T_maps_all\R16\R16-1040","\\imagefiles.bcgov\imagery\scanned_maps\moe_terrain_maps\Scanned_T_maps_all\R16\R16-1040")</f>
        <v>\\imagefiles.bcgov\imagery\scanned_maps\moe_terrain_maps\Scanned_T_maps_all\R16\R16-1040</v>
      </c>
      <c r="S2895" t="s">
        <v>62</v>
      </c>
      <c r="T2895" s="11" t="str">
        <f>HYPERLINK("http://www.env.gov.bc.ca/esd/distdata/ecosystems/TEI_Scanned_Maps/R16/R16-1040","http://www.env.gov.bc.ca/esd/distdata/ecosystems/TEI_Scanned_Maps/R16/R16-1040")</f>
        <v>http://www.env.gov.bc.ca/esd/distdata/ecosystems/TEI_Scanned_Maps/R16/R16-1040</v>
      </c>
      <c r="U2895" t="s">
        <v>58</v>
      </c>
      <c r="V2895" t="s">
        <v>58</v>
      </c>
      <c r="W2895" t="s">
        <v>58</v>
      </c>
      <c r="X2895" t="s">
        <v>58</v>
      </c>
      <c r="Y2895" t="s">
        <v>58</v>
      </c>
      <c r="Z2895" t="s">
        <v>58</v>
      </c>
      <c r="AA2895" t="s">
        <v>58</v>
      </c>
      <c r="AC2895" t="s">
        <v>58</v>
      </c>
      <c r="AE2895" t="s">
        <v>58</v>
      </c>
      <c r="AG2895" t="s">
        <v>63</v>
      </c>
      <c r="AH2895" s="11" t="str">
        <f t="shared" si="175"/>
        <v>mailto: soilterrain@victoria1.gov.bc.ca</v>
      </c>
    </row>
    <row r="2896" spans="1:34">
      <c r="A2896" t="s">
        <v>6280</v>
      </c>
      <c r="B2896" t="s">
        <v>56</v>
      </c>
      <c r="C2896" s="10" t="s">
        <v>5027</v>
      </c>
      <c r="D2896" t="s">
        <v>58</v>
      </c>
      <c r="E2896" t="s">
        <v>497</v>
      </c>
      <c r="F2896" t="s">
        <v>6275</v>
      </c>
      <c r="G2896">
        <v>20000</v>
      </c>
      <c r="H2896">
        <v>1969</v>
      </c>
      <c r="I2896" t="s">
        <v>58</v>
      </c>
      <c r="J2896" t="s">
        <v>58</v>
      </c>
      <c r="K2896" t="s">
        <v>58</v>
      </c>
      <c r="L2896" t="s">
        <v>58</v>
      </c>
      <c r="M2896" t="s">
        <v>58</v>
      </c>
      <c r="N2896" t="s">
        <v>61</v>
      </c>
      <c r="Q2896" t="s">
        <v>58</v>
      </c>
      <c r="R2896" s="11" t="str">
        <f>HYPERLINK("\\imagefiles.bcgov\imagery\scanned_maps\moe_terrain_maps\Scanned_T_maps_all\R16\R16-1048","\\imagefiles.bcgov\imagery\scanned_maps\moe_terrain_maps\Scanned_T_maps_all\R16\R16-1048")</f>
        <v>\\imagefiles.bcgov\imagery\scanned_maps\moe_terrain_maps\Scanned_T_maps_all\R16\R16-1048</v>
      </c>
      <c r="S2896" t="s">
        <v>62</v>
      </c>
      <c r="T2896" s="11" t="str">
        <f>HYPERLINK("http://www.env.gov.bc.ca/esd/distdata/ecosystems/TEI_Scanned_Maps/R16/R16-1048","http://www.env.gov.bc.ca/esd/distdata/ecosystems/TEI_Scanned_Maps/R16/R16-1048")</f>
        <v>http://www.env.gov.bc.ca/esd/distdata/ecosystems/TEI_Scanned_Maps/R16/R16-1048</v>
      </c>
      <c r="U2896" t="s">
        <v>58</v>
      </c>
      <c r="V2896" t="s">
        <v>58</v>
      </c>
      <c r="W2896" t="s">
        <v>58</v>
      </c>
      <c r="X2896" t="s">
        <v>58</v>
      </c>
      <c r="Y2896" t="s">
        <v>58</v>
      </c>
      <c r="Z2896" t="s">
        <v>58</v>
      </c>
      <c r="AA2896" t="s">
        <v>58</v>
      </c>
      <c r="AC2896" t="s">
        <v>58</v>
      </c>
      <c r="AE2896" t="s">
        <v>58</v>
      </c>
      <c r="AG2896" t="s">
        <v>63</v>
      </c>
      <c r="AH2896" s="11" t="str">
        <f t="shared" si="175"/>
        <v>mailto: soilterrain@victoria1.gov.bc.ca</v>
      </c>
    </row>
    <row r="2897" spans="1:34">
      <c r="A2897" t="s">
        <v>6281</v>
      </c>
      <c r="B2897" t="s">
        <v>56</v>
      </c>
      <c r="C2897" s="10" t="s">
        <v>5338</v>
      </c>
      <c r="D2897" t="s">
        <v>58</v>
      </c>
      <c r="E2897" t="s">
        <v>497</v>
      </c>
      <c r="F2897" t="s">
        <v>6275</v>
      </c>
      <c r="G2897">
        <v>20000</v>
      </c>
      <c r="H2897">
        <v>1976</v>
      </c>
      <c r="I2897" t="s">
        <v>58</v>
      </c>
      <c r="J2897" t="s">
        <v>58</v>
      </c>
      <c r="K2897" t="s">
        <v>58</v>
      </c>
      <c r="L2897" t="s">
        <v>58</v>
      </c>
      <c r="M2897" t="s">
        <v>58</v>
      </c>
      <c r="N2897" t="s">
        <v>61</v>
      </c>
      <c r="Q2897" t="s">
        <v>58</v>
      </c>
      <c r="R2897" s="11" t="str">
        <f>HYPERLINK("\\imagefiles.bcgov\imagery\scanned_maps\moe_terrain_maps\Scanned_T_maps_all\R16\R16-1116","\\imagefiles.bcgov\imagery\scanned_maps\moe_terrain_maps\Scanned_T_maps_all\R16\R16-1116")</f>
        <v>\\imagefiles.bcgov\imagery\scanned_maps\moe_terrain_maps\Scanned_T_maps_all\R16\R16-1116</v>
      </c>
      <c r="S2897" t="s">
        <v>62</v>
      </c>
      <c r="T2897" s="11" t="str">
        <f>HYPERLINK("http://www.env.gov.bc.ca/esd/distdata/ecosystems/TEI_Scanned_Maps/R16/R16-1116","http://www.env.gov.bc.ca/esd/distdata/ecosystems/TEI_Scanned_Maps/R16/R16-1116")</f>
        <v>http://www.env.gov.bc.ca/esd/distdata/ecosystems/TEI_Scanned_Maps/R16/R16-1116</v>
      </c>
      <c r="U2897" t="s">
        <v>58</v>
      </c>
      <c r="V2897" t="s">
        <v>58</v>
      </c>
      <c r="W2897" t="s">
        <v>58</v>
      </c>
      <c r="X2897" t="s">
        <v>58</v>
      </c>
      <c r="Y2897" t="s">
        <v>58</v>
      </c>
      <c r="Z2897" t="s">
        <v>58</v>
      </c>
      <c r="AA2897" t="s">
        <v>58</v>
      </c>
      <c r="AC2897" t="s">
        <v>58</v>
      </c>
      <c r="AE2897" t="s">
        <v>58</v>
      </c>
      <c r="AG2897" t="s">
        <v>63</v>
      </c>
      <c r="AH2897" s="11" t="str">
        <f t="shared" si="175"/>
        <v>mailto: soilterrain@victoria1.gov.bc.ca</v>
      </c>
    </row>
    <row r="2898" spans="1:34">
      <c r="A2898" t="s">
        <v>6282</v>
      </c>
      <c r="B2898" t="s">
        <v>56</v>
      </c>
      <c r="C2898" s="10" t="s">
        <v>5340</v>
      </c>
      <c r="D2898" t="s">
        <v>58</v>
      </c>
      <c r="E2898" t="s">
        <v>497</v>
      </c>
      <c r="F2898" t="s">
        <v>6275</v>
      </c>
      <c r="G2898">
        <v>20000</v>
      </c>
      <c r="H2898">
        <v>1969</v>
      </c>
      <c r="I2898" t="s">
        <v>58</v>
      </c>
      <c r="J2898" t="s">
        <v>58</v>
      </c>
      <c r="K2898" t="s">
        <v>58</v>
      </c>
      <c r="L2898" t="s">
        <v>58</v>
      </c>
      <c r="M2898" t="s">
        <v>58</v>
      </c>
      <c r="N2898" t="s">
        <v>61</v>
      </c>
      <c r="Q2898" t="s">
        <v>58</v>
      </c>
      <c r="R2898" s="11" t="str">
        <f>HYPERLINK("\\imagefiles.bcgov\imagery\scanned_maps\moe_terrain_maps\Scanned_T_maps_all\R16\R16-1124","\\imagefiles.bcgov\imagery\scanned_maps\moe_terrain_maps\Scanned_T_maps_all\R16\R16-1124")</f>
        <v>\\imagefiles.bcgov\imagery\scanned_maps\moe_terrain_maps\Scanned_T_maps_all\R16\R16-1124</v>
      </c>
      <c r="S2898" t="s">
        <v>62</v>
      </c>
      <c r="T2898" s="11" t="str">
        <f>HYPERLINK("http://www.env.gov.bc.ca/esd/distdata/ecosystems/TEI_Scanned_Maps/R16/R16-1124","http://www.env.gov.bc.ca/esd/distdata/ecosystems/TEI_Scanned_Maps/R16/R16-1124")</f>
        <v>http://www.env.gov.bc.ca/esd/distdata/ecosystems/TEI_Scanned_Maps/R16/R16-1124</v>
      </c>
      <c r="U2898" t="s">
        <v>58</v>
      </c>
      <c r="V2898" t="s">
        <v>58</v>
      </c>
      <c r="W2898" t="s">
        <v>58</v>
      </c>
      <c r="X2898" t="s">
        <v>58</v>
      </c>
      <c r="Y2898" t="s">
        <v>58</v>
      </c>
      <c r="Z2898" t="s">
        <v>58</v>
      </c>
      <c r="AA2898" t="s">
        <v>58</v>
      </c>
      <c r="AC2898" t="s">
        <v>58</v>
      </c>
      <c r="AE2898" t="s">
        <v>58</v>
      </c>
      <c r="AG2898" t="s">
        <v>63</v>
      </c>
      <c r="AH2898" s="11" t="str">
        <f t="shared" si="175"/>
        <v>mailto: soilterrain@victoria1.gov.bc.ca</v>
      </c>
    </row>
    <row r="2899" spans="1:34">
      <c r="A2899" t="s">
        <v>6283</v>
      </c>
      <c r="B2899" t="s">
        <v>56</v>
      </c>
      <c r="C2899" s="10" t="s">
        <v>5342</v>
      </c>
      <c r="D2899" t="s">
        <v>58</v>
      </c>
      <c r="E2899" t="s">
        <v>497</v>
      </c>
      <c r="F2899" t="s">
        <v>6275</v>
      </c>
      <c r="G2899">
        <v>20000</v>
      </c>
      <c r="H2899">
        <v>1976</v>
      </c>
      <c r="I2899" t="s">
        <v>58</v>
      </c>
      <c r="J2899" t="s">
        <v>58</v>
      </c>
      <c r="K2899" t="s">
        <v>58</v>
      </c>
      <c r="L2899" t="s">
        <v>58</v>
      </c>
      <c r="M2899" t="s">
        <v>58</v>
      </c>
      <c r="N2899" t="s">
        <v>61</v>
      </c>
      <c r="Q2899" t="s">
        <v>58</v>
      </c>
      <c r="R2899" s="11" t="str">
        <f>HYPERLINK("\\imagefiles.bcgov\imagery\scanned_maps\moe_terrain_maps\Scanned_T_maps_all\R16\R16-1132","\\imagefiles.bcgov\imagery\scanned_maps\moe_terrain_maps\Scanned_T_maps_all\R16\R16-1132")</f>
        <v>\\imagefiles.bcgov\imagery\scanned_maps\moe_terrain_maps\Scanned_T_maps_all\R16\R16-1132</v>
      </c>
      <c r="S2899" t="s">
        <v>62</v>
      </c>
      <c r="T2899" s="11" t="str">
        <f>HYPERLINK("http://www.env.gov.bc.ca/esd/distdata/ecosystems/TEI_Scanned_Maps/R16/R16-1132","http://www.env.gov.bc.ca/esd/distdata/ecosystems/TEI_Scanned_Maps/R16/R16-1132")</f>
        <v>http://www.env.gov.bc.ca/esd/distdata/ecosystems/TEI_Scanned_Maps/R16/R16-1132</v>
      </c>
      <c r="U2899" t="s">
        <v>58</v>
      </c>
      <c r="V2899" t="s">
        <v>58</v>
      </c>
      <c r="W2899" t="s">
        <v>58</v>
      </c>
      <c r="X2899" t="s">
        <v>58</v>
      </c>
      <c r="Y2899" t="s">
        <v>58</v>
      </c>
      <c r="Z2899" t="s">
        <v>58</v>
      </c>
      <c r="AA2899" t="s">
        <v>58</v>
      </c>
      <c r="AC2899" t="s">
        <v>58</v>
      </c>
      <c r="AE2899" t="s">
        <v>58</v>
      </c>
      <c r="AG2899" t="s">
        <v>63</v>
      </c>
      <c r="AH2899" s="11" t="str">
        <f t="shared" si="175"/>
        <v>mailto: soilterrain@victoria1.gov.bc.ca</v>
      </c>
    </row>
    <row r="2900" spans="1:34">
      <c r="A2900" t="s">
        <v>6284</v>
      </c>
      <c r="B2900" t="s">
        <v>56</v>
      </c>
      <c r="C2900" s="10" t="s">
        <v>5344</v>
      </c>
      <c r="D2900" t="s">
        <v>58</v>
      </c>
      <c r="E2900" t="s">
        <v>497</v>
      </c>
      <c r="F2900" t="s">
        <v>6275</v>
      </c>
      <c r="G2900">
        <v>20000</v>
      </c>
      <c r="H2900">
        <v>1969</v>
      </c>
      <c r="I2900" t="s">
        <v>58</v>
      </c>
      <c r="J2900" t="s">
        <v>58</v>
      </c>
      <c r="K2900" t="s">
        <v>58</v>
      </c>
      <c r="L2900" t="s">
        <v>58</v>
      </c>
      <c r="M2900" t="s">
        <v>58</v>
      </c>
      <c r="N2900" t="s">
        <v>61</v>
      </c>
      <c r="Q2900" t="s">
        <v>58</v>
      </c>
      <c r="R2900" s="11" t="str">
        <f>HYPERLINK("\\imagefiles.bcgov\imagery\scanned_maps\moe_terrain_maps\Scanned_T_maps_all\R16\R16-1142","\\imagefiles.bcgov\imagery\scanned_maps\moe_terrain_maps\Scanned_T_maps_all\R16\R16-1142")</f>
        <v>\\imagefiles.bcgov\imagery\scanned_maps\moe_terrain_maps\Scanned_T_maps_all\R16\R16-1142</v>
      </c>
      <c r="S2900" t="s">
        <v>62</v>
      </c>
      <c r="T2900" s="11" t="str">
        <f>HYPERLINK("http://www.env.gov.bc.ca/esd/distdata/ecosystems/TEI_Scanned_Maps/R16/R16-1142","http://www.env.gov.bc.ca/esd/distdata/ecosystems/TEI_Scanned_Maps/R16/R16-1142")</f>
        <v>http://www.env.gov.bc.ca/esd/distdata/ecosystems/TEI_Scanned_Maps/R16/R16-1142</v>
      </c>
      <c r="U2900" t="s">
        <v>58</v>
      </c>
      <c r="V2900" t="s">
        <v>58</v>
      </c>
      <c r="W2900" t="s">
        <v>58</v>
      </c>
      <c r="X2900" t="s">
        <v>58</v>
      </c>
      <c r="Y2900" t="s">
        <v>58</v>
      </c>
      <c r="Z2900" t="s">
        <v>58</v>
      </c>
      <c r="AA2900" t="s">
        <v>58</v>
      </c>
      <c r="AC2900" t="s">
        <v>58</v>
      </c>
      <c r="AE2900" t="s">
        <v>58</v>
      </c>
      <c r="AG2900" t="s">
        <v>63</v>
      </c>
      <c r="AH2900" s="11" t="str">
        <f t="shared" si="175"/>
        <v>mailto: soilterrain@victoria1.gov.bc.ca</v>
      </c>
    </row>
    <row r="2901" spans="1:34">
      <c r="A2901" t="s">
        <v>6285</v>
      </c>
      <c r="B2901" t="s">
        <v>56</v>
      </c>
      <c r="C2901" s="10" t="s">
        <v>5346</v>
      </c>
      <c r="D2901" t="s">
        <v>58</v>
      </c>
      <c r="E2901" t="s">
        <v>497</v>
      </c>
      <c r="F2901" t="s">
        <v>6275</v>
      </c>
      <c r="G2901">
        <v>20000</v>
      </c>
      <c r="H2901">
        <v>1976</v>
      </c>
      <c r="I2901" t="s">
        <v>58</v>
      </c>
      <c r="J2901" t="s">
        <v>58</v>
      </c>
      <c r="K2901" t="s">
        <v>58</v>
      </c>
      <c r="L2901" t="s">
        <v>58</v>
      </c>
      <c r="M2901" t="s">
        <v>58</v>
      </c>
      <c r="N2901" t="s">
        <v>61</v>
      </c>
      <c r="Q2901" t="s">
        <v>58</v>
      </c>
      <c r="R2901" s="11" t="str">
        <f>HYPERLINK("\\imagefiles.bcgov\imagery\scanned_maps\moe_terrain_maps\Scanned_T_maps_all\R16\R16-1151","\\imagefiles.bcgov\imagery\scanned_maps\moe_terrain_maps\Scanned_T_maps_all\R16\R16-1151")</f>
        <v>\\imagefiles.bcgov\imagery\scanned_maps\moe_terrain_maps\Scanned_T_maps_all\R16\R16-1151</v>
      </c>
      <c r="S2901" t="s">
        <v>62</v>
      </c>
      <c r="T2901" s="11" t="str">
        <f>HYPERLINK("http://www.env.gov.bc.ca/esd/distdata/ecosystems/TEI_Scanned_Maps/R16/R16-1151","http://www.env.gov.bc.ca/esd/distdata/ecosystems/TEI_Scanned_Maps/R16/R16-1151")</f>
        <v>http://www.env.gov.bc.ca/esd/distdata/ecosystems/TEI_Scanned_Maps/R16/R16-1151</v>
      </c>
      <c r="U2901" t="s">
        <v>58</v>
      </c>
      <c r="V2901" t="s">
        <v>58</v>
      </c>
      <c r="W2901" t="s">
        <v>58</v>
      </c>
      <c r="X2901" t="s">
        <v>58</v>
      </c>
      <c r="Y2901" t="s">
        <v>58</v>
      </c>
      <c r="Z2901" t="s">
        <v>58</v>
      </c>
      <c r="AA2901" t="s">
        <v>58</v>
      </c>
      <c r="AC2901" t="s">
        <v>58</v>
      </c>
      <c r="AE2901" t="s">
        <v>58</v>
      </c>
      <c r="AG2901" t="s">
        <v>63</v>
      </c>
      <c r="AH2901" s="11" t="str">
        <f t="shared" si="175"/>
        <v>mailto: soilterrain@victoria1.gov.bc.ca</v>
      </c>
    </row>
    <row r="2902" spans="1:34">
      <c r="A2902" t="s">
        <v>6286</v>
      </c>
      <c r="B2902" t="s">
        <v>56</v>
      </c>
      <c r="C2902" s="10" t="s">
        <v>5348</v>
      </c>
      <c r="D2902" t="s">
        <v>58</v>
      </c>
      <c r="E2902" t="s">
        <v>497</v>
      </c>
      <c r="F2902" t="s">
        <v>6275</v>
      </c>
      <c r="G2902">
        <v>20000</v>
      </c>
      <c r="H2902">
        <v>1977</v>
      </c>
      <c r="I2902" t="s">
        <v>58</v>
      </c>
      <c r="J2902" t="s">
        <v>58</v>
      </c>
      <c r="K2902" t="s">
        <v>58</v>
      </c>
      <c r="L2902" t="s">
        <v>58</v>
      </c>
      <c r="M2902" t="s">
        <v>58</v>
      </c>
      <c r="N2902" t="s">
        <v>61</v>
      </c>
      <c r="Q2902" t="s">
        <v>58</v>
      </c>
      <c r="R2902" s="11" t="str">
        <f>HYPERLINK("\\imagefiles.bcgov\imagery\scanned_maps\moe_terrain_maps\Scanned_T_maps_all\R16\R16-1160","\\imagefiles.bcgov\imagery\scanned_maps\moe_terrain_maps\Scanned_T_maps_all\R16\R16-1160")</f>
        <v>\\imagefiles.bcgov\imagery\scanned_maps\moe_terrain_maps\Scanned_T_maps_all\R16\R16-1160</v>
      </c>
      <c r="S2902" t="s">
        <v>62</v>
      </c>
      <c r="T2902" s="11" t="str">
        <f>HYPERLINK("http://www.env.gov.bc.ca/esd/distdata/ecosystems/TEI_Scanned_Maps/R16/R16-1160","http://www.env.gov.bc.ca/esd/distdata/ecosystems/TEI_Scanned_Maps/R16/R16-1160")</f>
        <v>http://www.env.gov.bc.ca/esd/distdata/ecosystems/TEI_Scanned_Maps/R16/R16-1160</v>
      </c>
      <c r="U2902" t="s">
        <v>58</v>
      </c>
      <c r="V2902" t="s">
        <v>58</v>
      </c>
      <c r="W2902" t="s">
        <v>58</v>
      </c>
      <c r="X2902" t="s">
        <v>58</v>
      </c>
      <c r="Y2902" t="s">
        <v>58</v>
      </c>
      <c r="Z2902" t="s">
        <v>58</v>
      </c>
      <c r="AA2902" t="s">
        <v>58</v>
      </c>
      <c r="AC2902" t="s">
        <v>58</v>
      </c>
      <c r="AE2902" t="s">
        <v>58</v>
      </c>
      <c r="AG2902" t="s">
        <v>63</v>
      </c>
      <c r="AH2902" s="11" t="str">
        <f t="shared" si="175"/>
        <v>mailto: soilterrain@victoria1.gov.bc.ca</v>
      </c>
    </row>
    <row r="2903" spans="1:34">
      <c r="A2903" t="s">
        <v>6287</v>
      </c>
      <c r="B2903" t="s">
        <v>56</v>
      </c>
      <c r="C2903" s="10" t="s">
        <v>5350</v>
      </c>
      <c r="D2903" t="s">
        <v>58</v>
      </c>
      <c r="E2903" t="s">
        <v>497</v>
      </c>
      <c r="F2903" t="s">
        <v>6275</v>
      </c>
      <c r="G2903">
        <v>20000</v>
      </c>
      <c r="H2903" t="s">
        <v>187</v>
      </c>
      <c r="I2903" t="s">
        <v>58</v>
      </c>
      <c r="J2903" t="s">
        <v>58</v>
      </c>
      <c r="K2903" t="s">
        <v>58</v>
      </c>
      <c r="L2903" t="s">
        <v>58</v>
      </c>
      <c r="M2903" t="s">
        <v>58</v>
      </c>
      <c r="N2903" t="s">
        <v>61</v>
      </c>
      <c r="Q2903" t="s">
        <v>58</v>
      </c>
      <c r="R2903" s="11" t="str">
        <f>HYPERLINK("\\imagefiles.bcgov\imagery\scanned_maps\moe_terrain_maps\Scanned_T_maps_all\R16\R16-1168","\\imagefiles.bcgov\imagery\scanned_maps\moe_terrain_maps\Scanned_T_maps_all\R16\R16-1168")</f>
        <v>\\imagefiles.bcgov\imagery\scanned_maps\moe_terrain_maps\Scanned_T_maps_all\R16\R16-1168</v>
      </c>
      <c r="S2903" t="s">
        <v>62</v>
      </c>
      <c r="T2903" s="11" t="str">
        <f>HYPERLINK("http://www.env.gov.bc.ca/esd/distdata/ecosystems/TEI_Scanned_Maps/R16/R16-1168","http://www.env.gov.bc.ca/esd/distdata/ecosystems/TEI_Scanned_Maps/R16/R16-1168")</f>
        <v>http://www.env.gov.bc.ca/esd/distdata/ecosystems/TEI_Scanned_Maps/R16/R16-1168</v>
      </c>
      <c r="U2903" t="s">
        <v>58</v>
      </c>
      <c r="V2903" t="s">
        <v>58</v>
      </c>
      <c r="W2903" t="s">
        <v>58</v>
      </c>
      <c r="X2903" t="s">
        <v>58</v>
      </c>
      <c r="Y2903" t="s">
        <v>58</v>
      </c>
      <c r="Z2903" t="s">
        <v>58</v>
      </c>
      <c r="AA2903" t="s">
        <v>58</v>
      </c>
      <c r="AC2903" t="s">
        <v>58</v>
      </c>
      <c r="AE2903" t="s">
        <v>58</v>
      </c>
      <c r="AG2903" t="s">
        <v>63</v>
      </c>
      <c r="AH2903" s="11" t="str">
        <f t="shared" si="175"/>
        <v>mailto: soilterrain@victoria1.gov.bc.ca</v>
      </c>
    </row>
    <row r="2904" spans="1:34">
      <c r="A2904" t="s">
        <v>6288</v>
      </c>
      <c r="B2904" t="s">
        <v>56</v>
      </c>
      <c r="C2904" s="10" t="s">
        <v>5352</v>
      </c>
      <c r="D2904" t="s">
        <v>58</v>
      </c>
      <c r="E2904" t="s">
        <v>497</v>
      </c>
      <c r="F2904" t="s">
        <v>6275</v>
      </c>
      <c r="G2904">
        <v>20000</v>
      </c>
      <c r="H2904" t="s">
        <v>187</v>
      </c>
      <c r="I2904" t="s">
        <v>58</v>
      </c>
      <c r="J2904" t="s">
        <v>58</v>
      </c>
      <c r="K2904" t="s">
        <v>58</v>
      </c>
      <c r="L2904" t="s">
        <v>58</v>
      </c>
      <c r="M2904" t="s">
        <v>58</v>
      </c>
      <c r="N2904" t="s">
        <v>61</v>
      </c>
      <c r="Q2904" t="s">
        <v>58</v>
      </c>
      <c r="R2904" s="11" t="str">
        <f>HYPERLINK("\\imagefiles.bcgov\imagery\scanned_maps\moe_terrain_maps\Scanned_T_maps_all\R16\R16-1176","\\imagefiles.bcgov\imagery\scanned_maps\moe_terrain_maps\Scanned_T_maps_all\R16\R16-1176")</f>
        <v>\\imagefiles.bcgov\imagery\scanned_maps\moe_terrain_maps\Scanned_T_maps_all\R16\R16-1176</v>
      </c>
      <c r="S2904" t="s">
        <v>62</v>
      </c>
      <c r="T2904" s="11" t="str">
        <f>HYPERLINK("http://www.env.gov.bc.ca/esd/distdata/ecosystems/TEI_Scanned_Maps/R16/R16-1176","http://www.env.gov.bc.ca/esd/distdata/ecosystems/TEI_Scanned_Maps/R16/R16-1176")</f>
        <v>http://www.env.gov.bc.ca/esd/distdata/ecosystems/TEI_Scanned_Maps/R16/R16-1176</v>
      </c>
      <c r="U2904" t="s">
        <v>58</v>
      </c>
      <c r="V2904" t="s">
        <v>58</v>
      </c>
      <c r="W2904" t="s">
        <v>58</v>
      </c>
      <c r="X2904" t="s">
        <v>58</v>
      </c>
      <c r="Y2904" t="s">
        <v>58</v>
      </c>
      <c r="Z2904" t="s">
        <v>58</v>
      </c>
      <c r="AA2904" t="s">
        <v>58</v>
      </c>
      <c r="AC2904" t="s">
        <v>58</v>
      </c>
      <c r="AE2904" t="s">
        <v>58</v>
      </c>
      <c r="AG2904" t="s">
        <v>63</v>
      </c>
      <c r="AH2904" s="11" t="str">
        <f t="shared" si="175"/>
        <v>mailto: soilterrain@victoria1.gov.bc.ca</v>
      </c>
    </row>
    <row r="2905" spans="1:34">
      <c r="A2905" t="s">
        <v>6289</v>
      </c>
      <c r="B2905" t="s">
        <v>56</v>
      </c>
      <c r="C2905" s="10" t="s">
        <v>5354</v>
      </c>
      <c r="D2905" t="s">
        <v>58</v>
      </c>
      <c r="E2905" t="s">
        <v>497</v>
      </c>
      <c r="F2905" t="s">
        <v>6275</v>
      </c>
      <c r="G2905">
        <v>20000</v>
      </c>
      <c r="H2905" t="s">
        <v>187</v>
      </c>
      <c r="I2905" t="s">
        <v>58</v>
      </c>
      <c r="J2905" t="s">
        <v>58</v>
      </c>
      <c r="K2905" t="s">
        <v>58</v>
      </c>
      <c r="L2905" t="s">
        <v>58</v>
      </c>
      <c r="M2905" t="s">
        <v>58</v>
      </c>
      <c r="N2905" t="s">
        <v>61</v>
      </c>
      <c r="Q2905" t="s">
        <v>58</v>
      </c>
      <c r="R2905" s="11" t="str">
        <f>HYPERLINK("\\imagefiles.bcgov\imagery\scanned_maps\moe_terrain_maps\Scanned_T_maps_all\R16\R16-1184","\\imagefiles.bcgov\imagery\scanned_maps\moe_terrain_maps\Scanned_T_maps_all\R16\R16-1184")</f>
        <v>\\imagefiles.bcgov\imagery\scanned_maps\moe_terrain_maps\Scanned_T_maps_all\R16\R16-1184</v>
      </c>
      <c r="S2905" t="s">
        <v>62</v>
      </c>
      <c r="T2905" s="11" t="str">
        <f>HYPERLINK("http://www.env.gov.bc.ca/esd/distdata/ecosystems/TEI_Scanned_Maps/R16/R16-1184","http://www.env.gov.bc.ca/esd/distdata/ecosystems/TEI_Scanned_Maps/R16/R16-1184")</f>
        <v>http://www.env.gov.bc.ca/esd/distdata/ecosystems/TEI_Scanned_Maps/R16/R16-1184</v>
      </c>
      <c r="U2905" t="s">
        <v>58</v>
      </c>
      <c r="V2905" t="s">
        <v>58</v>
      </c>
      <c r="W2905" t="s">
        <v>58</v>
      </c>
      <c r="X2905" t="s">
        <v>58</v>
      </c>
      <c r="Y2905" t="s">
        <v>58</v>
      </c>
      <c r="Z2905" t="s">
        <v>58</v>
      </c>
      <c r="AA2905" t="s">
        <v>58</v>
      </c>
      <c r="AC2905" t="s">
        <v>58</v>
      </c>
      <c r="AE2905" t="s">
        <v>58</v>
      </c>
      <c r="AG2905" t="s">
        <v>63</v>
      </c>
      <c r="AH2905" s="11" t="str">
        <f t="shared" si="175"/>
        <v>mailto: soilterrain@victoria1.gov.bc.ca</v>
      </c>
    </row>
    <row r="2906" spans="1:34">
      <c r="A2906" t="s">
        <v>6290</v>
      </c>
      <c r="B2906" t="s">
        <v>56</v>
      </c>
      <c r="C2906" s="10" t="s">
        <v>5356</v>
      </c>
      <c r="D2906" t="s">
        <v>58</v>
      </c>
      <c r="E2906" t="s">
        <v>497</v>
      </c>
      <c r="F2906" t="s">
        <v>6275</v>
      </c>
      <c r="G2906">
        <v>20000</v>
      </c>
      <c r="H2906">
        <v>1974</v>
      </c>
      <c r="I2906" t="s">
        <v>58</v>
      </c>
      <c r="J2906" t="s">
        <v>58</v>
      </c>
      <c r="K2906" t="s">
        <v>58</v>
      </c>
      <c r="L2906" t="s">
        <v>58</v>
      </c>
      <c r="M2906" t="s">
        <v>58</v>
      </c>
      <c r="N2906" t="s">
        <v>61</v>
      </c>
      <c r="Q2906" t="s">
        <v>58</v>
      </c>
      <c r="R2906" s="11" t="str">
        <f>HYPERLINK("\\imagefiles.bcgov\imagery\scanned_maps\moe_terrain_maps\Scanned_T_maps_all\R16\R16-1192","\\imagefiles.bcgov\imagery\scanned_maps\moe_terrain_maps\Scanned_T_maps_all\R16\R16-1192")</f>
        <v>\\imagefiles.bcgov\imagery\scanned_maps\moe_terrain_maps\Scanned_T_maps_all\R16\R16-1192</v>
      </c>
      <c r="S2906" t="s">
        <v>62</v>
      </c>
      <c r="T2906" s="11" t="str">
        <f>HYPERLINK("http://www.env.gov.bc.ca/esd/distdata/ecosystems/TEI_Scanned_Maps/R16/R16-1192","http://www.env.gov.bc.ca/esd/distdata/ecosystems/TEI_Scanned_Maps/R16/R16-1192")</f>
        <v>http://www.env.gov.bc.ca/esd/distdata/ecosystems/TEI_Scanned_Maps/R16/R16-1192</v>
      </c>
      <c r="U2906" t="s">
        <v>58</v>
      </c>
      <c r="V2906" t="s">
        <v>58</v>
      </c>
      <c r="W2906" t="s">
        <v>58</v>
      </c>
      <c r="X2906" t="s">
        <v>58</v>
      </c>
      <c r="Y2906" t="s">
        <v>58</v>
      </c>
      <c r="Z2906" t="s">
        <v>58</v>
      </c>
      <c r="AA2906" t="s">
        <v>58</v>
      </c>
      <c r="AC2906" t="s">
        <v>58</v>
      </c>
      <c r="AE2906" t="s">
        <v>58</v>
      </c>
      <c r="AG2906" t="s">
        <v>63</v>
      </c>
      <c r="AH2906" s="11" t="str">
        <f t="shared" si="175"/>
        <v>mailto: soilterrain@victoria1.gov.bc.ca</v>
      </c>
    </row>
    <row r="2907" spans="1:34">
      <c r="A2907" t="s">
        <v>6291</v>
      </c>
      <c r="B2907" t="s">
        <v>56</v>
      </c>
      <c r="C2907" s="10" t="s">
        <v>5358</v>
      </c>
      <c r="D2907" t="s">
        <v>58</v>
      </c>
      <c r="E2907" t="s">
        <v>497</v>
      </c>
      <c r="F2907" t="s">
        <v>6275</v>
      </c>
      <c r="G2907">
        <v>20000</v>
      </c>
      <c r="H2907">
        <v>1971</v>
      </c>
      <c r="I2907" t="s">
        <v>58</v>
      </c>
      <c r="J2907" t="s">
        <v>58</v>
      </c>
      <c r="K2907" t="s">
        <v>58</v>
      </c>
      <c r="L2907" t="s">
        <v>58</v>
      </c>
      <c r="M2907" t="s">
        <v>58</v>
      </c>
      <c r="N2907" t="s">
        <v>61</v>
      </c>
      <c r="Q2907" t="s">
        <v>58</v>
      </c>
      <c r="R2907" s="11" t="str">
        <f>HYPERLINK("\\imagefiles.bcgov\imagery\scanned_maps\moe_terrain_maps\Scanned_T_maps_all\R16\R16-1200","\\imagefiles.bcgov\imagery\scanned_maps\moe_terrain_maps\Scanned_T_maps_all\R16\R16-1200")</f>
        <v>\\imagefiles.bcgov\imagery\scanned_maps\moe_terrain_maps\Scanned_T_maps_all\R16\R16-1200</v>
      </c>
      <c r="S2907" t="s">
        <v>62</v>
      </c>
      <c r="T2907" s="11" t="str">
        <f>HYPERLINK("http://www.env.gov.bc.ca/esd/distdata/ecosystems/TEI_Scanned_Maps/R16/R16-1200","http://www.env.gov.bc.ca/esd/distdata/ecosystems/TEI_Scanned_Maps/R16/R16-1200")</f>
        <v>http://www.env.gov.bc.ca/esd/distdata/ecosystems/TEI_Scanned_Maps/R16/R16-1200</v>
      </c>
      <c r="U2907" t="s">
        <v>58</v>
      </c>
      <c r="V2907" t="s">
        <v>58</v>
      </c>
      <c r="W2907" t="s">
        <v>58</v>
      </c>
      <c r="X2907" t="s">
        <v>58</v>
      </c>
      <c r="Y2907" t="s">
        <v>58</v>
      </c>
      <c r="Z2907" t="s">
        <v>58</v>
      </c>
      <c r="AA2907" t="s">
        <v>58</v>
      </c>
      <c r="AC2907" t="s">
        <v>58</v>
      </c>
      <c r="AE2907" t="s">
        <v>58</v>
      </c>
      <c r="AG2907" t="s">
        <v>63</v>
      </c>
      <c r="AH2907" s="11" t="str">
        <f t="shared" si="175"/>
        <v>mailto: soilterrain@victoria1.gov.bc.ca</v>
      </c>
    </row>
    <row r="2908" spans="1:34">
      <c r="A2908" t="s">
        <v>6292</v>
      </c>
      <c r="B2908" t="s">
        <v>56</v>
      </c>
      <c r="C2908" s="10" t="s">
        <v>5360</v>
      </c>
      <c r="D2908" t="s">
        <v>58</v>
      </c>
      <c r="E2908" t="s">
        <v>497</v>
      </c>
      <c r="F2908" t="s">
        <v>6275</v>
      </c>
      <c r="G2908">
        <v>20000</v>
      </c>
      <c r="H2908" t="s">
        <v>187</v>
      </c>
      <c r="I2908" t="s">
        <v>58</v>
      </c>
      <c r="J2908" t="s">
        <v>58</v>
      </c>
      <c r="K2908" t="s">
        <v>58</v>
      </c>
      <c r="L2908" t="s">
        <v>58</v>
      </c>
      <c r="M2908" t="s">
        <v>58</v>
      </c>
      <c r="N2908" t="s">
        <v>61</v>
      </c>
      <c r="Q2908" t="s">
        <v>58</v>
      </c>
      <c r="R2908" s="11" t="str">
        <f>HYPERLINK("\\imagefiles.bcgov\imagery\scanned_maps\moe_terrain_maps\Scanned_T_maps_all\R16\R16-1208","\\imagefiles.bcgov\imagery\scanned_maps\moe_terrain_maps\Scanned_T_maps_all\R16\R16-1208")</f>
        <v>\\imagefiles.bcgov\imagery\scanned_maps\moe_terrain_maps\Scanned_T_maps_all\R16\R16-1208</v>
      </c>
      <c r="S2908" t="s">
        <v>62</v>
      </c>
      <c r="T2908" s="11" t="str">
        <f>HYPERLINK("http://www.env.gov.bc.ca/esd/distdata/ecosystems/TEI_Scanned_Maps/R16/R16-1208","http://www.env.gov.bc.ca/esd/distdata/ecosystems/TEI_Scanned_Maps/R16/R16-1208")</f>
        <v>http://www.env.gov.bc.ca/esd/distdata/ecosystems/TEI_Scanned_Maps/R16/R16-1208</v>
      </c>
      <c r="U2908" t="s">
        <v>58</v>
      </c>
      <c r="V2908" t="s">
        <v>58</v>
      </c>
      <c r="W2908" t="s">
        <v>58</v>
      </c>
      <c r="X2908" t="s">
        <v>58</v>
      </c>
      <c r="Y2908" t="s">
        <v>58</v>
      </c>
      <c r="Z2908" t="s">
        <v>58</v>
      </c>
      <c r="AA2908" t="s">
        <v>58</v>
      </c>
      <c r="AC2908" t="s">
        <v>58</v>
      </c>
      <c r="AE2908" t="s">
        <v>58</v>
      </c>
      <c r="AG2908" t="s">
        <v>63</v>
      </c>
      <c r="AH2908" s="11" t="str">
        <f t="shared" si="175"/>
        <v>mailto: soilterrain@victoria1.gov.bc.ca</v>
      </c>
    </row>
    <row r="2909" spans="1:34">
      <c r="A2909" t="s">
        <v>6293</v>
      </c>
      <c r="B2909" t="s">
        <v>56</v>
      </c>
      <c r="C2909" s="10" t="s">
        <v>5362</v>
      </c>
      <c r="D2909" t="s">
        <v>58</v>
      </c>
      <c r="E2909" t="s">
        <v>497</v>
      </c>
      <c r="F2909" t="s">
        <v>6257</v>
      </c>
      <c r="G2909">
        <v>20000</v>
      </c>
      <c r="H2909" t="s">
        <v>187</v>
      </c>
      <c r="I2909" t="s">
        <v>58</v>
      </c>
      <c r="J2909" t="s">
        <v>58</v>
      </c>
      <c r="K2909" t="s">
        <v>58</v>
      </c>
      <c r="L2909" t="s">
        <v>58</v>
      </c>
      <c r="M2909" t="s">
        <v>58</v>
      </c>
      <c r="N2909" t="s">
        <v>61</v>
      </c>
      <c r="Q2909" t="s">
        <v>58</v>
      </c>
      <c r="R2909" s="11" t="str">
        <f>HYPERLINK("\\imagefiles.bcgov\imagery\scanned_maps\moe_terrain_maps\Scanned_T_maps_all\R16\R16-1216","\\imagefiles.bcgov\imagery\scanned_maps\moe_terrain_maps\Scanned_T_maps_all\R16\R16-1216")</f>
        <v>\\imagefiles.bcgov\imagery\scanned_maps\moe_terrain_maps\Scanned_T_maps_all\R16\R16-1216</v>
      </c>
      <c r="S2909" t="s">
        <v>62</v>
      </c>
      <c r="T2909" s="11" t="str">
        <f>HYPERLINK("http://www.env.gov.bc.ca/esd/distdata/ecosystems/TEI_Scanned_Maps/R16/R16-1216","http://www.env.gov.bc.ca/esd/distdata/ecosystems/TEI_Scanned_Maps/R16/R16-1216")</f>
        <v>http://www.env.gov.bc.ca/esd/distdata/ecosystems/TEI_Scanned_Maps/R16/R16-1216</v>
      </c>
      <c r="U2909" t="s">
        <v>58</v>
      </c>
      <c r="V2909" t="s">
        <v>58</v>
      </c>
      <c r="W2909" t="s">
        <v>58</v>
      </c>
      <c r="X2909" t="s">
        <v>58</v>
      </c>
      <c r="Y2909" t="s">
        <v>58</v>
      </c>
      <c r="Z2909" t="s">
        <v>58</v>
      </c>
      <c r="AA2909" t="s">
        <v>58</v>
      </c>
      <c r="AC2909" t="s">
        <v>58</v>
      </c>
      <c r="AE2909" t="s">
        <v>58</v>
      </c>
      <c r="AG2909" t="s">
        <v>63</v>
      </c>
      <c r="AH2909" s="11" t="str">
        <f t="shared" si="175"/>
        <v>mailto: soilterrain@victoria1.gov.bc.ca</v>
      </c>
    </row>
    <row r="2910" spans="1:34">
      <c r="A2910" t="s">
        <v>6294</v>
      </c>
      <c r="B2910" t="s">
        <v>56</v>
      </c>
      <c r="C2910" s="10" t="s">
        <v>5589</v>
      </c>
      <c r="D2910" t="s">
        <v>58</v>
      </c>
      <c r="E2910" t="s">
        <v>497</v>
      </c>
      <c r="F2910" t="s">
        <v>6257</v>
      </c>
      <c r="G2910">
        <v>20000</v>
      </c>
      <c r="H2910" t="s">
        <v>187</v>
      </c>
      <c r="I2910" t="s">
        <v>58</v>
      </c>
      <c r="J2910" t="s">
        <v>58</v>
      </c>
      <c r="K2910" t="s">
        <v>58</v>
      </c>
      <c r="L2910" t="s">
        <v>58</v>
      </c>
      <c r="M2910" t="s">
        <v>58</v>
      </c>
      <c r="N2910" t="s">
        <v>61</v>
      </c>
      <c r="Q2910" t="s">
        <v>58</v>
      </c>
      <c r="R2910" s="11" t="str">
        <f>HYPERLINK("\\imagefiles.bcgov\imagery\scanned_maps\moe_terrain_maps\Scanned_T_maps_all\R16\R16-1224","\\imagefiles.bcgov\imagery\scanned_maps\moe_terrain_maps\Scanned_T_maps_all\R16\R16-1224")</f>
        <v>\\imagefiles.bcgov\imagery\scanned_maps\moe_terrain_maps\Scanned_T_maps_all\R16\R16-1224</v>
      </c>
      <c r="S2910" t="s">
        <v>62</v>
      </c>
      <c r="T2910" s="11" t="str">
        <f>HYPERLINK("http://www.env.gov.bc.ca/esd/distdata/ecosystems/TEI_Scanned_Maps/R16/R16-1224","http://www.env.gov.bc.ca/esd/distdata/ecosystems/TEI_Scanned_Maps/R16/R16-1224")</f>
        <v>http://www.env.gov.bc.ca/esd/distdata/ecosystems/TEI_Scanned_Maps/R16/R16-1224</v>
      </c>
      <c r="U2910" t="s">
        <v>58</v>
      </c>
      <c r="V2910" t="s">
        <v>58</v>
      </c>
      <c r="W2910" t="s">
        <v>58</v>
      </c>
      <c r="X2910" t="s">
        <v>58</v>
      </c>
      <c r="Y2910" t="s">
        <v>58</v>
      </c>
      <c r="Z2910" t="s">
        <v>58</v>
      </c>
      <c r="AA2910" t="s">
        <v>58</v>
      </c>
      <c r="AC2910" t="s">
        <v>58</v>
      </c>
      <c r="AE2910" t="s">
        <v>58</v>
      </c>
      <c r="AG2910" t="s">
        <v>63</v>
      </c>
      <c r="AH2910" s="11" t="str">
        <f t="shared" si="175"/>
        <v>mailto: soilterrain@victoria1.gov.bc.ca</v>
      </c>
    </row>
    <row r="2911" spans="1:34">
      <c r="A2911" t="s">
        <v>6295</v>
      </c>
      <c r="B2911" t="s">
        <v>56</v>
      </c>
      <c r="C2911" s="10" t="s">
        <v>5365</v>
      </c>
      <c r="D2911" t="s">
        <v>58</v>
      </c>
      <c r="E2911" t="s">
        <v>497</v>
      </c>
      <c r="F2911" t="s">
        <v>6275</v>
      </c>
      <c r="G2911">
        <v>20000</v>
      </c>
      <c r="H2911">
        <v>1983</v>
      </c>
      <c r="I2911" t="s">
        <v>58</v>
      </c>
      <c r="J2911" t="s">
        <v>58</v>
      </c>
      <c r="K2911" t="s">
        <v>58</v>
      </c>
      <c r="L2911" t="s">
        <v>58</v>
      </c>
      <c r="M2911" t="s">
        <v>58</v>
      </c>
      <c r="N2911" t="s">
        <v>61</v>
      </c>
      <c r="Q2911" t="s">
        <v>58</v>
      </c>
      <c r="R2911" s="11" t="str">
        <f>HYPERLINK("\\imagefiles.bcgov\imagery\scanned_maps\moe_terrain_maps\Scanned_T_maps_all\R16\R16-1230","\\imagefiles.bcgov\imagery\scanned_maps\moe_terrain_maps\Scanned_T_maps_all\R16\R16-1230")</f>
        <v>\\imagefiles.bcgov\imagery\scanned_maps\moe_terrain_maps\Scanned_T_maps_all\R16\R16-1230</v>
      </c>
      <c r="S2911" t="s">
        <v>62</v>
      </c>
      <c r="T2911" s="11" t="str">
        <f>HYPERLINK("http://www.env.gov.bc.ca/esd/distdata/ecosystems/TEI_Scanned_Maps/R16/R16-1230","http://www.env.gov.bc.ca/esd/distdata/ecosystems/TEI_Scanned_Maps/R16/R16-1230")</f>
        <v>http://www.env.gov.bc.ca/esd/distdata/ecosystems/TEI_Scanned_Maps/R16/R16-1230</v>
      </c>
      <c r="U2911" t="s">
        <v>58</v>
      </c>
      <c r="V2911" t="s">
        <v>58</v>
      </c>
      <c r="W2911" t="s">
        <v>58</v>
      </c>
      <c r="X2911" t="s">
        <v>58</v>
      </c>
      <c r="Y2911" t="s">
        <v>58</v>
      </c>
      <c r="Z2911" t="s">
        <v>58</v>
      </c>
      <c r="AA2911" t="s">
        <v>58</v>
      </c>
      <c r="AC2911" t="s">
        <v>58</v>
      </c>
      <c r="AE2911" t="s">
        <v>58</v>
      </c>
      <c r="AG2911" t="s">
        <v>63</v>
      </c>
      <c r="AH2911" s="11" t="str">
        <f t="shared" si="175"/>
        <v>mailto: soilterrain@victoria1.gov.bc.ca</v>
      </c>
    </row>
    <row r="2912" spans="1:34">
      <c r="A2912" t="s">
        <v>6296</v>
      </c>
      <c r="B2912" t="s">
        <v>56</v>
      </c>
      <c r="C2912" s="10" t="s">
        <v>5367</v>
      </c>
      <c r="D2912" t="s">
        <v>58</v>
      </c>
      <c r="E2912" t="s">
        <v>497</v>
      </c>
      <c r="F2912" t="s">
        <v>6275</v>
      </c>
      <c r="G2912">
        <v>20000</v>
      </c>
      <c r="H2912">
        <v>1971</v>
      </c>
      <c r="I2912" t="s">
        <v>58</v>
      </c>
      <c r="J2912" t="s">
        <v>58</v>
      </c>
      <c r="K2912" t="s">
        <v>58</v>
      </c>
      <c r="L2912" t="s">
        <v>58</v>
      </c>
      <c r="M2912" t="s">
        <v>58</v>
      </c>
      <c r="N2912" t="s">
        <v>61</v>
      </c>
      <c r="Q2912" t="s">
        <v>58</v>
      </c>
      <c r="R2912" s="11" t="str">
        <f>HYPERLINK("\\imagefiles.bcgov\imagery\scanned_maps\moe_terrain_maps\Scanned_T_maps_all\R16\R16-1238","\\imagefiles.bcgov\imagery\scanned_maps\moe_terrain_maps\Scanned_T_maps_all\R16\R16-1238")</f>
        <v>\\imagefiles.bcgov\imagery\scanned_maps\moe_terrain_maps\Scanned_T_maps_all\R16\R16-1238</v>
      </c>
      <c r="S2912" t="s">
        <v>62</v>
      </c>
      <c r="T2912" s="11" t="str">
        <f>HYPERLINK("http://www.env.gov.bc.ca/esd/distdata/ecosystems/TEI_Scanned_Maps/R16/R16-1238","http://www.env.gov.bc.ca/esd/distdata/ecosystems/TEI_Scanned_Maps/R16/R16-1238")</f>
        <v>http://www.env.gov.bc.ca/esd/distdata/ecosystems/TEI_Scanned_Maps/R16/R16-1238</v>
      </c>
      <c r="U2912" t="s">
        <v>58</v>
      </c>
      <c r="V2912" t="s">
        <v>58</v>
      </c>
      <c r="W2912" t="s">
        <v>58</v>
      </c>
      <c r="X2912" t="s">
        <v>58</v>
      </c>
      <c r="Y2912" t="s">
        <v>58</v>
      </c>
      <c r="Z2912" t="s">
        <v>58</v>
      </c>
      <c r="AA2912" t="s">
        <v>58</v>
      </c>
      <c r="AC2912" t="s">
        <v>58</v>
      </c>
      <c r="AE2912" t="s">
        <v>58</v>
      </c>
      <c r="AG2912" t="s">
        <v>63</v>
      </c>
      <c r="AH2912" s="11" t="str">
        <f t="shared" si="175"/>
        <v>mailto: soilterrain@victoria1.gov.bc.ca</v>
      </c>
    </row>
    <row r="2913" spans="1:34">
      <c r="A2913" t="s">
        <v>6297</v>
      </c>
      <c r="B2913" t="s">
        <v>56</v>
      </c>
      <c r="C2913" s="10" t="s">
        <v>5369</v>
      </c>
      <c r="D2913" t="s">
        <v>58</v>
      </c>
      <c r="E2913" t="s">
        <v>497</v>
      </c>
      <c r="F2913" t="s">
        <v>6298</v>
      </c>
      <c r="G2913">
        <v>20000</v>
      </c>
      <c r="H2913">
        <v>1971</v>
      </c>
      <c r="I2913" t="s">
        <v>58</v>
      </c>
      <c r="J2913" t="s">
        <v>58</v>
      </c>
      <c r="K2913" t="s">
        <v>58</v>
      </c>
      <c r="L2913" t="s">
        <v>58</v>
      </c>
      <c r="M2913" t="s">
        <v>58</v>
      </c>
      <c r="N2913" t="s">
        <v>61</v>
      </c>
      <c r="Q2913" t="s">
        <v>58</v>
      </c>
      <c r="R2913" s="11" t="str">
        <f>HYPERLINK("\\imagefiles.bcgov\imagery\scanned_maps\moe_terrain_maps\Scanned_T_maps_all\R16\R16-1246","\\imagefiles.bcgov\imagery\scanned_maps\moe_terrain_maps\Scanned_T_maps_all\R16\R16-1246")</f>
        <v>\\imagefiles.bcgov\imagery\scanned_maps\moe_terrain_maps\Scanned_T_maps_all\R16\R16-1246</v>
      </c>
      <c r="S2913" t="s">
        <v>62</v>
      </c>
      <c r="T2913" s="11" t="str">
        <f>HYPERLINK("http://www.env.gov.bc.ca/esd/distdata/ecosystems/TEI_Scanned_Maps/R16/R16-1246","http://www.env.gov.bc.ca/esd/distdata/ecosystems/TEI_Scanned_Maps/R16/R16-1246")</f>
        <v>http://www.env.gov.bc.ca/esd/distdata/ecosystems/TEI_Scanned_Maps/R16/R16-1246</v>
      </c>
      <c r="U2913" t="s">
        <v>58</v>
      </c>
      <c r="V2913" t="s">
        <v>58</v>
      </c>
      <c r="W2913" t="s">
        <v>58</v>
      </c>
      <c r="X2913" t="s">
        <v>58</v>
      </c>
      <c r="Y2913" t="s">
        <v>58</v>
      </c>
      <c r="Z2913" t="s">
        <v>58</v>
      </c>
      <c r="AA2913" t="s">
        <v>58</v>
      </c>
      <c r="AC2913" t="s">
        <v>58</v>
      </c>
      <c r="AE2913" t="s">
        <v>58</v>
      </c>
      <c r="AG2913" t="s">
        <v>63</v>
      </c>
      <c r="AH2913" s="11" t="str">
        <f t="shared" si="175"/>
        <v>mailto: soilterrain@victoria1.gov.bc.ca</v>
      </c>
    </row>
    <row r="2914" spans="1:34">
      <c r="A2914" t="s">
        <v>6299</v>
      </c>
      <c r="B2914" t="s">
        <v>56</v>
      </c>
      <c r="C2914" s="10" t="s">
        <v>5372</v>
      </c>
      <c r="D2914" t="s">
        <v>58</v>
      </c>
      <c r="E2914" t="s">
        <v>497</v>
      </c>
      <c r="F2914" t="s">
        <v>6275</v>
      </c>
      <c r="G2914">
        <v>20000</v>
      </c>
      <c r="H2914">
        <v>1975</v>
      </c>
      <c r="I2914" t="s">
        <v>58</v>
      </c>
      <c r="J2914" t="s">
        <v>58</v>
      </c>
      <c r="K2914" t="s">
        <v>58</v>
      </c>
      <c r="L2914" t="s">
        <v>58</v>
      </c>
      <c r="M2914" t="s">
        <v>58</v>
      </c>
      <c r="N2914" t="s">
        <v>61</v>
      </c>
      <c r="Q2914" t="s">
        <v>58</v>
      </c>
      <c r="R2914" s="11" t="str">
        <f>HYPERLINK("\\imagefiles.bcgov\imagery\scanned_maps\moe_terrain_maps\Scanned_T_maps_all\R16\R16-1254","\\imagefiles.bcgov\imagery\scanned_maps\moe_terrain_maps\Scanned_T_maps_all\R16\R16-1254")</f>
        <v>\\imagefiles.bcgov\imagery\scanned_maps\moe_terrain_maps\Scanned_T_maps_all\R16\R16-1254</v>
      </c>
      <c r="S2914" t="s">
        <v>62</v>
      </c>
      <c r="T2914" s="11" t="str">
        <f>HYPERLINK("http://www.env.gov.bc.ca/esd/distdata/ecosystems/TEI_Scanned_Maps/R16/R16-1254","http://www.env.gov.bc.ca/esd/distdata/ecosystems/TEI_Scanned_Maps/R16/R16-1254")</f>
        <v>http://www.env.gov.bc.ca/esd/distdata/ecosystems/TEI_Scanned_Maps/R16/R16-1254</v>
      </c>
      <c r="U2914" t="s">
        <v>58</v>
      </c>
      <c r="V2914" t="s">
        <v>58</v>
      </c>
      <c r="W2914" t="s">
        <v>58</v>
      </c>
      <c r="X2914" t="s">
        <v>58</v>
      </c>
      <c r="Y2914" t="s">
        <v>58</v>
      </c>
      <c r="Z2914" t="s">
        <v>58</v>
      </c>
      <c r="AA2914" t="s">
        <v>58</v>
      </c>
      <c r="AC2914" t="s">
        <v>58</v>
      </c>
      <c r="AE2914" t="s">
        <v>58</v>
      </c>
      <c r="AG2914" t="s">
        <v>63</v>
      </c>
      <c r="AH2914" s="11" t="str">
        <f t="shared" si="175"/>
        <v>mailto: soilterrain@victoria1.gov.bc.ca</v>
      </c>
    </row>
    <row r="2915" spans="1:34">
      <c r="A2915" t="s">
        <v>6300</v>
      </c>
      <c r="B2915" t="s">
        <v>56</v>
      </c>
      <c r="C2915" s="10" t="s">
        <v>5033</v>
      </c>
      <c r="D2915" t="s">
        <v>58</v>
      </c>
      <c r="E2915" t="s">
        <v>497</v>
      </c>
      <c r="F2915" t="s">
        <v>6257</v>
      </c>
      <c r="G2915">
        <v>20000</v>
      </c>
      <c r="H2915">
        <v>1969</v>
      </c>
      <c r="I2915" t="s">
        <v>58</v>
      </c>
      <c r="J2915" t="s">
        <v>58</v>
      </c>
      <c r="K2915" t="s">
        <v>58</v>
      </c>
      <c r="L2915" t="s">
        <v>58</v>
      </c>
      <c r="M2915" t="s">
        <v>58</v>
      </c>
      <c r="N2915" t="s">
        <v>61</v>
      </c>
      <c r="Q2915" t="s">
        <v>58</v>
      </c>
      <c r="R2915" s="11" t="str">
        <f>HYPERLINK("\\imagefiles.bcgov\imagery\scanned_maps\moe_terrain_maps\Scanned_T_maps_all\R16\R16-1262","\\imagefiles.bcgov\imagery\scanned_maps\moe_terrain_maps\Scanned_T_maps_all\R16\R16-1262")</f>
        <v>\\imagefiles.bcgov\imagery\scanned_maps\moe_terrain_maps\Scanned_T_maps_all\R16\R16-1262</v>
      </c>
      <c r="S2915" t="s">
        <v>62</v>
      </c>
      <c r="T2915" s="11" t="str">
        <f>HYPERLINK("http://www.env.gov.bc.ca/esd/distdata/ecosystems/TEI_Scanned_Maps/R16/R16-1262","http://www.env.gov.bc.ca/esd/distdata/ecosystems/TEI_Scanned_Maps/R16/R16-1262")</f>
        <v>http://www.env.gov.bc.ca/esd/distdata/ecosystems/TEI_Scanned_Maps/R16/R16-1262</v>
      </c>
      <c r="U2915" t="s">
        <v>58</v>
      </c>
      <c r="V2915" t="s">
        <v>58</v>
      </c>
      <c r="W2915" t="s">
        <v>58</v>
      </c>
      <c r="X2915" t="s">
        <v>58</v>
      </c>
      <c r="Y2915" t="s">
        <v>58</v>
      </c>
      <c r="Z2915" t="s">
        <v>58</v>
      </c>
      <c r="AA2915" t="s">
        <v>58</v>
      </c>
      <c r="AC2915" t="s">
        <v>58</v>
      </c>
      <c r="AE2915" t="s">
        <v>58</v>
      </c>
      <c r="AG2915" t="s">
        <v>63</v>
      </c>
      <c r="AH2915" s="11" t="str">
        <f t="shared" si="175"/>
        <v>mailto: soilterrain@victoria1.gov.bc.ca</v>
      </c>
    </row>
    <row r="2916" spans="1:34">
      <c r="A2916" t="s">
        <v>6301</v>
      </c>
      <c r="B2916" t="s">
        <v>56</v>
      </c>
      <c r="C2916" s="10" t="s">
        <v>5375</v>
      </c>
      <c r="D2916" t="s">
        <v>58</v>
      </c>
      <c r="E2916" t="s">
        <v>497</v>
      </c>
      <c r="F2916" t="s">
        <v>6275</v>
      </c>
      <c r="G2916">
        <v>20000</v>
      </c>
      <c r="H2916">
        <v>1972</v>
      </c>
      <c r="I2916" t="s">
        <v>58</v>
      </c>
      <c r="J2916" t="s">
        <v>58</v>
      </c>
      <c r="K2916" t="s">
        <v>58</v>
      </c>
      <c r="L2916" t="s">
        <v>58</v>
      </c>
      <c r="M2916" t="s">
        <v>58</v>
      </c>
      <c r="N2916" t="s">
        <v>61</v>
      </c>
      <c r="Q2916" t="s">
        <v>58</v>
      </c>
      <c r="R2916" s="11" t="str">
        <f>HYPERLINK("\\imagefiles.bcgov\imagery\scanned_maps\moe_terrain_maps\Scanned_T_maps_all\R16\R16-1270","\\imagefiles.bcgov\imagery\scanned_maps\moe_terrain_maps\Scanned_T_maps_all\R16\R16-1270")</f>
        <v>\\imagefiles.bcgov\imagery\scanned_maps\moe_terrain_maps\Scanned_T_maps_all\R16\R16-1270</v>
      </c>
      <c r="S2916" t="s">
        <v>62</v>
      </c>
      <c r="T2916" s="11" t="str">
        <f>HYPERLINK("http://www.env.gov.bc.ca/esd/distdata/ecosystems/TEI_Scanned_Maps/R16/R16-1270","http://www.env.gov.bc.ca/esd/distdata/ecosystems/TEI_Scanned_Maps/R16/R16-1270")</f>
        <v>http://www.env.gov.bc.ca/esd/distdata/ecosystems/TEI_Scanned_Maps/R16/R16-1270</v>
      </c>
      <c r="U2916" t="s">
        <v>58</v>
      </c>
      <c r="V2916" t="s">
        <v>58</v>
      </c>
      <c r="W2916" t="s">
        <v>58</v>
      </c>
      <c r="X2916" t="s">
        <v>58</v>
      </c>
      <c r="Y2916" t="s">
        <v>58</v>
      </c>
      <c r="Z2916" t="s">
        <v>58</v>
      </c>
      <c r="AA2916" t="s">
        <v>58</v>
      </c>
      <c r="AC2916" t="s">
        <v>58</v>
      </c>
      <c r="AE2916" t="s">
        <v>58</v>
      </c>
      <c r="AG2916" t="s">
        <v>63</v>
      </c>
      <c r="AH2916" s="11" t="str">
        <f t="shared" si="175"/>
        <v>mailto: soilterrain@victoria1.gov.bc.ca</v>
      </c>
    </row>
    <row r="2917" spans="1:34">
      <c r="A2917" t="s">
        <v>6302</v>
      </c>
      <c r="B2917" t="s">
        <v>56</v>
      </c>
      <c r="C2917" s="10" t="s">
        <v>5096</v>
      </c>
      <c r="D2917" t="s">
        <v>58</v>
      </c>
      <c r="E2917" t="s">
        <v>497</v>
      </c>
      <c r="F2917" t="s">
        <v>6257</v>
      </c>
      <c r="G2917">
        <v>20000</v>
      </c>
      <c r="H2917">
        <v>1969</v>
      </c>
      <c r="I2917" t="s">
        <v>58</v>
      </c>
      <c r="J2917" t="s">
        <v>58</v>
      </c>
      <c r="K2917" t="s">
        <v>58</v>
      </c>
      <c r="L2917" t="s">
        <v>58</v>
      </c>
      <c r="M2917" t="s">
        <v>58</v>
      </c>
      <c r="N2917" t="s">
        <v>61</v>
      </c>
      <c r="Q2917" t="s">
        <v>58</v>
      </c>
      <c r="R2917" s="11" t="str">
        <f>HYPERLINK("\\imagefiles.bcgov\imagery\scanned_maps\moe_terrain_maps\Scanned_T_maps_all\R16\R16-1278","\\imagefiles.bcgov\imagery\scanned_maps\moe_terrain_maps\Scanned_T_maps_all\R16\R16-1278")</f>
        <v>\\imagefiles.bcgov\imagery\scanned_maps\moe_terrain_maps\Scanned_T_maps_all\R16\R16-1278</v>
      </c>
      <c r="S2917" t="s">
        <v>62</v>
      </c>
      <c r="T2917" s="11" t="str">
        <f>HYPERLINK("http://www.env.gov.bc.ca/esd/distdata/ecosystems/TEI_Scanned_Maps/R16/R16-1278","http://www.env.gov.bc.ca/esd/distdata/ecosystems/TEI_Scanned_Maps/R16/R16-1278")</f>
        <v>http://www.env.gov.bc.ca/esd/distdata/ecosystems/TEI_Scanned_Maps/R16/R16-1278</v>
      </c>
      <c r="U2917" t="s">
        <v>58</v>
      </c>
      <c r="V2917" t="s">
        <v>58</v>
      </c>
      <c r="W2917" t="s">
        <v>58</v>
      </c>
      <c r="X2917" t="s">
        <v>58</v>
      </c>
      <c r="Y2917" t="s">
        <v>58</v>
      </c>
      <c r="Z2917" t="s">
        <v>58</v>
      </c>
      <c r="AA2917" t="s">
        <v>58</v>
      </c>
      <c r="AC2917" t="s">
        <v>58</v>
      </c>
      <c r="AE2917" t="s">
        <v>58</v>
      </c>
      <c r="AG2917" t="s">
        <v>63</v>
      </c>
      <c r="AH2917" s="11" t="str">
        <f t="shared" si="175"/>
        <v>mailto: soilterrain@victoria1.gov.bc.ca</v>
      </c>
    </row>
    <row r="2918" spans="1:34">
      <c r="A2918" t="s">
        <v>6303</v>
      </c>
      <c r="B2918" t="s">
        <v>56</v>
      </c>
      <c r="C2918" s="10" t="s">
        <v>5378</v>
      </c>
      <c r="D2918" t="s">
        <v>58</v>
      </c>
      <c r="E2918" t="s">
        <v>497</v>
      </c>
      <c r="F2918" t="s">
        <v>6275</v>
      </c>
      <c r="G2918">
        <v>20000</v>
      </c>
      <c r="H2918">
        <v>1972</v>
      </c>
      <c r="I2918" t="s">
        <v>58</v>
      </c>
      <c r="J2918" t="s">
        <v>58</v>
      </c>
      <c r="K2918" t="s">
        <v>58</v>
      </c>
      <c r="L2918" t="s">
        <v>58</v>
      </c>
      <c r="M2918" t="s">
        <v>58</v>
      </c>
      <c r="N2918" t="s">
        <v>61</v>
      </c>
      <c r="Q2918" t="s">
        <v>58</v>
      </c>
      <c r="R2918" s="11" t="str">
        <f>HYPERLINK("\\imagefiles.bcgov\imagery\scanned_maps\moe_terrain_maps\Scanned_T_maps_all\R16\R16-1286","\\imagefiles.bcgov\imagery\scanned_maps\moe_terrain_maps\Scanned_T_maps_all\R16\R16-1286")</f>
        <v>\\imagefiles.bcgov\imagery\scanned_maps\moe_terrain_maps\Scanned_T_maps_all\R16\R16-1286</v>
      </c>
      <c r="S2918" t="s">
        <v>62</v>
      </c>
      <c r="T2918" s="11" t="str">
        <f>HYPERLINK("http://www.env.gov.bc.ca/esd/distdata/ecosystems/TEI_Scanned_Maps/R16/R16-1286","http://www.env.gov.bc.ca/esd/distdata/ecosystems/TEI_Scanned_Maps/R16/R16-1286")</f>
        <v>http://www.env.gov.bc.ca/esd/distdata/ecosystems/TEI_Scanned_Maps/R16/R16-1286</v>
      </c>
      <c r="U2918" t="s">
        <v>58</v>
      </c>
      <c r="V2918" t="s">
        <v>58</v>
      </c>
      <c r="W2918" t="s">
        <v>58</v>
      </c>
      <c r="X2918" t="s">
        <v>58</v>
      </c>
      <c r="Y2918" t="s">
        <v>58</v>
      </c>
      <c r="Z2918" t="s">
        <v>58</v>
      </c>
      <c r="AA2918" t="s">
        <v>58</v>
      </c>
      <c r="AC2918" t="s">
        <v>58</v>
      </c>
      <c r="AE2918" t="s">
        <v>58</v>
      </c>
      <c r="AG2918" t="s">
        <v>63</v>
      </c>
      <c r="AH2918" s="11" t="str">
        <f t="shared" si="175"/>
        <v>mailto: soilterrain@victoria1.gov.bc.ca</v>
      </c>
    </row>
    <row r="2919" spans="1:34">
      <c r="A2919" t="s">
        <v>6304</v>
      </c>
      <c r="B2919" t="s">
        <v>56</v>
      </c>
      <c r="C2919" s="10" t="s">
        <v>5143</v>
      </c>
      <c r="D2919" t="s">
        <v>58</v>
      </c>
      <c r="E2919" t="s">
        <v>497</v>
      </c>
      <c r="F2919" t="s">
        <v>6275</v>
      </c>
      <c r="G2919">
        <v>20000</v>
      </c>
      <c r="H2919">
        <v>1969</v>
      </c>
      <c r="I2919" t="s">
        <v>58</v>
      </c>
      <c r="J2919" t="s">
        <v>58</v>
      </c>
      <c r="K2919" t="s">
        <v>58</v>
      </c>
      <c r="L2919" t="s">
        <v>58</v>
      </c>
      <c r="M2919" t="s">
        <v>58</v>
      </c>
      <c r="N2919" t="s">
        <v>61</v>
      </c>
      <c r="Q2919" t="s">
        <v>58</v>
      </c>
      <c r="R2919" s="11" t="str">
        <f>HYPERLINK("\\imagefiles.bcgov\imagery\scanned_maps\moe_terrain_maps\Scanned_T_maps_all\R16\R16-1294","\\imagefiles.bcgov\imagery\scanned_maps\moe_terrain_maps\Scanned_T_maps_all\R16\R16-1294")</f>
        <v>\\imagefiles.bcgov\imagery\scanned_maps\moe_terrain_maps\Scanned_T_maps_all\R16\R16-1294</v>
      </c>
      <c r="S2919" t="s">
        <v>62</v>
      </c>
      <c r="T2919" s="11" t="str">
        <f>HYPERLINK("http://www.env.gov.bc.ca/esd/distdata/ecosystems/TEI_Scanned_Maps/R16/R16-1294","http://www.env.gov.bc.ca/esd/distdata/ecosystems/TEI_Scanned_Maps/R16/R16-1294")</f>
        <v>http://www.env.gov.bc.ca/esd/distdata/ecosystems/TEI_Scanned_Maps/R16/R16-1294</v>
      </c>
      <c r="U2919" t="s">
        <v>58</v>
      </c>
      <c r="V2919" t="s">
        <v>58</v>
      </c>
      <c r="W2919" t="s">
        <v>58</v>
      </c>
      <c r="X2919" t="s">
        <v>58</v>
      </c>
      <c r="Y2919" t="s">
        <v>58</v>
      </c>
      <c r="Z2919" t="s">
        <v>58</v>
      </c>
      <c r="AA2919" t="s">
        <v>58</v>
      </c>
      <c r="AC2919" t="s">
        <v>58</v>
      </c>
      <c r="AE2919" t="s">
        <v>58</v>
      </c>
      <c r="AG2919" t="s">
        <v>63</v>
      </c>
      <c r="AH2919" s="11" t="str">
        <f t="shared" si="175"/>
        <v>mailto: soilterrain@victoria1.gov.bc.ca</v>
      </c>
    </row>
    <row r="2920" spans="1:34">
      <c r="A2920" t="s">
        <v>6305</v>
      </c>
      <c r="B2920" t="s">
        <v>56</v>
      </c>
      <c r="C2920" s="10" t="s">
        <v>5381</v>
      </c>
      <c r="D2920" t="s">
        <v>58</v>
      </c>
      <c r="E2920" t="s">
        <v>497</v>
      </c>
      <c r="F2920" t="s">
        <v>6275</v>
      </c>
      <c r="G2920">
        <v>20000</v>
      </c>
      <c r="H2920">
        <v>1972</v>
      </c>
      <c r="I2920" t="s">
        <v>58</v>
      </c>
      <c r="J2920" t="s">
        <v>58</v>
      </c>
      <c r="K2920" t="s">
        <v>58</v>
      </c>
      <c r="L2920" t="s">
        <v>58</v>
      </c>
      <c r="M2920" t="s">
        <v>58</v>
      </c>
      <c r="N2920" t="s">
        <v>61</v>
      </c>
      <c r="Q2920" t="s">
        <v>58</v>
      </c>
      <c r="R2920" s="11" t="str">
        <f>HYPERLINK("\\imagefiles.bcgov\imagery\scanned_maps\moe_terrain_maps\Scanned_T_maps_all\R16\R16-1443","\\imagefiles.bcgov\imagery\scanned_maps\moe_terrain_maps\Scanned_T_maps_all\R16\R16-1443")</f>
        <v>\\imagefiles.bcgov\imagery\scanned_maps\moe_terrain_maps\Scanned_T_maps_all\R16\R16-1443</v>
      </c>
      <c r="S2920" t="s">
        <v>62</v>
      </c>
      <c r="T2920" s="11" t="str">
        <f>HYPERLINK("http://www.env.gov.bc.ca/esd/distdata/ecosystems/TEI_Scanned_Maps/R16/R16-1443","http://www.env.gov.bc.ca/esd/distdata/ecosystems/TEI_Scanned_Maps/R16/R16-1443")</f>
        <v>http://www.env.gov.bc.ca/esd/distdata/ecosystems/TEI_Scanned_Maps/R16/R16-1443</v>
      </c>
      <c r="U2920" t="s">
        <v>58</v>
      </c>
      <c r="V2920" t="s">
        <v>58</v>
      </c>
      <c r="W2920" t="s">
        <v>58</v>
      </c>
      <c r="X2920" t="s">
        <v>58</v>
      </c>
      <c r="Y2920" t="s">
        <v>58</v>
      </c>
      <c r="Z2920" t="s">
        <v>58</v>
      </c>
      <c r="AA2920" t="s">
        <v>58</v>
      </c>
      <c r="AC2920" t="s">
        <v>58</v>
      </c>
      <c r="AE2920" t="s">
        <v>58</v>
      </c>
      <c r="AG2920" t="s">
        <v>63</v>
      </c>
      <c r="AH2920" s="11" t="str">
        <f t="shared" si="175"/>
        <v>mailto: soilterrain@victoria1.gov.bc.ca</v>
      </c>
    </row>
    <row r="2921" spans="1:34">
      <c r="A2921" t="s">
        <v>6306</v>
      </c>
      <c r="B2921" t="s">
        <v>56</v>
      </c>
      <c r="C2921" s="10" t="s">
        <v>5030</v>
      </c>
      <c r="D2921" t="s">
        <v>58</v>
      </c>
      <c r="E2921" t="s">
        <v>497</v>
      </c>
      <c r="F2921" t="s">
        <v>6275</v>
      </c>
      <c r="G2921">
        <v>20000</v>
      </c>
      <c r="H2921">
        <v>1969</v>
      </c>
      <c r="I2921" t="s">
        <v>58</v>
      </c>
      <c r="J2921" t="s">
        <v>58</v>
      </c>
      <c r="K2921" t="s">
        <v>58</v>
      </c>
      <c r="L2921" t="s">
        <v>58</v>
      </c>
      <c r="M2921" t="s">
        <v>58</v>
      </c>
      <c r="N2921" t="s">
        <v>61</v>
      </c>
      <c r="Q2921" t="s">
        <v>58</v>
      </c>
      <c r="R2921" s="11" t="str">
        <f>HYPERLINK("\\imagefiles.bcgov\imagery\scanned_maps\moe_terrain_maps\Scanned_T_maps_all\R16\R16-1451","\\imagefiles.bcgov\imagery\scanned_maps\moe_terrain_maps\Scanned_T_maps_all\R16\R16-1451")</f>
        <v>\\imagefiles.bcgov\imagery\scanned_maps\moe_terrain_maps\Scanned_T_maps_all\R16\R16-1451</v>
      </c>
      <c r="S2921" t="s">
        <v>62</v>
      </c>
      <c r="T2921" s="11" t="str">
        <f>HYPERLINK("http://www.env.gov.bc.ca/esd/distdata/ecosystems/TEI_Scanned_Maps/R16/R16-1451","http://www.env.gov.bc.ca/esd/distdata/ecosystems/TEI_Scanned_Maps/R16/R16-1451")</f>
        <v>http://www.env.gov.bc.ca/esd/distdata/ecosystems/TEI_Scanned_Maps/R16/R16-1451</v>
      </c>
      <c r="U2921" t="s">
        <v>58</v>
      </c>
      <c r="V2921" t="s">
        <v>58</v>
      </c>
      <c r="W2921" t="s">
        <v>58</v>
      </c>
      <c r="X2921" t="s">
        <v>58</v>
      </c>
      <c r="Y2921" t="s">
        <v>58</v>
      </c>
      <c r="Z2921" t="s">
        <v>58</v>
      </c>
      <c r="AA2921" t="s">
        <v>58</v>
      </c>
      <c r="AC2921" t="s">
        <v>58</v>
      </c>
      <c r="AE2921" t="s">
        <v>58</v>
      </c>
      <c r="AG2921" t="s">
        <v>63</v>
      </c>
      <c r="AH2921" s="11" t="str">
        <f t="shared" si="175"/>
        <v>mailto: soilterrain@victoria1.gov.bc.ca</v>
      </c>
    </row>
    <row r="2922" spans="1:34">
      <c r="A2922" t="s">
        <v>6307</v>
      </c>
      <c r="B2922" t="s">
        <v>56</v>
      </c>
      <c r="C2922" s="10" t="s">
        <v>5022</v>
      </c>
      <c r="D2922" t="s">
        <v>58</v>
      </c>
      <c r="E2922" t="s">
        <v>497</v>
      </c>
      <c r="F2922" t="s">
        <v>6275</v>
      </c>
      <c r="G2922">
        <v>20000</v>
      </c>
      <c r="H2922">
        <v>1972</v>
      </c>
      <c r="I2922" t="s">
        <v>58</v>
      </c>
      <c r="J2922" t="s">
        <v>58</v>
      </c>
      <c r="K2922" t="s">
        <v>58</v>
      </c>
      <c r="L2922" t="s">
        <v>58</v>
      </c>
      <c r="M2922" t="s">
        <v>58</v>
      </c>
      <c r="N2922" t="s">
        <v>61</v>
      </c>
      <c r="Q2922" t="s">
        <v>58</v>
      </c>
      <c r="R2922" s="11" t="str">
        <f>HYPERLINK("\\imagefiles.bcgov\imagery\scanned_maps\moe_terrain_maps\Scanned_T_maps_all\R16\R16-1459","\\imagefiles.bcgov\imagery\scanned_maps\moe_terrain_maps\Scanned_T_maps_all\R16\R16-1459")</f>
        <v>\\imagefiles.bcgov\imagery\scanned_maps\moe_terrain_maps\Scanned_T_maps_all\R16\R16-1459</v>
      </c>
      <c r="S2922" t="s">
        <v>62</v>
      </c>
      <c r="T2922" s="11" t="str">
        <f>HYPERLINK("http://www.env.gov.bc.ca/esd/distdata/ecosystems/TEI_Scanned_Maps/R16/R16-1459","http://www.env.gov.bc.ca/esd/distdata/ecosystems/TEI_Scanned_Maps/R16/R16-1459")</f>
        <v>http://www.env.gov.bc.ca/esd/distdata/ecosystems/TEI_Scanned_Maps/R16/R16-1459</v>
      </c>
      <c r="U2922" t="s">
        <v>58</v>
      </c>
      <c r="V2922" t="s">
        <v>58</v>
      </c>
      <c r="W2922" t="s">
        <v>58</v>
      </c>
      <c r="X2922" t="s">
        <v>58</v>
      </c>
      <c r="Y2922" t="s">
        <v>58</v>
      </c>
      <c r="Z2922" t="s">
        <v>58</v>
      </c>
      <c r="AA2922" t="s">
        <v>58</v>
      </c>
      <c r="AC2922" t="s">
        <v>58</v>
      </c>
      <c r="AE2922" t="s">
        <v>58</v>
      </c>
      <c r="AG2922" t="s">
        <v>63</v>
      </c>
      <c r="AH2922" s="11" t="str">
        <f t="shared" si="175"/>
        <v>mailto: soilterrain@victoria1.gov.bc.ca</v>
      </c>
    </row>
    <row r="2923" spans="1:34">
      <c r="A2923" t="s">
        <v>6308</v>
      </c>
      <c r="B2923" t="s">
        <v>56</v>
      </c>
      <c r="C2923" s="10" t="s">
        <v>5233</v>
      </c>
      <c r="D2923" t="s">
        <v>58</v>
      </c>
      <c r="E2923" t="s">
        <v>497</v>
      </c>
      <c r="F2923" t="s">
        <v>6275</v>
      </c>
      <c r="G2923">
        <v>20000</v>
      </c>
      <c r="H2923">
        <v>1969</v>
      </c>
      <c r="I2923" t="s">
        <v>58</v>
      </c>
      <c r="J2923" t="s">
        <v>58</v>
      </c>
      <c r="K2923" t="s">
        <v>58</v>
      </c>
      <c r="L2923" t="s">
        <v>58</v>
      </c>
      <c r="M2923" t="s">
        <v>58</v>
      </c>
      <c r="N2923" t="s">
        <v>61</v>
      </c>
      <c r="Q2923" t="s">
        <v>58</v>
      </c>
      <c r="R2923" s="11" t="str">
        <f>HYPERLINK("\\imagefiles.bcgov\imagery\scanned_maps\moe_terrain_maps\Scanned_T_maps_all\R16\R16-1469","\\imagefiles.bcgov\imagery\scanned_maps\moe_terrain_maps\Scanned_T_maps_all\R16\R16-1469")</f>
        <v>\\imagefiles.bcgov\imagery\scanned_maps\moe_terrain_maps\Scanned_T_maps_all\R16\R16-1469</v>
      </c>
      <c r="S2923" t="s">
        <v>62</v>
      </c>
      <c r="T2923" s="11" t="str">
        <f>HYPERLINK("http://www.env.gov.bc.ca/esd/distdata/ecosystems/TEI_Scanned_Maps/R16/R16-1469","http://www.env.gov.bc.ca/esd/distdata/ecosystems/TEI_Scanned_Maps/R16/R16-1469")</f>
        <v>http://www.env.gov.bc.ca/esd/distdata/ecosystems/TEI_Scanned_Maps/R16/R16-1469</v>
      </c>
      <c r="U2923" t="s">
        <v>58</v>
      </c>
      <c r="V2923" t="s">
        <v>58</v>
      </c>
      <c r="W2923" t="s">
        <v>58</v>
      </c>
      <c r="X2923" t="s">
        <v>58</v>
      </c>
      <c r="Y2923" t="s">
        <v>58</v>
      </c>
      <c r="Z2923" t="s">
        <v>58</v>
      </c>
      <c r="AA2923" t="s">
        <v>58</v>
      </c>
      <c r="AC2923" t="s">
        <v>58</v>
      </c>
      <c r="AE2923" t="s">
        <v>58</v>
      </c>
      <c r="AG2923" t="s">
        <v>63</v>
      </c>
      <c r="AH2923" s="11" t="str">
        <f t="shared" si="175"/>
        <v>mailto: soilterrain@victoria1.gov.bc.ca</v>
      </c>
    </row>
    <row r="2924" spans="1:34">
      <c r="A2924" t="s">
        <v>6309</v>
      </c>
      <c r="B2924" t="s">
        <v>56</v>
      </c>
      <c r="C2924" s="10" t="s">
        <v>5460</v>
      </c>
      <c r="D2924" t="s">
        <v>58</v>
      </c>
      <c r="E2924" t="s">
        <v>497</v>
      </c>
      <c r="F2924" t="s">
        <v>6275</v>
      </c>
      <c r="G2924">
        <v>20000</v>
      </c>
      <c r="H2924">
        <v>1972</v>
      </c>
      <c r="I2924" t="s">
        <v>58</v>
      </c>
      <c r="J2924" t="s">
        <v>58</v>
      </c>
      <c r="K2924" t="s">
        <v>58</v>
      </c>
      <c r="L2924" t="s">
        <v>58</v>
      </c>
      <c r="M2924" t="s">
        <v>58</v>
      </c>
      <c r="N2924" t="s">
        <v>61</v>
      </c>
      <c r="Q2924" t="s">
        <v>58</v>
      </c>
      <c r="R2924" s="11" t="str">
        <f>HYPERLINK("\\imagefiles.bcgov\imagery\scanned_maps\moe_terrain_maps\Scanned_T_maps_all\R16\R16-952","\\imagefiles.bcgov\imagery\scanned_maps\moe_terrain_maps\Scanned_T_maps_all\R16\R16-952")</f>
        <v>\\imagefiles.bcgov\imagery\scanned_maps\moe_terrain_maps\Scanned_T_maps_all\R16\R16-952</v>
      </c>
      <c r="S2924" t="s">
        <v>62</v>
      </c>
      <c r="T2924" s="11" t="str">
        <f>HYPERLINK("http://www.env.gov.bc.ca/esd/distdata/ecosystems/TEI_Scanned_Maps/R16/R16-952","http://www.env.gov.bc.ca/esd/distdata/ecosystems/TEI_Scanned_Maps/R16/R16-952")</f>
        <v>http://www.env.gov.bc.ca/esd/distdata/ecosystems/TEI_Scanned_Maps/R16/R16-952</v>
      </c>
      <c r="U2924" t="s">
        <v>3353</v>
      </c>
      <c r="V2924" s="11" t="str">
        <f>HYPERLINK("http://www.env.gov.bc.ca/esd/distdata/ecosystems/Soil_Data/CAPAMP/","http://www.env.gov.bc.ca/esd/distdata/ecosystems/Soil_Data/CAPAMP/")</f>
        <v>http://www.env.gov.bc.ca/esd/distdata/ecosystems/Soil_Data/CAPAMP/</v>
      </c>
      <c r="W2924" t="s">
        <v>58</v>
      </c>
      <c r="X2924" t="s">
        <v>58</v>
      </c>
      <c r="Y2924" t="s">
        <v>58</v>
      </c>
      <c r="Z2924" t="s">
        <v>58</v>
      </c>
      <c r="AA2924" t="s">
        <v>58</v>
      </c>
      <c r="AC2924" t="s">
        <v>58</v>
      </c>
      <c r="AE2924" t="s">
        <v>58</v>
      </c>
      <c r="AG2924" t="s">
        <v>63</v>
      </c>
      <c r="AH2924" s="11" t="str">
        <f t="shared" si="175"/>
        <v>mailto: soilterrain@victoria1.gov.bc.ca</v>
      </c>
    </row>
    <row r="2925" spans="1:34">
      <c r="A2925" t="s">
        <v>6310</v>
      </c>
      <c r="B2925" t="s">
        <v>56</v>
      </c>
      <c r="C2925" s="10" t="s">
        <v>5462</v>
      </c>
      <c r="D2925" t="s">
        <v>58</v>
      </c>
      <c r="E2925" t="s">
        <v>497</v>
      </c>
      <c r="F2925" t="s">
        <v>6311</v>
      </c>
      <c r="G2925">
        <v>20000</v>
      </c>
      <c r="H2925">
        <v>1969</v>
      </c>
      <c r="I2925" t="s">
        <v>58</v>
      </c>
      <c r="J2925" t="s">
        <v>58</v>
      </c>
      <c r="K2925" t="s">
        <v>58</v>
      </c>
      <c r="L2925" t="s">
        <v>58</v>
      </c>
      <c r="M2925" t="s">
        <v>58</v>
      </c>
      <c r="N2925" t="s">
        <v>61</v>
      </c>
      <c r="Q2925" t="s">
        <v>58</v>
      </c>
      <c r="R2925" s="11" t="str">
        <f>HYPERLINK("\\imagefiles.bcgov\imagery\scanned_maps\moe_terrain_maps\Scanned_T_maps_all\R16\R16-960","\\imagefiles.bcgov\imagery\scanned_maps\moe_terrain_maps\Scanned_T_maps_all\R16\R16-960")</f>
        <v>\\imagefiles.bcgov\imagery\scanned_maps\moe_terrain_maps\Scanned_T_maps_all\R16\R16-960</v>
      </c>
      <c r="S2925" t="s">
        <v>62</v>
      </c>
      <c r="T2925" s="11" t="str">
        <f>HYPERLINK("http://www.env.gov.bc.ca/esd/distdata/ecosystems/TEI_Scanned_Maps/R16/R16-960","http://www.env.gov.bc.ca/esd/distdata/ecosystems/TEI_Scanned_Maps/R16/R16-960")</f>
        <v>http://www.env.gov.bc.ca/esd/distdata/ecosystems/TEI_Scanned_Maps/R16/R16-960</v>
      </c>
      <c r="U2925" t="s">
        <v>58</v>
      </c>
      <c r="V2925" t="s">
        <v>58</v>
      </c>
      <c r="W2925" t="s">
        <v>58</v>
      </c>
      <c r="X2925" t="s">
        <v>58</v>
      </c>
      <c r="Y2925" t="s">
        <v>58</v>
      </c>
      <c r="Z2925" t="s">
        <v>58</v>
      </c>
      <c r="AA2925" t="s">
        <v>58</v>
      </c>
      <c r="AC2925" t="s">
        <v>58</v>
      </c>
      <c r="AE2925" t="s">
        <v>58</v>
      </c>
      <c r="AG2925" t="s">
        <v>63</v>
      </c>
      <c r="AH2925" s="11" t="str">
        <f t="shared" si="175"/>
        <v>mailto: soilterrain@victoria1.gov.bc.ca</v>
      </c>
    </row>
    <row r="2926" spans="1:34">
      <c r="A2926" t="s">
        <v>6312</v>
      </c>
      <c r="B2926" t="s">
        <v>56</v>
      </c>
      <c r="C2926" s="10" t="s">
        <v>5464</v>
      </c>
      <c r="D2926" t="s">
        <v>58</v>
      </c>
      <c r="E2926" t="s">
        <v>497</v>
      </c>
      <c r="F2926" t="s">
        <v>6275</v>
      </c>
      <c r="G2926">
        <v>20000</v>
      </c>
      <c r="H2926">
        <v>1972</v>
      </c>
      <c r="I2926" t="s">
        <v>58</v>
      </c>
      <c r="J2926" t="s">
        <v>58</v>
      </c>
      <c r="K2926" t="s">
        <v>58</v>
      </c>
      <c r="L2926" t="s">
        <v>58</v>
      </c>
      <c r="M2926" t="s">
        <v>58</v>
      </c>
      <c r="N2926" t="s">
        <v>61</v>
      </c>
      <c r="Q2926" t="s">
        <v>58</v>
      </c>
      <c r="R2926" s="11" t="str">
        <f>HYPERLINK("\\imagefiles.bcgov\imagery\scanned_maps\moe_terrain_maps\Scanned_T_maps_all\R16\R16-969","\\imagefiles.bcgov\imagery\scanned_maps\moe_terrain_maps\Scanned_T_maps_all\R16\R16-969")</f>
        <v>\\imagefiles.bcgov\imagery\scanned_maps\moe_terrain_maps\Scanned_T_maps_all\R16\R16-969</v>
      </c>
      <c r="S2926" t="s">
        <v>62</v>
      </c>
      <c r="T2926" s="11" t="str">
        <f>HYPERLINK("http://www.env.gov.bc.ca/esd/distdata/ecosystems/TEI_Scanned_Maps/R16/R16-969","http://www.env.gov.bc.ca/esd/distdata/ecosystems/TEI_Scanned_Maps/R16/R16-969")</f>
        <v>http://www.env.gov.bc.ca/esd/distdata/ecosystems/TEI_Scanned_Maps/R16/R16-969</v>
      </c>
      <c r="U2926" t="s">
        <v>58</v>
      </c>
      <c r="V2926" t="s">
        <v>58</v>
      </c>
      <c r="W2926" t="s">
        <v>58</v>
      </c>
      <c r="X2926" t="s">
        <v>58</v>
      </c>
      <c r="Y2926" t="s">
        <v>58</v>
      </c>
      <c r="Z2926" t="s">
        <v>58</v>
      </c>
      <c r="AA2926" t="s">
        <v>58</v>
      </c>
      <c r="AC2926" t="s">
        <v>58</v>
      </c>
      <c r="AE2926" t="s">
        <v>58</v>
      </c>
      <c r="AG2926" t="s">
        <v>63</v>
      </c>
      <c r="AH2926" s="11" t="str">
        <f t="shared" si="175"/>
        <v>mailto: soilterrain@victoria1.gov.bc.ca</v>
      </c>
    </row>
    <row r="2927" spans="1:34">
      <c r="A2927" t="s">
        <v>6313</v>
      </c>
      <c r="B2927" t="s">
        <v>56</v>
      </c>
      <c r="C2927" s="10" t="s">
        <v>5466</v>
      </c>
      <c r="D2927" t="s">
        <v>58</v>
      </c>
      <c r="E2927" t="s">
        <v>497</v>
      </c>
      <c r="F2927" t="s">
        <v>6314</v>
      </c>
      <c r="G2927">
        <v>20000</v>
      </c>
      <c r="H2927">
        <v>1969</v>
      </c>
      <c r="I2927" t="s">
        <v>58</v>
      </c>
      <c r="J2927" t="s">
        <v>58</v>
      </c>
      <c r="K2927" t="s">
        <v>58</v>
      </c>
      <c r="L2927" t="s">
        <v>58</v>
      </c>
      <c r="M2927" t="s">
        <v>58</v>
      </c>
      <c r="N2927" t="s">
        <v>61</v>
      </c>
      <c r="Q2927" t="s">
        <v>58</v>
      </c>
      <c r="R2927" s="11" t="str">
        <f>HYPERLINK("\\imagefiles.bcgov\imagery\scanned_maps\moe_terrain_maps\Scanned_T_maps_all\R16\R16-978","\\imagefiles.bcgov\imagery\scanned_maps\moe_terrain_maps\Scanned_T_maps_all\R16\R16-978")</f>
        <v>\\imagefiles.bcgov\imagery\scanned_maps\moe_terrain_maps\Scanned_T_maps_all\R16\R16-978</v>
      </c>
      <c r="S2927" t="s">
        <v>62</v>
      </c>
      <c r="T2927" s="11" t="str">
        <f>HYPERLINK("http://www.env.gov.bc.ca/esd/distdata/ecosystems/TEI_Scanned_Maps/R16/R16-978","http://www.env.gov.bc.ca/esd/distdata/ecosystems/TEI_Scanned_Maps/R16/R16-978")</f>
        <v>http://www.env.gov.bc.ca/esd/distdata/ecosystems/TEI_Scanned_Maps/R16/R16-978</v>
      </c>
      <c r="U2927" t="s">
        <v>58</v>
      </c>
      <c r="V2927" t="s">
        <v>58</v>
      </c>
      <c r="W2927" t="s">
        <v>58</v>
      </c>
      <c r="X2927" t="s">
        <v>58</v>
      </c>
      <c r="Y2927" t="s">
        <v>58</v>
      </c>
      <c r="Z2927" t="s">
        <v>58</v>
      </c>
      <c r="AA2927" t="s">
        <v>58</v>
      </c>
      <c r="AC2927" t="s">
        <v>58</v>
      </c>
      <c r="AE2927" t="s">
        <v>58</v>
      </c>
      <c r="AG2927" t="s">
        <v>63</v>
      </c>
      <c r="AH2927" s="11" t="str">
        <f t="shared" si="175"/>
        <v>mailto: soilterrain@victoria1.gov.bc.ca</v>
      </c>
    </row>
    <row r="2928" spans="1:34">
      <c r="A2928" t="s">
        <v>6315</v>
      </c>
      <c r="B2928" t="s">
        <v>56</v>
      </c>
      <c r="C2928" s="10" t="s">
        <v>5469</v>
      </c>
      <c r="D2928" t="s">
        <v>58</v>
      </c>
      <c r="E2928" t="s">
        <v>497</v>
      </c>
      <c r="F2928" t="s">
        <v>6275</v>
      </c>
      <c r="G2928">
        <v>20000</v>
      </c>
      <c r="H2928">
        <v>1972</v>
      </c>
      <c r="I2928" t="s">
        <v>58</v>
      </c>
      <c r="J2928" t="s">
        <v>58</v>
      </c>
      <c r="K2928" t="s">
        <v>58</v>
      </c>
      <c r="L2928" t="s">
        <v>58</v>
      </c>
      <c r="M2928" t="s">
        <v>58</v>
      </c>
      <c r="N2928" t="s">
        <v>61</v>
      </c>
      <c r="Q2928" t="s">
        <v>58</v>
      </c>
      <c r="R2928" s="11" t="str">
        <f>HYPERLINK("\\imagefiles.bcgov\imagery\scanned_maps\moe_terrain_maps\Scanned_T_maps_all\R16\R16-987","\\imagefiles.bcgov\imagery\scanned_maps\moe_terrain_maps\Scanned_T_maps_all\R16\R16-987")</f>
        <v>\\imagefiles.bcgov\imagery\scanned_maps\moe_terrain_maps\Scanned_T_maps_all\R16\R16-987</v>
      </c>
      <c r="S2928" t="s">
        <v>62</v>
      </c>
      <c r="T2928" s="11" t="str">
        <f>HYPERLINK("http://www.env.gov.bc.ca/esd/distdata/ecosystems/TEI_Scanned_Maps/R16/R16-987","http://www.env.gov.bc.ca/esd/distdata/ecosystems/TEI_Scanned_Maps/R16/R16-987")</f>
        <v>http://www.env.gov.bc.ca/esd/distdata/ecosystems/TEI_Scanned_Maps/R16/R16-987</v>
      </c>
      <c r="U2928" t="s">
        <v>58</v>
      </c>
      <c r="V2928" t="s">
        <v>58</v>
      </c>
      <c r="W2928" t="s">
        <v>58</v>
      </c>
      <c r="X2928" t="s">
        <v>58</v>
      </c>
      <c r="Y2928" t="s">
        <v>58</v>
      </c>
      <c r="Z2928" t="s">
        <v>58</v>
      </c>
      <c r="AA2928" t="s">
        <v>58</v>
      </c>
      <c r="AC2928" t="s">
        <v>58</v>
      </c>
      <c r="AE2928" t="s">
        <v>58</v>
      </c>
      <c r="AG2928" t="s">
        <v>63</v>
      </c>
      <c r="AH2928" s="11" t="str">
        <f t="shared" si="175"/>
        <v>mailto: soilterrain@victoria1.gov.bc.ca</v>
      </c>
    </row>
    <row r="2929" spans="1:34">
      <c r="A2929" t="s">
        <v>6316</v>
      </c>
      <c r="B2929" t="s">
        <v>56</v>
      </c>
      <c r="C2929" s="10" t="s">
        <v>5471</v>
      </c>
      <c r="D2929" t="s">
        <v>58</v>
      </c>
      <c r="E2929" t="s">
        <v>497</v>
      </c>
      <c r="F2929" t="s">
        <v>6275</v>
      </c>
      <c r="G2929">
        <v>20000</v>
      </c>
      <c r="H2929">
        <v>1969</v>
      </c>
      <c r="I2929" t="s">
        <v>58</v>
      </c>
      <c r="J2929" t="s">
        <v>58</v>
      </c>
      <c r="K2929" t="s">
        <v>58</v>
      </c>
      <c r="L2929" t="s">
        <v>58</v>
      </c>
      <c r="M2929" t="s">
        <v>58</v>
      </c>
      <c r="N2929" t="s">
        <v>61</v>
      </c>
      <c r="Q2929" t="s">
        <v>58</v>
      </c>
      <c r="R2929" s="11" t="str">
        <f>HYPERLINK("\\imagefiles.bcgov\imagery\scanned_maps\moe_terrain_maps\Scanned_T_maps_all\R16\R16-996","\\imagefiles.bcgov\imagery\scanned_maps\moe_terrain_maps\Scanned_T_maps_all\R16\R16-996")</f>
        <v>\\imagefiles.bcgov\imagery\scanned_maps\moe_terrain_maps\Scanned_T_maps_all\R16\R16-996</v>
      </c>
      <c r="S2929" t="s">
        <v>62</v>
      </c>
      <c r="T2929" s="11" t="str">
        <f>HYPERLINK("http://www.env.gov.bc.ca/esd/distdata/ecosystems/TEI_Scanned_Maps/R16/R16-996","http://www.env.gov.bc.ca/esd/distdata/ecosystems/TEI_Scanned_Maps/R16/R16-996")</f>
        <v>http://www.env.gov.bc.ca/esd/distdata/ecosystems/TEI_Scanned_Maps/R16/R16-996</v>
      </c>
      <c r="U2929" t="s">
        <v>58</v>
      </c>
      <c r="V2929" t="s">
        <v>58</v>
      </c>
      <c r="W2929" t="s">
        <v>58</v>
      </c>
      <c r="X2929" t="s">
        <v>58</v>
      </c>
      <c r="Y2929" t="s">
        <v>58</v>
      </c>
      <c r="Z2929" t="s">
        <v>58</v>
      </c>
      <c r="AA2929" t="s">
        <v>58</v>
      </c>
      <c r="AC2929" t="s">
        <v>58</v>
      </c>
      <c r="AE2929" t="s">
        <v>58</v>
      </c>
      <c r="AG2929" t="s">
        <v>63</v>
      </c>
      <c r="AH2929" s="11" t="str">
        <f t="shared" si="175"/>
        <v>mailto: soilterrain@victoria1.gov.bc.ca</v>
      </c>
    </row>
    <row r="2930" spans="1:34">
      <c r="A2930" t="s">
        <v>6317</v>
      </c>
      <c r="B2930" t="s">
        <v>56</v>
      </c>
      <c r="C2930" s="10" t="s">
        <v>5386</v>
      </c>
      <c r="D2930" t="s">
        <v>58</v>
      </c>
      <c r="E2930" t="s">
        <v>59</v>
      </c>
      <c r="F2930" t="s">
        <v>6318</v>
      </c>
      <c r="G2930">
        <v>20000</v>
      </c>
      <c r="H2930">
        <v>1972</v>
      </c>
      <c r="I2930" t="s">
        <v>58</v>
      </c>
      <c r="J2930" t="s">
        <v>58</v>
      </c>
      <c r="K2930" t="s">
        <v>61</v>
      </c>
      <c r="L2930" t="s">
        <v>58</v>
      </c>
      <c r="M2930" t="s">
        <v>58</v>
      </c>
      <c r="Q2930" t="s">
        <v>58</v>
      </c>
      <c r="R2930" s="11" t="str">
        <f>HYPERLINK("\\imagefiles.bcgov\imagery\scanned_maps\moe_terrain_maps\Scanned_T_maps_all\R17\R17-157","\\imagefiles.bcgov\imagery\scanned_maps\moe_terrain_maps\Scanned_T_maps_all\R17\R17-157")</f>
        <v>\\imagefiles.bcgov\imagery\scanned_maps\moe_terrain_maps\Scanned_T_maps_all\R17\R17-157</v>
      </c>
      <c r="S2930" t="s">
        <v>62</v>
      </c>
      <c r="T2930" s="11" t="str">
        <f>HYPERLINK("http://www.env.gov.bc.ca/esd/distdata/ecosystems/TEI_Scanned_Maps/R17/R17-157","http://www.env.gov.bc.ca/esd/distdata/ecosystems/TEI_Scanned_Maps/R17/R17-157")</f>
        <v>http://www.env.gov.bc.ca/esd/distdata/ecosystems/TEI_Scanned_Maps/R17/R17-157</v>
      </c>
      <c r="U2930" t="s">
        <v>58</v>
      </c>
      <c r="V2930" t="s">
        <v>58</v>
      </c>
      <c r="W2930" t="s">
        <v>58</v>
      </c>
      <c r="X2930" t="s">
        <v>58</v>
      </c>
      <c r="Y2930" t="s">
        <v>58</v>
      </c>
      <c r="Z2930" t="s">
        <v>58</v>
      </c>
      <c r="AA2930" t="s">
        <v>58</v>
      </c>
      <c r="AC2930" t="s">
        <v>58</v>
      </c>
      <c r="AE2930" t="s">
        <v>58</v>
      </c>
      <c r="AG2930" t="s">
        <v>63</v>
      </c>
      <c r="AH2930" s="11" t="str">
        <f t="shared" si="175"/>
        <v>mailto: soilterrain@victoria1.gov.bc.ca</v>
      </c>
    </row>
    <row r="2931" spans="1:34">
      <c r="A2931" t="s">
        <v>6319</v>
      </c>
      <c r="B2931" t="s">
        <v>56</v>
      </c>
      <c r="C2931" s="10" t="s">
        <v>5388</v>
      </c>
      <c r="D2931" t="s">
        <v>58</v>
      </c>
      <c r="E2931" t="s">
        <v>59</v>
      </c>
      <c r="F2931" t="s">
        <v>6318</v>
      </c>
      <c r="G2931">
        <v>20000</v>
      </c>
      <c r="H2931">
        <v>1970</v>
      </c>
      <c r="I2931" t="s">
        <v>58</v>
      </c>
      <c r="J2931" t="s">
        <v>58</v>
      </c>
      <c r="K2931" t="s">
        <v>61</v>
      </c>
      <c r="L2931" t="s">
        <v>58</v>
      </c>
      <c r="M2931" t="s">
        <v>58</v>
      </c>
      <c r="Q2931" t="s">
        <v>58</v>
      </c>
      <c r="R2931" s="11" t="str">
        <f>HYPERLINK("\\imagefiles.bcgov\imagery\scanned_maps\moe_terrain_maps\Scanned_T_maps_all\R17\R17-164","\\imagefiles.bcgov\imagery\scanned_maps\moe_terrain_maps\Scanned_T_maps_all\R17\R17-164")</f>
        <v>\\imagefiles.bcgov\imagery\scanned_maps\moe_terrain_maps\Scanned_T_maps_all\R17\R17-164</v>
      </c>
      <c r="S2931" t="s">
        <v>62</v>
      </c>
      <c r="T2931" s="11" t="str">
        <f>HYPERLINK("http://www.env.gov.bc.ca/esd/distdata/ecosystems/TEI_Scanned_Maps/R17/R17-164","http://www.env.gov.bc.ca/esd/distdata/ecosystems/TEI_Scanned_Maps/R17/R17-164")</f>
        <v>http://www.env.gov.bc.ca/esd/distdata/ecosystems/TEI_Scanned_Maps/R17/R17-164</v>
      </c>
      <c r="U2931" t="s">
        <v>58</v>
      </c>
      <c r="V2931" t="s">
        <v>58</v>
      </c>
      <c r="W2931" t="s">
        <v>58</v>
      </c>
      <c r="X2931" t="s">
        <v>58</v>
      </c>
      <c r="Y2931" t="s">
        <v>58</v>
      </c>
      <c r="Z2931" t="s">
        <v>58</v>
      </c>
      <c r="AA2931" t="s">
        <v>58</v>
      </c>
      <c r="AC2931" t="s">
        <v>58</v>
      </c>
      <c r="AE2931" t="s">
        <v>58</v>
      </c>
      <c r="AG2931" t="s">
        <v>63</v>
      </c>
      <c r="AH2931" s="11" t="str">
        <f t="shared" si="175"/>
        <v>mailto: soilterrain@victoria1.gov.bc.ca</v>
      </c>
    </row>
    <row r="2932" spans="1:34">
      <c r="A2932" t="s">
        <v>6320</v>
      </c>
      <c r="B2932" t="s">
        <v>56</v>
      </c>
      <c r="C2932" s="10" t="s">
        <v>5390</v>
      </c>
      <c r="D2932" t="s">
        <v>58</v>
      </c>
      <c r="E2932" t="s">
        <v>59</v>
      </c>
      <c r="F2932" t="s">
        <v>6318</v>
      </c>
      <c r="G2932">
        <v>20000</v>
      </c>
      <c r="H2932">
        <v>1982</v>
      </c>
      <c r="I2932" t="s">
        <v>58</v>
      </c>
      <c r="J2932" t="s">
        <v>58</v>
      </c>
      <c r="K2932" t="s">
        <v>61</v>
      </c>
      <c r="L2932" t="s">
        <v>58</v>
      </c>
      <c r="M2932" t="s">
        <v>58</v>
      </c>
      <c r="Q2932" t="s">
        <v>58</v>
      </c>
      <c r="R2932" s="11" t="str">
        <f>HYPERLINK("\\imagefiles.bcgov\imagery\scanned_maps\moe_terrain_maps\Scanned_T_maps_all\R17\R17-170","\\imagefiles.bcgov\imagery\scanned_maps\moe_terrain_maps\Scanned_T_maps_all\R17\R17-170")</f>
        <v>\\imagefiles.bcgov\imagery\scanned_maps\moe_terrain_maps\Scanned_T_maps_all\R17\R17-170</v>
      </c>
      <c r="S2932" t="s">
        <v>62</v>
      </c>
      <c r="T2932" s="11" t="str">
        <f>HYPERLINK("http://www.env.gov.bc.ca/esd/distdata/ecosystems/TEI_Scanned_Maps/R17/R17-170","http://www.env.gov.bc.ca/esd/distdata/ecosystems/TEI_Scanned_Maps/R17/R17-170")</f>
        <v>http://www.env.gov.bc.ca/esd/distdata/ecosystems/TEI_Scanned_Maps/R17/R17-170</v>
      </c>
      <c r="U2932" t="s">
        <v>58</v>
      </c>
      <c r="V2932" t="s">
        <v>58</v>
      </c>
      <c r="W2932" t="s">
        <v>58</v>
      </c>
      <c r="X2932" t="s">
        <v>58</v>
      </c>
      <c r="Y2932" t="s">
        <v>58</v>
      </c>
      <c r="Z2932" t="s">
        <v>58</v>
      </c>
      <c r="AA2932" t="s">
        <v>58</v>
      </c>
      <c r="AC2932" t="s">
        <v>58</v>
      </c>
      <c r="AE2932" t="s">
        <v>58</v>
      </c>
      <c r="AG2932" t="s">
        <v>63</v>
      </c>
      <c r="AH2932" s="11" t="str">
        <f t="shared" si="175"/>
        <v>mailto: soilterrain@victoria1.gov.bc.ca</v>
      </c>
    </row>
    <row r="2933" spans="1:34">
      <c r="A2933" t="s">
        <v>6321</v>
      </c>
      <c r="B2933" t="s">
        <v>56</v>
      </c>
      <c r="C2933" s="10" t="s">
        <v>5392</v>
      </c>
      <c r="D2933" t="s">
        <v>58</v>
      </c>
      <c r="E2933" t="s">
        <v>59</v>
      </c>
      <c r="F2933" t="s">
        <v>6318</v>
      </c>
      <c r="G2933">
        <v>20000</v>
      </c>
      <c r="H2933">
        <v>1970</v>
      </c>
      <c r="I2933" t="s">
        <v>58</v>
      </c>
      <c r="J2933" t="s">
        <v>58</v>
      </c>
      <c r="K2933" t="s">
        <v>61</v>
      </c>
      <c r="L2933" t="s">
        <v>58</v>
      </c>
      <c r="M2933" t="s">
        <v>58</v>
      </c>
      <c r="Q2933" t="s">
        <v>58</v>
      </c>
      <c r="R2933" s="11" t="str">
        <f>HYPERLINK("\\imagefiles.bcgov\imagery\scanned_maps\moe_terrain_maps\Scanned_T_maps_all\R17\R17-176","\\imagefiles.bcgov\imagery\scanned_maps\moe_terrain_maps\Scanned_T_maps_all\R17\R17-176")</f>
        <v>\\imagefiles.bcgov\imagery\scanned_maps\moe_terrain_maps\Scanned_T_maps_all\R17\R17-176</v>
      </c>
      <c r="S2933" t="s">
        <v>62</v>
      </c>
      <c r="T2933" s="11" t="str">
        <f>HYPERLINK("http://www.env.gov.bc.ca/esd/distdata/ecosystems/TEI_Scanned_Maps/R17/R17-176","http://www.env.gov.bc.ca/esd/distdata/ecosystems/TEI_Scanned_Maps/R17/R17-176")</f>
        <v>http://www.env.gov.bc.ca/esd/distdata/ecosystems/TEI_Scanned_Maps/R17/R17-176</v>
      </c>
      <c r="U2933" t="s">
        <v>58</v>
      </c>
      <c r="V2933" t="s">
        <v>58</v>
      </c>
      <c r="W2933" t="s">
        <v>58</v>
      </c>
      <c r="X2933" t="s">
        <v>58</v>
      </c>
      <c r="Y2933" t="s">
        <v>58</v>
      </c>
      <c r="Z2933" t="s">
        <v>58</v>
      </c>
      <c r="AA2933" t="s">
        <v>58</v>
      </c>
      <c r="AC2933" t="s">
        <v>58</v>
      </c>
      <c r="AE2933" t="s">
        <v>58</v>
      </c>
      <c r="AG2933" t="s">
        <v>63</v>
      </c>
      <c r="AH2933" s="11" t="str">
        <f t="shared" si="175"/>
        <v>mailto: soilterrain@victoria1.gov.bc.ca</v>
      </c>
    </row>
    <row r="2934" spans="1:34">
      <c r="A2934" t="s">
        <v>6322</v>
      </c>
      <c r="B2934" t="s">
        <v>56</v>
      </c>
      <c r="C2934" s="10" t="s">
        <v>4682</v>
      </c>
      <c r="D2934" t="s">
        <v>58</v>
      </c>
      <c r="E2934" t="s">
        <v>59</v>
      </c>
      <c r="F2934" t="s">
        <v>6318</v>
      </c>
      <c r="G2934">
        <v>20000</v>
      </c>
      <c r="H2934">
        <v>1982</v>
      </c>
      <c r="I2934" t="s">
        <v>58</v>
      </c>
      <c r="J2934" t="s">
        <v>58</v>
      </c>
      <c r="K2934" t="s">
        <v>61</v>
      </c>
      <c r="L2934" t="s">
        <v>58</v>
      </c>
      <c r="M2934" t="s">
        <v>58</v>
      </c>
      <c r="Q2934" t="s">
        <v>58</v>
      </c>
      <c r="R2934" s="11" t="str">
        <f>HYPERLINK("\\imagefiles.bcgov\imagery\scanned_maps\moe_terrain_maps\Scanned_T_maps_all\R17\R17-183","\\imagefiles.bcgov\imagery\scanned_maps\moe_terrain_maps\Scanned_T_maps_all\R17\R17-183")</f>
        <v>\\imagefiles.bcgov\imagery\scanned_maps\moe_terrain_maps\Scanned_T_maps_all\R17\R17-183</v>
      </c>
      <c r="S2934" t="s">
        <v>62</v>
      </c>
      <c r="T2934" s="11" t="str">
        <f>HYPERLINK("http://www.env.gov.bc.ca/esd/distdata/ecosystems/TEI_Scanned_Maps/R17/R17-183","http://www.env.gov.bc.ca/esd/distdata/ecosystems/TEI_Scanned_Maps/R17/R17-183")</f>
        <v>http://www.env.gov.bc.ca/esd/distdata/ecosystems/TEI_Scanned_Maps/R17/R17-183</v>
      </c>
      <c r="U2934" t="s">
        <v>58</v>
      </c>
      <c r="V2934" t="s">
        <v>58</v>
      </c>
      <c r="W2934" t="s">
        <v>58</v>
      </c>
      <c r="X2934" t="s">
        <v>58</v>
      </c>
      <c r="Y2934" t="s">
        <v>58</v>
      </c>
      <c r="Z2934" t="s">
        <v>58</v>
      </c>
      <c r="AA2934" t="s">
        <v>58</v>
      </c>
      <c r="AC2934" t="s">
        <v>58</v>
      </c>
      <c r="AE2934" t="s">
        <v>58</v>
      </c>
      <c r="AG2934" t="s">
        <v>63</v>
      </c>
      <c r="AH2934" s="11" t="str">
        <f t="shared" si="175"/>
        <v>mailto: soilterrain@victoria1.gov.bc.ca</v>
      </c>
    </row>
    <row r="2935" spans="1:34">
      <c r="A2935" t="s">
        <v>6323</v>
      </c>
      <c r="B2935" t="s">
        <v>56</v>
      </c>
      <c r="C2935" s="10" t="s">
        <v>5395</v>
      </c>
      <c r="D2935" t="s">
        <v>58</v>
      </c>
      <c r="E2935" t="s">
        <v>59</v>
      </c>
      <c r="F2935" t="s">
        <v>6318</v>
      </c>
      <c r="G2935">
        <v>20000</v>
      </c>
      <c r="H2935">
        <v>1970</v>
      </c>
      <c r="I2935" t="s">
        <v>58</v>
      </c>
      <c r="J2935" t="s">
        <v>58</v>
      </c>
      <c r="K2935" t="s">
        <v>61</v>
      </c>
      <c r="L2935" t="s">
        <v>58</v>
      </c>
      <c r="M2935" t="s">
        <v>58</v>
      </c>
      <c r="Q2935" t="s">
        <v>58</v>
      </c>
      <c r="R2935" s="11" t="str">
        <f>HYPERLINK("\\imagefiles.bcgov\imagery\scanned_maps\moe_terrain_maps\Scanned_T_maps_all\R17\R17-189","\\imagefiles.bcgov\imagery\scanned_maps\moe_terrain_maps\Scanned_T_maps_all\R17\R17-189")</f>
        <v>\\imagefiles.bcgov\imagery\scanned_maps\moe_terrain_maps\Scanned_T_maps_all\R17\R17-189</v>
      </c>
      <c r="S2935" t="s">
        <v>62</v>
      </c>
      <c r="T2935" s="11" t="str">
        <f>HYPERLINK("http://www.env.gov.bc.ca/esd/distdata/ecosystems/TEI_Scanned_Maps/R17/R17-189","http://www.env.gov.bc.ca/esd/distdata/ecosystems/TEI_Scanned_Maps/R17/R17-189")</f>
        <v>http://www.env.gov.bc.ca/esd/distdata/ecosystems/TEI_Scanned_Maps/R17/R17-189</v>
      </c>
      <c r="U2935" t="s">
        <v>58</v>
      </c>
      <c r="V2935" t="s">
        <v>58</v>
      </c>
      <c r="W2935" t="s">
        <v>58</v>
      </c>
      <c r="X2935" t="s">
        <v>58</v>
      </c>
      <c r="Y2935" t="s">
        <v>58</v>
      </c>
      <c r="Z2935" t="s">
        <v>58</v>
      </c>
      <c r="AA2935" t="s">
        <v>58</v>
      </c>
      <c r="AC2935" t="s">
        <v>58</v>
      </c>
      <c r="AE2935" t="s">
        <v>58</v>
      </c>
      <c r="AG2935" t="s">
        <v>63</v>
      </c>
      <c r="AH2935" s="11" t="str">
        <f t="shared" si="175"/>
        <v>mailto: soilterrain@victoria1.gov.bc.ca</v>
      </c>
    </row>
    <row r="2936" spans="1:34">
      <c r="A2936" t="s">
        <v>6324</v>
      </c>
      <c r="B2936" t="s">
        <v>56</v>
      </c>
      <c r="C2936" s="10" t="s">
        <v>5397</v>
      </c>
      <c r="D2936" t="s">
        <v>58</v>
      </c>
      <c r="E2936" t="s">
        <v>59</v>
      </c>
      <c r="F2936" t="s">
        <v>6318</v>
      </c>
      <c r="G2936">
        <v>20000</v>
      </c>
      <c r="H2936">
        <v>1982</v>
      </c>
      <c r="I2936" t="s">
        <v>58</v>
      </c>
      <c r="J2936" t="s">
        <v>58</v>
      </c>
      <c r="K2936" t="s">
        <v>61</v>
      </c>
      <c r="L2936" t="s">
        <v>58</v>
      </c>
      <c r="M2936" t="s">
        <v>58</v>
      </c>
      <c r="Q2936" t="s">
        <v>58</v>
      </c>
      <c r="R2936" s="11" t="str">
        <f>HYPERLINK("\\imagefiles.bcgov\imagery\scanned_maps\moe_terrain_maps\Scanned_T_maps_all\R17\R17-195","\\imagefiles.bcgov\imagery\scanned_maps\moe_terrain_maps\Scanned_T_maps_all\R17\R17-195")</f>
        <v>\\imagefiles.bcgov\imagery\scanned_maps\moe_terrain_maps\Scanned_T_maps_all\R17\R17-195</v>
      </c>
      <c r="S2936" t="s">
        <v>62</v>
      </c>
      <c r="T2936" s="11" t="str">
        <f>HYPERLINK("http://www.env.gov.bc.ca/esd/distdata/ecosystems/TEI_Scanned_Maps/R17/R17-195","http://www.env.gov.bc.ca/esd/distdata/ecosystems/TEI_Scanned_Maps/R17/R17-195")</f>
        <v>http://www.env.gov.bc.ca/esd/distdata/ecosystems/TEI_Scanned_Maps/R17/R17-195</v>
      </c>
      <c r="U2936" t="s">
        <v>58</v>
      </c>
      <c r="V2936" t="s">
        <v>58</v>
      </c>
      <c r="W2936" t="s">
        <v>58</v>
      </c>
      <c r="X2936" t="s">
        <v>58</v>
      </c>
      <c r="Y2936" t="s">
        <v>58</v>
      </c>
      <c r="Z2936" t="s">
        <v>58</v>
      </c>
      <c r="AA2936" t="s">
        <v>58</v>
      </c>
      <c r="AC2936" t="s">
        <v>58</v>
      </c>
      <c r="AE2936" t="s">
        <v>58</v>
      </c>
      <c r="AG2936" t="s">
        <v>63</v>
      </c>
      <c r="AH2936" s="11" t="str">
        <f t="shared" si="175"/>
        <v>mailto: soilterrain@victoria1.gov.bc.ca</v>
      </c>
    </row>
    <row r="2937" spans="1:34">
      <c r="A2937" t="s">
        <v>6325</v>
      </c>
      <c r="B2937" t="s">
        <v>56</v>
      </c>
      <c r="C2937" s="10" t="s">
        <v>5399</v>
      </c>
      <c r="D2937" t="s">
        <v>58</v>
      </c>
      <c r="E2937" t="s">
        <v>59</v>
      </c>
      <c r="F2937" t="s">
        <v>6318</v>
      </c>
      <c r="G2937">
        <v>20000</v>
      </c>
      <c r="H2937">
        <v>1970</v>
      </c>
      <c r="I2937" t="s">
        <v>58</v>
      </c>
      <c r="J2937" t="s">
        <v>58</v>
      </c>
      <c r="K2937" t="s">
        <v>61</v>
      </c>
      <c r="L2937" t="s">
        <v>58</v>
      </c>
      <c r="M2937" t="s">
        <v>58</v>
      </c>
      <c r="Q2937" t="s">
        <v>58</v>
      </c>
      <c r="R2937" s="11" t="str">
        <f>HYPERLINK("\\imagefiles.bcgov\imagery\scanned_maps\moe_terrain_maps\Scanned_T_maps_all\R17\R17-202","\\imagefiles.bcgov\imagery\scanned_maps\moe_terrain_maps\Scanned_T_maps_all\R17\R17-202")</f>
        <v>\\imagefiles.bcgov\imagery\scanned_maps\moe_terrain_maps\Scanned_T_maps_all\R17\R17-202</v>
      </c>
      <c r="S2937" t="s">
        <v>62</v>
      </c>
      <c r="T2937" s="11" t="str">
        <f>HYPERLINK("http://www.env.gov.bc.ca/esd/distdata/ecosystems/TEI_Scanned_Maps/R17/R17-202","http://www.env.gov.bc.ca/esd/distdata/ecosystems/TEI_Scanned_Maps/R17/R17-202")</f>
        <v>http://www.env.gov.bc.ca/esd/distdata/ecosystems/TEI_Scanned_Maps/R17/R17-202</v>
      </c>
      <c r="U2937" t="s">
        <v>58</v>
      </c>
      <c r="V2937" t="s">
        <v>58</v>
      </c>
      <c r="W2937" t="s">
        <v>58</v>
      </c>
      <c r="X2937" t="s">
        <v>58</v>
      </c>
      <c r="Y2937" t="s">
        <v>58</v>
      </c>
      <c r="Z2937" t="s">
        <v>58</v>
      </c>
      <c r="AA2937" t="s">
        <v>58</v>
      </c>
      <c r="AC2937" t="s">
        <v>58</v>
      </c>
      <c r="AE2937" t="s">
        <v>58</v>
      </c>
      <c r="AG2937" t="s">
        <v>63</v>
      </c>
      <c r="AH2937" s="11" t="str">
        <f t="shared" si="175"/>
        <v>mailto: soilterrain@victoria1.gov.bc.ca</v>
      </c>
    </row>
    <row r="2938" spans="1:34">
      <c r="A2938" t="s">
        <v>6326</v>
      </c>
      <c r="B2938" t="s">
        <v>56</v>
      </c>
      <c r="C2938" s="10" t="s">
        <v>5401</v>
      </c>
      <c r="D2938" t="s">
        <v>58</v>
      </c>
      <c r="E2938" t="s">
        <v>59</v>
      </c>
      <c r="F2938" t="s">
        <v>6318</v>
      </c>
      <c r="G2938">
        <v>20000</v>
      </c>
      <c r="H2938">
        <v>1982</v>
      </c>
      <c r="I2938" t="s">
        <v>58</v>
      </c>
      <c r="J2938" t="s">
        <v>58</v>
      </c>
      <c r="K2938" t="s">
        <v>61</v>
      </c>
      <c r="L2938" t="s">
        <v>58</v>
      </c>
      <c r="M2938" t="s">
        <v>58</v>
      </c>
      <c r="Q2938" t="s">
        <v>58</v>
      </c>
      <c r="R2938" s="11" t="str">
        <f>HYPERLINK("\\imagefiles.bcgov\imagery\scanned_maps\moe_terrain_maps\Scanned_T_maps_all\R17\R17-208","\\imagefiles.bcgov\imagery\scanned_maps\moe_terrain_maps\Scanned_T_maps_all\R17\R17-208")</f>
        <v>\\imagefiles.bcgov\imagery\scanned_maps\moe_terrain_maps\Scanned_T_maps_all\R17\R17-208</v>
      </c>
      <c r="S2938" t="s">
        <v>62</v>
      </c>
      <c r="T2938" s="11" t="str">
        <f>HYPERLINK("http://www.env.gov.bc.ca/esd/distdata/ecosystems/TEI_Scanned_Maps/R17/R17-208","http://www.env.gov.bc.ca/esd/distdata/ecosystems/TEI_Scanned_Maps/R17/R17-208")</f>
        <v>http://www.env.gov.bc.ca/esd/distdata/ecosystems/TEI_Scanned_Maps/R17/R17-208</v>
      </c>
      <c r="U2938" t="s">
        <v>58</v>
      </c>
      <c r="V2938" t="s">
        <v>58</v>
      </c>
      <c r="W2938" t="s">
        <v>58</v>
      </c>
      <c r="X2938" t="s">
        <v>58</v>
      </c>
      <c r="Y2938" t="s">
        <v>58</v>
      </c>
      <c r="Z2938" t="s">
        <v>58</v>
      </c>
      <c r="AA2938" t="s">
        <v>58</v>
      </c>
      <c r="AC2938" t="s">
        <v>58</v>
      </c>
      <c r="AE2938" t="s">
        <v>58</v>
      </c>
      <c r="AG2938" t="s">
        <v>63</v>
      </c>
      <c r="AH2938" s="11" t="str">
        <f t="shared" si="175"/>
        <v>mailto: soilterrain@victoria1.gov.bc.ca</v>
      </c>
    </row>
    <row r="2939" spans="1:34">
      <c r="A2939" t="s">
        <v>6327</v>
      </c>
      <c r="B2939" t="s">
        <v>56</v>
      </c>
      <c r="C2939" s="10" t="s">
        <v>5403</v>
      </c>
      <c r="D2939" t="s">
        <v>58</v>
      </c>
      <c r="E2939" t="s">
        <v>59</v>
      </c>
      <c r="F2939" t="s">
        <v>6318</v>
      </c>
      <c r="G2939">
        <v>20000</v>
      </c>
      <c r="H2939">
        <v>1982</v>
      </c>
      <c r="I2939" t="s">
        <v>58</v>
      </c>
      <c r="J2939" t="s">
        <v>58</v>
      </c>
      <c r="K2939" t="s">
        <v>61</v>
      </c>
      <c r="L2939" t="s">
        <v>58</v>
      </c>
      <c r="M2939" t="s">
        <v>58</v>
      </c>
      <c r="Q2939" t="s">
        <v>58</v>
      </c>
      <c r="R2939" s="11" t="str">
        <f>HYPERLINK("\\imagefiles.bcgov\imagery\scanned_maps\moe_terrain_maps\Scanned_T_maps_all\R17\R17-215","\\imagefiles.bcgov\imagery\scanned_maps\moe_terrain_maps\Scanned_T_maps_all\R17\R17-215")</f>
        <v>\\imagefiles.bcgov\imagery\scanned_maps\moe_terrain_maps\Scanned_T_maps_all\R17\R17-215</v>
      </c>
      <c r="S2939" t="s">
        <v>62</v>
      </c>
      <c r="T2939" s="11" t="str">
        <f>HYPERLINK("http://www.env.gov.bc.ca/esd/distdata/ecosystems/TEI_Scanned_Maps/R17/R17-215","http://www.env.gov.bc.ca/esd/distdata/ecosystems/TEI_Scanned_Maps/R17/R17-215")</f>
        <v>http://www.env.gov.bc.ca/esd/distdata/ecosystems/TEI_Scanned_Maps/R17/R17-215</v>
      </c>
      <c r="U2939" t="s">
        <v>58</v>
      </c>
      <c r="V2939" t="s">
        <v>58</v>
      </c>
      <c r="W2939" t="s">
        <v>58</v>
      </c>
      <c r="X2939" t="s">
        <v>58</v>
      </c>
      <c r="Y2939" t="s">
        <v>58</v>
      </c>
      <c r="Z2939" t="s">
        <v>58</v>
      </c>
      <c r="AA2939" t="s">
        <v>58</v>
      </c>
      <c r="AC2939" t="s">
        <v>58</v>
      </c>
      <c r="AE2939" t="s">
        <v>58</v>
      </c>
      <c r="AG2939" t="s">
        <v>63</v>
      </c>
      <c r="AH2939" s="11" t="str">
        <f t="shared" si="175"/>
        <v>mailto: soilterrain@victoria1.gov.bc.ca</v>
      </c>
    </row>
    <row r="2940" spans="1:34">
      <c r="A2940" t="s">
        <v>6328</v>
      </c>
      <c r="B2940" t="s">
        <v>56</v>
      </c>
      <c r="C2940" s="10" t="s">
        <v>5405</v>
      </c>
      <c r="D2940" t="s">
        <v>58</v>
      </c>
      <c r="E2940" t="s">
        <v>59</v>
      </c>
      <c r="F2940" t="s">
        <v>6318</v>
      </c>
      <c r="G2940">
        <v>20000</v>
      </c>
      <c r="H2940">
        <v>1982</v>
      </c>
      <c r="I2940" t="s">
        <v>58</v>
      </c>
      <c r="J2940" t="s">
        <v>58</v>
      </c>
      <c r="K2940" t="s">
        <v>61</v>
      </c>
      <c r="L2940" t="s">
        <v>58</v>
      </c>
      <c r="M2940" t="s">
        <v>58</v>
      </c>
      <c r="Q2940" t="s">
        <v>58</v>
      </c>
      <c r="R2940" s="11" t="str">
        <f>HYPERLINK("\\imagefiles.bcgov\imagery\scanned_maps\moe_terrain_maps\Scanned_T_maps_all\R17\R17-222","\\imagefiles.bcgov\imagery\scanned_maps\moe_terrain_maps\Scanned_T_maps_all\R17\R17-222")</f>
        <v>\\imagefiles.bcgov\imagery\scanned_maps\moe_terrain_maps\Scanned_T_maps_all\R17\R17-222</v>
      </c>
      <c r="S2940" t="s">
        <v>62</v>
      </c>
      <c r="T2940" s="11" t="str">
        <f>HYPERLINK("http://www.env.gov.bc.ca/esd/distdata/ecosystems/TEI_Scanned_Maps/R17/R17-222","http://www.env.gov.bc.ca/esd/distdata/ecosystems/TEI_Scanned_Maps/R17/R17-222")</f>
        <v>http://www.env.gov.bc.ca/esd/distdata/ecosystems/TEI_Scanned_Maps/R17/R17-222</v>
      </c>
      <c r="U2940" t="s">
        <v>58</v>
      </c>
      <c r="V2940" t="s">
        <v>58</v>
      </c>
      <c r="W2940" t="s">
        <v>58</v>
      </c>
      <c r="X2940" t="s">
        <v>58</v>
      </c>
      <c r="Y2940" t="s">
        <v>58</v>
      </c>
      <c r="Z2940" t="s">
        <v>58</v>
      </c>
      <c r="AA2940" t="s">
        <v>58</v>
      </c>
      <c r="AC2940" t="s">
        <v>58</v>
      </c>
      <c r="AE2940" t="s">
        <v>58</v>
      </c>
      <c r="AG2940" t="s">
        <v>63</v>
      </c>
      <c r="AH2940" s="11" t="str">
        <f t="shared" si="175"/>
        <v>mailto: soilterrain@victoria1.gov.bc.ca</v>
      </c>
    </row>
    <row r="2941" spans="1:34">
      <c r="A2941" t="s">
        <v>6329</v>
      </c>
      <c r="B2941" t="s">
        <v>56</v>
      </c>
      <c r="C2941" s="10" t="s">
        <v>5407</v>
      </c>
      <c r="D2941" t="s">
        <v>58</v>
      </c>
      <c r="E2941" t="s">
        <v>59</v>
      </c>
      <c r="F2941" t="s">
        <v>6318</v>
      </c>
      <c r="G2941">
        <v>20000</v>
      </c>
      <c r="H2941">
        <v>1982</v>
      </c>
      <c r="I2941" t="s">
        <v>58</v>
      </c>
      <c r="J2941" t="s">
        <v>58</v>
      </c>
      <c r="K2941" t="s">
        <v>61</v>
      </c>
      <c r="L2941" t="s">
        <v>58</v>
      </c>
      <c r="M2941" t="s">
        <v>58</v>
      </c>
      <c r="Q2941" t="s">
        <v>58</v>
      </c>
      <c r="R2941" s="11" t="str">
        <f>HYPERLINK("\\imagefiles.bcgov\imagery\scanned_maps\moe_terrain_maps\Scanned_T_maps_all\R17\R17-229","\\imagefiles.bcgov\imagery\scanned_maps\moe_terrain_maps\Scanned_T_maps_all\R17\R17-229")</f>
        <v>\\imagefiles.bcgov\imagery\scanned_maps\moe_terrain_maps\Scanned_T_maps_all\R17\R17-229</v>
      </c>
      <c r="S2941" t="s">
        <v>62</v>
      </c>
      <c r="T2941" s="11" t="str">
        <f>HYPERLINK("http://www.env.gov.bc.ca/esd/distdata/ecosystems/TEI_Scanned_Maps/R17/R17-229","http://www.env.gov.bc.ca/esd/distdata/ecosystems/TEI_Scanned_Maps/R17/R17-229")</f>
        <v>http://www.env.gov.bc.ca/esd/distdata/ecosystems/TEI_Scanned_Maps/R17/R17-229</v>
      </c>
      <c r="U2941" t="s">
        <v>58</v>
      </c>
      <c r="V2941" t="s">
        <v>58</v>
      </c>
      <c r="W2941" t="s">
        <v>58</v>
      </c>
      <c r="X2941" t="s">
        <v>58</v>
      </c>
      <c r="Y2941" t="s">
        <v>58</v>
      </c>
      <c r="Z2941" t="s">
        <v>58</v>
      </c>
      <c r="AA2941" t="s">
        <v>58</v>
      </c>
      <c r="AC2941" t="s">
        <v>58</v>
      </c>
      <c r="AE2941" t="s">
        <v>58</v>
      </c>
      <c r="AG2941" t="s">
        <v>63</v>
      </c>
      <c r="AH2941" s="11" t="str">
        <f t="shared" si="175"/>
        <v>mailto: soilterrain@victoria1.gov.bc.ca</v>
      </c>
    </row>
    <row r="2942" spans="1:34">
      <c r="A2942" t="s">
        <v>6330</v>
      </c>
      <c r="B2942" t="s">
        <v>56</v>
      </c>
      <c r="C2942" s="10" t="s">
        <v>5409</v>
      </c>
      <c r="D2942" t="s">
        <v>58</v>
      </c>
      <c r="E2942" t="s">
        <v>59</v>
      </c>
      <c r="F2942" t="s">
        <v>6318</v>
      </c>
      <c r="G2942">
        <v>20000</v>
      </c>
      <c r="H2942">
        <v>1982</v>
      </c>
      <c r="I2942" t="s">
        <v>58</v>
      </c>
      <c r="J2942" t="s">
        <v>58</v>
      </c>
      <c r="K2942" t="s">
        <v>61</v>
      </c>
      <c r="L2942" t="s">
        <v>58</v>
      </c>
      <c r="M2942" t="s">
        <v>58</v>
      </c>
      <c r="Q2942" t="s">
        <v>58</v>
      </c>
      <c r="R2942" s="11" t="str">
        <f>HYPERLINK("\\imagefiles.bcgov\imagery\scanned_maps\moe_terrain_maps\Scanned_T_maps_all\R17\R17-236","\\imagefiles.bcgov\imagery\scanned_maps\moe_terrain_maps\Scanned_T_maps_all\R17\R17-236")</f>
        <v>\\imagefiles.bcgov\imagery\scanned_maps\moe_terrain_maps\Scanned_T_maps_all\R17\R17-236</v>
      </c>
      <c r="S2942" t="s">
        <v>62</v>
      </c>
      <c r="T2942" s="11" t="str">
        <f>HYPERLINK("http://www.env.gov.bc.ca/esd/distdata/ecosystems/TEI_Scanned_Maps/R17/R17-236","http://www.env.gov.bc.ca/esd/distdata/ecosystems/TEI_Scanned_Maps/R17/R17-236")</f>
        <v>http://www.env.gov.bc.ca/esd/distdata/ecosystems/TEI_Scanned_Maps/R17/R17-236</v>
      </c>
      <c r="U2942" t="s">
        <v>58</v>
      </c>
      <c r="V2942" t="s">
        <v>58</v>
      </c>
      <c r="W2942" t="s">
        <v>58</v>
      </c>
      <c r="X2942" t="s">
        <v>58</v>
      </c>
      <c r="Y2942" t="s">
        <v>58</v>
      </c>
      <c r="Z2942" t="s">
        <v>58</v>
      </c>
      <c r="AA2942" t="s">
        <v>58</v>
      </c>
      <c r="AC2942" t="s">
        <v>58</v>
      </c>
      <c r="AE2942" t="s">
        <v>58</v>
      </c>
      <c r="AG2942" t="s">
        <v>63</v>
      </c>
      <c r="AH2942" s="11" t="str">
        <f t="shared" si="175"/>
        <v>mailto: soilterrain@victoria1.gov.bc.ca</v>
      </c>
    </row>
    <row r="2943" spans="1:34">
      <c r="A2943" t="s">
        <v>6331</v>
      </c>
      <c r="B2943" t="s">
        <v>56</v>
      </c>
      <c r="C2943" s="10" t="s">
        <v>5411</v>
      </c>
      <c r="D2943" t="s">
        <v>58</v>
      </c>
      <c r="E2943" t="s">
        <v>59</v>
      </c>
      <c r="F2943" t="s">
        <v>6318</v>
      </c>
      <c r="G2943">
        <v>20000</v>
      </c>
      <c r="H2943" t="s">
        <v>187</v>
      </c>
      <c r="I2943" t="s">
        <v>58</v>
      </c>
      <c r="J2943" t="s">
        <v>58</v>
      </c>
      <c r="K2943" t="s">
        <v>61</v>
      </c>
      <c r="L2943" t="s">
        <v>58</v>
      </c>
      <c r="M2943" t="s">
        <v>58</v>
      </c>
      <c r="Q2943" t="s">
        <v>58</v>
      </c>
      <c r="R2943" s="11" t="str">
        <f>HYPERLINK("\\imagefiles.bcgov\imagery\scanned_maps\moe_terrain_maps\Scanned_T_maps_all\R17\R17-243","\\imagefiles.bcgov\imagery\scanned_maps\moe_terrain_maps\Scanned_T_maps_all\R17\R17-243")</f>
        <v>\\imagefiles.bcgov\imagery\scanned_maps\moe_terrain_maps\Scanned_T_maps_all\R17\R17-243</v>
      </c>
      <c r="S2943" t="s">
        <v>62</v>
      </c>
      <c r="T2943" s="11" t="str">
        <f>HYPERLINK("http://www.env.gov.bc.ca/esd/distdata/ecosystems/TEI_Scanned_Maps/R17/R17-243","http://www.env.gov.bc.ca/esd/distdata/ecosystems/TEI_Scanned_Maps/R17/R17-243")</f>
        <v>http://www.env.gov.bc.ca/esd/distdata/ecosystems/TEI_Scanned_Maps/R17/R17-243</v>
      </c>
      <c r="U2943" t="s">
        <v>58</v>
      </c>
      <c r="V2943" t="s">
        <v>58</v>
      </c>
      <c r="W2943" t="s">
        <v>58</v>
      </c>
      <c r="X2943" t="s">
        <v>58</v>
      </c>
      <c r="Y2943" t="s">
        <v>58</v>
      </c>
      <c r="Z2943" t="s">
        <v>58</v>
      </c>
      <c r="AA2943" t="s">
        <v>58</v>
      </c>
      <c r="AC2943" t="s">
        <v>58</v>
      </c>
      <c r="AE2943" t="s">
        <v>58</v>
      </c>
      <c r="AG2943" t="s">
        <v>63</v>
      </c>
      <c r="AH2943" s="11" t="str">
        <f t="shared" si="175"/>
        <v>mailto: soilterrain@victoria1.gov.bc.ca</v>
      </c>
    </row>
    <row r="2944" spans="1:34">
      <c r="A2944" t="s">
        <v>6332</v>
      </c>
      <c r="B2944" t="s">
        <v>56</v>
      </c>
      <c r="C2944" s="10" t="s">
        <v>5413</v>
      </c>
      <c r="D2944" t="s">
        <v>58</v>
      </c>
      <c r="E2944" t="s">
        <v>59</v>
      </c>
      <c r="F2944" t="s">
        <v>6318</v>
      </c>
      <c r="G2944">
        <v>20000</v>
      </c>
      <c r="H2944">
        <v>1978</v>
      </c>
      <c r="I2944" t="s">
        <v>58</v>
      </c>
      <c r="J2944" t="s">
        <v>58</v>
      </c>
      <c r="K2944" t="s">
        <v>61</v>
      </c>
      <c r="L2944" t="s">
        <v>58</v>
      </c>
      <c r="M2944" t="s">
        <v>58</v>
      </c>
      <c r="Q2944" t="s">
        <v>58</v>
      </c>
      <c r="R2944" s="11" t="str">
        <f>HYPERLINK("\\imagefiles.bcgov\imagery\scanned_maps\moe_terrain_maps\Scanned_T_maps_all\R17\R17-250","\\imagefiles.bcgov\imagery\scanned_maps\moe_terrain_maps\Scanned_T_maps_all\R17\R17-250")</f>
        <v>\\imagefiles.bcgov\imagery\scanned_maps\moe_terrain_maps\Scanned_T_maps_all\R17\R17-250</v>
      </c>
      <c r="S2944" t="s">
        <v>62</v>
      </c>
      <c r="T2944" s="11" t="str">
        <f>HYPERLINK("http://www.env.gov.bc.ca/esd/distdata/ecosystems/TEI_Scanned_Maps/R17/R17-250","http://www.env.gov.bc.ca/esd/distdata/ecosystems/TEI_Scanned_Maps/R17/R17-250")</f>
        <v>http://www.env.gov.bc.ca/esd/distdata/ecosystems/TEI_Scanned_Maps/R17/R17-250</v>
      </c>
      <c r="U2944" t="s">
        <v>58</v>
      </c>
      <c r="V2944" t="s">
        <v>58</v>
      </c>
      <c r="W2944" t="s">
        <v>58</v>
      </c>
      <c r="X2944" t="s">
        <v>58</v>
      </c>
      <c r="Y2944" t="s">
        <v>58</v>
      </c>
      <c r="Z2944" t="s">
        <v>58</v>
      </c>
      <c r="AA2944" t="s">
        <v>58</v>
      </c>
      <c r="AC2944" t="s">
        <v>58</v>
      </c>
      <c r="AE2944" t="s">
        <v>58</v>
      </c>
      <c r="AG2944" t="s">
        <v>63</v>
      </c>
      <c r="AH2944" s="11" t="str">
        <f t="shared" si="175"/>
        <v>mailto: soilterrain@victoria1.gov.bc.ca</v>
      </c>
    </row>
    <row r="2945" spans="1:34">
      <c r="A2945" t="s">
        <v>6333</v>
      </c>
      <c r="B2945" t="s">
        <v>56</v>
      </c>
      <c r="C2945" s="10" t="s">
        <v>5415</v>
      </c>
      <c r="D2945" t="s">
        <v>58</v>
      </c>
      <c r="E2945" t="s">
        <v>59</v>
      </c>
      <c r="F2945" t="s">
        <v>6318</v>
      </c>
      <c r="G2945">
        <v>20000</v>
      </c>
      <c r="H2945" t="s">
        <v>187</v>
      </c>
      <c r="I2945" t="s">
        <v>58</v>
      </c>
      <c r="J2945" t="s">
        <v>58</v>
      </c>
      <c r="K2945" t="s">
        <v>61</v>
      </c>
      <c r="L2945" t="s">
        <v>58</v>
      </c>
      <c r="M2945" t="s">
        <v>58</v>
      </c>
      <c r="Q2945" t="s">
        <v>58</v>
      </c>
      <c r="R2945" s="11" t="str">
        <f>HYPERLINK("\\imagefiles.bcgov\imagery\scanned_maps\moe_terrain_maps\Scanned_T_maps_all\R17\R17-257","\\imagefiles.bcgov\imagery\scanned_maps\moe_terrain_maps\Scanned_T_maps_all\R17\R17-257")</f>
        <v>\\imagefiles.bcgov\imagery\scanned_maps\moe_terrain_maps\Scanned_T_maps_all\R17\R17-257</v>
      </c>
      <c r="S2945" t="s">
        <v>62</v>
      </c>
      <c r="T2945" s="11" t="str">
        <f>HYPERLINK("http://www.env.gov.bc.ca/esd/distdata/ecosystems/TEI_Scanned_Maps/R17/R17-257","http://www.env.gov.bc.ca/esd/distdata/ecosystems/TEI_Scanned_Maps/R17/R17-257")</f>
        <v>http://www.env.gov.bc.ca/esd/distdata/ecosystems/TEI_Scanned_Maps/R17/R17-257</v>
      </c>
      <c r="U2945" t="s">
        <v>58</v>
      </c>
      <c r="V2945" t="s">
        <v>58</v>
      </c>
      <c r="W2945" t="s">
        <v>58</v>
      </c>
      <c r="X2945" t="s">
        <v>58</v>
      </c>
      <c r="Y2945" t="s">
        <v>58</v>
      </c>
      <c r="Z2945" t="s">
        <v>58</v>
      </c>
      <c r="AA2945" t="s">
        <v>58</v>
      </c>
      <c r="AC2945" t="s">
        <v>58</v>
      </c>
      <c r="AE2945" t="s">
        <v>58</v>
      </c>
      <c r="AG2945" t="s">
        <v>63</v>
      </c>
      <c r="AH2945" s="11" t="str">
        <f t="shared" si="175"/>
        <v>mailto: soilterrain@victoria1.gov.bc.ca</v>
      </c>
    </row>
    <row r="2946" spans="1:34">
      <c r="A2946" t="s">
        <v>6334</v>
      </c>
      <c r="B2946" t="s">
        <v>56</v>
      </c>
      <c r="C2946" s="10" t="s">
        <v>5417</v>
      </c>
      <c r="D2946" t="s">
        <v>58</v>
      </c>
      <c r="E2946" t="s">
        <v>59</v>
      </c>
      <c r="F2946" t="s">
        <v>6318</v>
      </c>
      <c r="G2946">
        <v>20000</v>
      </c>
      <c r="H2946">
        <v>1978</v>
      </c>
      <c r="I2946" t="s">
        <v>58</v>
      </c>
      <c r="J2946" t="s">
        <v>58</v>
      </c>
      <c r="K2946" t="s">
        <v>61</v>
      </c>
      <c r="L2946" t="s">
        <v>58</v>
      </c>
      <c r="M2946" t="s">
        <v>58</v>
      </c>
      <c r="Q2946" t="s">
        <v>58</v>
      </c>
      <c r="R2946" s="11" t="str">
        <f>HYPERLINK("\\imagefiles.bcgov\imagery\scanned_maps\moe_terrain_maps\Scanned_T_maps_all\R17\R17-264","\\imagefiles.bcgov\imagery\scanned_maps\moe_terrain_maps\Scanned_T_maps_all\R17\R17-264")</f>
        <v>\\imagefiles.bcgov\imagery\scanned_maps\moe_terrain_maps\Scanned_T_maps_all\R17\R17-264</v>
      </c>
      <c r="S2946" t="s">
        <v>62</v>
      </c>
      <c r="T2946" s="11" t="str">
        <f>HYPERLINK("http://www.env.gov.bc.ca/esd/distdata/ecosystems/TEI_Scanned_Maps/R17/R17-264","http://www.env.gov.bc.ca/esd/distdata/ecosystems/TEI_Scanned_Maps/R17/R17-264")</f>
        <v>http://www.env.gov.bc.ca/esd/distdata/ecosystems/TEI_Scanned_Maps/R17/R17-264</v>
      </c>
      <c r="U2946" t="s">
        <v>58</v>
      </c>
      <c r="V2946" t="s">
        <v>58</v>
      </c>
      <c r="W2946" t="s">
        <v>58</v>
      </c>
      <c r="X2946" t="s">
        <v>58</v>
      </c>
      <c r="Y2946" t="s">
        <v>58</v>
      </c>
      <c r="Z2946" t="s">
        <v>58</v>
      </c>
      <c r="AA2946" t="s">
        <v>58</v>
      </c>
      <c r="AC2946" t="s">
        <v>58</v>
      </c>
      <c r="AE2946" t="s">
        <v>58</v>
      </c>
      <c r="AG2946" t="s">
        <v>63</v>
      </c>
      <c r="AH2946" s="11" t="str">
        <f t="shared" ref="AH2946:AH3009" si="176">HYPERLINK("mailto: soilterrain@victoria1.gov.bc.ca","mailto: soilterrain@victoria1.gov.bc.ca")</f>
        <v>mailto: soilterrain@victoria1.gov.bc.ca</v>
      </c>
    </row>
    <row r="2947" spans="1:34">
      <c r="A2947" t="s">
        <v>6335</v>
      </c>
      <c r="B2947" t="s">
        <v>56</v>
      </c>
      <c r="C2947" s="10" t="s">
        <v>5419</v>
      </c>
      <c r="D2947" t="s">
        <v>58</v>
      </c>
      <c r="E2947" t="s">
        <v>59</v>
      </c>
      <c r="F2947" t="s">
        <v>6318</v>
      </c>
      <c r="G2947">
        <v>20000</v>
      </c>
      <c r="H2947" t="s">
        <v>187</v>
      </c>
      <c r="I2947" t="s">
        <v>58</v>
      </c>
      <c r="J2947" t="s">
        <v>58</v>
      </c>
      <c r="K2947" t="s">
        <v>61</v>
      </c>
      <c r="L2947" t="s">
        <v>58</v>
      </c>
      <c r="M2947" t="s">
        <v>58</v>
      </c>
      <c r="Q2947" t="s">
        <v>58</v>
      </c>
      <c r="R2947" s="11" t="str">
        <f>HYPERLINK("\\imagefiles.bcgov\imagery\scanned_maps\moe_terrain_maps\Scanned_T_maps_all\R17\R17-271","\\imagefiles.bcgov\imagery\scanned_maps\moe_terrain_maps\Scanned_T_maps_all\R17\R17-271")</f>
        <v>\\imagefiles.bcgov\imagery\scanned_maps\moe_terrain_maps\Scanned_T_maps_all\R17\R17-271</v>
      </c>
      <c r="S2947" t="s">
        <v>62</v>
      </c>
      <c r="T2947" s="11" t="str">
        <f>HYPERLINK("http://www.env.gov.bc.ca/esd/distdata/ecosystems/TEI_Scanned_Maps/R17/R17-271","http://www.env.gov.bc.ca/esd/distdata/ecosystems/TEI_Scanned_Maps/R17/R17-271")</f>
        <v>http://www.env.gov.bc.ca/esd/distdata/ecosystems/TEI_Scanned_Maps/R17/R17-271</v>
      </c>
      <c r="U2947" t="s">
        <v>58</v>
      </c>
      <c r="V2947" t="s">
        <v>58</v>
      </c>
      <c r="W2947" t="s">
        <v>58</v>
      </c>
      <c r="X2947" t="s">
        <v>58</v>
      </c>
      <c r="Y2947" t="s">
        <v>58</v>
      </c>
      <c r="Z2947" t="s">
        <v>58</v>
      </c>
      <c r="AA2947" t="s">
        <v>58</v>
      </c>
      <c r="AC2947" t="s">
        <v>58</v>
      </c>
      <c r="AE2947" t="s">
        <v>58</v>
      </c>
      <c r="AG2947" t="s">
        <v>63</v>
      </c>
      <c r="AH2947" s="11" t="str">
        <f t="shared" si="176"/>
        <v>mailto: soilterrain@victoria1.gov.bc.ca</v>
      </c>
    </row>
    <row r="2948" spans="1:34">
      <c r="A2948" t="s">
        <v>6336</v>
      </c>
      <c r="B2948" t="s">
        <v>56</v>
      </c>
      <c r="C2948" s="10" t="s">
        <v>5421</v>
      </c>
      <c r="D2948" t="s">
        <v>58</v>
      </c>
      <c r="E2948" t="s">
        <v>59</v>
      </c>
      <c r="F2948" t="s">
        <v>6318</v>
      </c>
      <c r="G2948">
        <v>20000</v>
      </c>
      <c r="H2948" t="s">
        <v>187</v>
      </c>
      <c r="I2948" t="s">
        <v>58</v>
      </c>
      <c r="J2948" t="s">
        <v>58</v>
      </c>
      <c r="K2948" t="s">
        <v>61</v>
      </c>
      <c r="L2948" t="s">
        <v>58</v>
      </c>
      <c r="M2948" t="s">
        <v>58</v>
      </c>
      <c r="Q2948" t="s">
        <v>58</v>
      </c>
      <c r="R2948" s="11" t="str">
        <f>HYPERLINK("\\imagefiles.bcgov\imagery\scanned_maps\moe_terrain_maps\Scanned_T_maps_all\R17\R17-278","\\imagefiles.bcgov\imagery\scanned_maps\moe_terrain_maps\Scanned_T_maps_all\R17\R17-278")</f>
        <v>\\imagefiles.bcgov\imagery\scanned_maps\moe_terrain_maps\Scanned_T_maps_all\R17\R17-278</v>
      </c>
      <c r="S2948" t="s">
        <v>62</v>
      </c>
      <c r="T2948" s="11" t="str">
        <f>HYPERLINK("http://www.env.gov.bc.ca/esd/distdata/ecosystems/TEI_Scanned_Maps/R17/R17-278","http://www.env.gov.bc.ca/esd/distdata/ecosystems/TEI_Scanned_Maps/R17/R17-278")</f>
        <v>http://www.env.gov.bc.ca/esd/distdata/ecosystems/TEI_Scanned_Maps/R17/R17-278</v>
      </c>
      <c r="U2948" t="s">
        <v>58</v>
      </c>
      <c r="V2948" t="s">
        <v>58</v>
      </c>
      <c r="W2948" t="s">
        <v>58</v>
      </c>
      <c r="X2948" t="s">
        <v>58</v>
      </c>
      <c r="Y2948" t="s">
        <v>58</v>
      </c>
      <c r="Z2948" t="s">
        <v>58</v>
      </c>
      <c r="AA2948" t="s">
        <v>58</v>
      </c>
      <c r="AC2948" t="s">
        <v>58</v>
      </c>
      <c r="AE2948" t="s">
        <v>58</v>
      </c>
      <c r="AG2948" t="s">
        <v>63</v>
      </c>
      <c r="AH2948" s="11" t="str">
        <f t="shared" si="176"/>
        <v>mailto: soilterrain@victoria1.gov.bc.ca</v>
      </c>
    </row>
    <row r="2949" spans="1:34">
      <c r="A2949" t="s">
        <v>6337</v>
      </c>
      <c r="B2949" t="s">
        <v>56</v>
      </c>
      <c r="C2949" s="10" t="s">
        <v>5423</v>
      </c>
      <c r="D2949" t="s">
        <v>58</v>
      </c>
      <c r="E2949" t="s">
        <v>59</v>
      </c>
      <c r="F2949" t="s">
        <v>6318</v>
      </c>
      <c r="G2949">
        <v>20000</v>
      </c>
      <c r="H2949">
        <v>1983</v>
      </c>
      <c r="I2949" t="s">
        <v>58</v>
      </c>
      <c r="J2949" t="s">
        <v>58</v>
      </c>
      <c r="K2949" t="s">
        <v>61</v>
      </c>
      <c r="L2949" t="s">
        <v>58</v>
      </c>
      <c r="M2949" t="s">
        <v>58</v>
      </c>
      <c r="Q2949" t="s">
        <v>58</v>
      </c>
      <c r="R2949" s="11" t="str">
        <f>HYPERLINK("\\imagefiles.bcgov\imagery\scanned_maps\moe_terrain_maps\Scanned_T_maps_all\R17\R17-285","\\imagefiles.bcgov\imagery\scanned_maps\moe_terrain_maps\Scanned_T_maps_all\R17\R17-285")</f>
        <v>\\imagefiles.bcgov\imagery\scanned_maps\moe_terrain_maps\Scanned_T_maps_all\R17\R17-285</v>
      </c>
      <c r="S2949" t="s">
        <v>62</v>
      </c>
      <c r="T2949" s="11" t="str">
        <f>HYPERLINK("http://www.env.gov.bc.ca/esd/distdata/ecosystems/TEI_Scanned_Maps/R17/R17-285","http://www.env.gov.bc.ca/esd/distdata/ecosystems/TEI_Scanned_Maps/R17/R17-285")</f>
        <v>http://www.env.gov.bc.ca/esd/distdata/ecosystems/TEI_Scanned_Maps/R17/R17-285</v>
      </c>
      <c r="U2949" t="s">
        <v>58</v>
      </c>
      <c r="V2949" t="s">
        <v>58</v>
      </c>
      <c r="W2949" t="s">
        <v>58</v>
      </c>
      <c r="X2949" t="s">
        <v>58</v>
      </c>
      <c r="Y2949" t="s">
        <v>58</v>
      </c>
      <c r="Z2949" t="s">
        <v>58</v>
      </c>
      <c r="AA2949" t="s">
        <v>58</v>
      </c>
      <c r="AC2949" t="s">
        <v>58</v>
      </c>
      <c r="AE2949" t="s">
        <v>58</v>
      </c>
      <c r="AG2949" t="s">
        <v>63</v>
      </c>
      <c r="AH2949" s="11" t="str">
        <f t="shared" si="176"/>
        <v>mailto: soilterrain@victoria1.gov.bc.ca</v>
      </c>
    </row>
    <row r="2950" spans="1:34">
      <c r="A2950" t="s">
        <v>6338</v>
      </c>
      <c r="B2950" t="s">
        <v>56</v>
      </c>
      <c r="C2950" s="10" t="s">
        <v>5425</v>
      </c>
      <c r="D2950" t="s">
        <v>58</v>
      </c>
      <c r="E2950" t="s">
        <v>59</v>
      </c>
      <c r="F2950" t="s">
        <v>6318</v>
      </c>
      <c r="G2950">
        <v>20000</v>
      </c>
      <c r="H2950">
        <v>1975</v>
      </c>
      <c r="I2950" t="s">
        <v>58</v>
      </c>
      <c r="J2950" t="s">
        <v>58</v>
      </c>
      <c r="K2950" t="s">
        <v>61</v>
      </c>
      <c r="L2950" t="s">
        <v>58</v>
      </c>
      <c r="M2950" t="s">
        <v>58</v>
      </c>
      <c r="Q2950" t="s">
        <v>58</v>
      </c>
      <c r="R2950" s="11" t="str">
        <f>HYPERLINK("\\imagefiles.bcgov\imagery\scanned_maps\moe_terrain_maps\Scanned_T_maps_all\R17\R17-292","\\imagefiles.bcgov\imagery\scanned_maps\moe_terrain_maps\Scanned_T_maps_all\R17\R17-292")</f>
        <v>\\imagefiles.bcgov\imagery\scanned_maps\moe_terrain_maps\Scanned_T_maps_all\R17\R17-292</v>
      </c>
      <c r="S2950" t="s">
        <v>62</v>
      </c>
      <c r="T2950" s="11" t="str">
        <f>HYPERLINK("http://www.env.gov.bc.ca/esd/distdata/ecosystems/TEI_Scanned_Maps/R17/R17-292","http://www.env.gov.bc.ca/esd/distdata/ecosystems/TEI_Scanned_Maps/R17/R17-292")</f>
        <v>http://www.env.gov.bc.ca/esd/distdata/ecosystems/TEI_Scanned_Maps/R17/R17-292</v>
      </c>
      <c r="U2950" t="s">
        <v>58</v>
      </c>
      <c r="V2950" t="s">
        <v>58</v>
      </c>
      <c r="W2950" t="s">
        <v>58</v>
      </c>
      <c r="X2950" t="s">
        <v>58</v>
      </c>
      <c r="Y2950" t="s">
        <v>58</v>
      </c>
      <c r="Z2950" t="s">
        <v>58</v>
      </c>
      <c r="AA2950" t="s">
        <v>58</v>
      </c>
      <c r="AC2950" t="s">
        <v>58</v>
      </c>
      <c r="AE2950" t="s">
        <v>58</v>
      </c>
      <c r="AG2950" t="s">
        <v>63</v>
      </c>
      <c r="AH2950" s="11" t="str">
        <f t="shared" si="176"/>
        <v>mailto: soilterrain@victoria1.gov.bc.ca</v>
      </c>
    </row>
    <row r="2951" spans="1:34">
      <c r="A2951" t="s">
        <v>6339</v>
      </c>
      <c r="B2951" t="s">
        <v>56</v>
      </c>
      <c r="C2951" s="10" t="s">
        <v>5427</v>
      </c>
      <c r="D2951" t="s">
        <v>58</v>
      </c>
      <c r="E2951" t="s">
        <v>59</v>
      </c>
      <c r="F2951" t="s">
        <v>6318</v>
      </c>
      <c r="G2951">
        <v>20000</v>
      </c>
      <c r="H2951">
        <v>1975</v>
      </c>
      <c r="I2951" t="s">
        <v>58</v>
      </c>
      <c r="J2951" t="s">
        <v>58</v>
      </c>
      <c r="K2951" t="s">
        <v>61</v>
      </c>
      <c r="L2951" t="s">
        <v>58</v>
      </c>
      <c r="M2951" t="s">
        <v>58</v>
      </c>
      <c r="Q2951" t="s">
        <v>58</v>
      </c>
      <c r="R2951" s="11" t="str">
        <f>HYPERLINK("\\imagefiles.bcgov\imagery\scanned_maps\moe_terrain_maps\Scanned_T_maps_all\R17\R17-300","\\imagefiles.bcgov\imagery\scanned_maps\moe_terrain_maps\Scanned_T_maps_all\R17\R17-300")</f>
        <v>\\imagefiles.bcgov\imagery\scanned_maps\moe_terrain_maps\Scanned_T_maps_all\R17\R17-300</v>
      </c>
      <c r="S2951" t="s">
        <v>62</v>
      </c>
      <c r="T2951" s="11" t="str">
        <f>HYPERLINK("http://www.env.gov.bc.ca/esd/distdata/ecosystems/TEI_Scanned_Maps/R17/R17-300","http://www.env.gov.bc.ca/esd/distdata/ecosystems/TEI_Scanned_Maps/R17/R17-300")</f>
        <v>http://www.env.gov.bc.ca/esd/distdata/ecosystems/TEI_Scanned_Maps/R17/R17-300</v>
      </c>
      <c r="U2951" t="s">
        <v>58</v>
      </c>
      <c r="V2951" t="s">
        <v>58</v>
      </c>
      <c r="W2951" t="s">
        <v>58</v>
      </c>
      <c r="X2951" t="s">
        <v>58</v>
      </c>
      <c r="Y2951" t="s">
        <v>58</v>
      </c>
      <c r="Z2951" t="s">
        <v>58</v>
      </c>
      <c r="AA2951" t="s">
        <v>58</v>
      </c>
      <c r="AC2951" t="s">
        <v>58</v>
      </c>
      <c r="AE2951" t="s">
        <v>58</v>
      </c>
      <c r="AG2951" t="s">
        <v>63</v>
      </c>
      <c r="AH2951" s="11" t="str">
        <f t="shared" si="176"/>
        <v>mailto: soilterrain@victoria1.gov.bc.ca</v>
      </c>
    </row>
    <row r="2952" spans="1:34">
      <c r="A2952" t="s">
        <v>6340</v>
      </c>
      <c r="B2952" t="s">
        <v>56</v>
      </c>
      <c r="C2952" s="10" t="s">
        <v>4613</v>
      </c>
      <c r="D2952" t="s">
        <v>58</v>
      </c>
      <c r="E2952" t="s">
        <v>59</v>
      </c>
      <c r="F2952" t="s">
        <v>6318</v>
      </c>
      <c r="G2952">
        <v>20000</v>
      </c>
      <c r="H2952">
        <v>1975</v>
      </c>
      <c r="I2952" t="s">
        <v>58</v>
      </c>
      <c r="J2952" t="s">
        <v>58</v>
      </c>
      <c r="K2952" t="s">
        <v>61</v>
      </c>
      <c r="L2952" t="s">
        <v>58</v>
      </c>
      <c r="M2952" t="s">
        <v>58</v>
      </c>
      <c r="Q2952" t="s">
        <v>58</v>
      </c>
      <c r="R2952" s="11" t="str">
        <f>HYPERLINK("\\imagefiles.bcgov\imagery\scanned_maps\moe_terrain_maps\Scanned_T_maps_all\R17\R17-307","\\imagefiles.bcgov\imagery\scanned_maps\moe_terrain_maps\Scanned_T_maps_all\R17\R17-307")</f>
        <v>\\imagefiles.bcgov\imagery\scanned_maps\moe_terrain_maps\Scanned_T_maps_all\R17\R17-307</v>
      </c>
      <c r="S2952" t="s">
        <v>62</v>
      </c>
      <c r="T2952" s="11" t="str">
        <f>HYPERLINK("http://www.env.gov.bc.ca/esd/distdata/ecosystems/TEI_Scanned_Maps/R17/R17-307","http://www.env.gov.bc.ca/esd/distdata/ecosystems/TEI_Scanned_Maps/R17/R17-307")</f>
        <v>http://www.env.gov.bc.ca/esd/distdata/ecosystems/TEI_Scanned_Maps/R17/R17-307</v>
      </c>
      <c r="U2952" t="s">
        <v>58</v>
      </c>
      <c r="V2952" t="s">
        <v>58</v>
      </c>
      <c r="W2952" t="s">
        <v>58</v>
      </c>
      <c r="X2952" t="s">
        <v>58</v>
      </c>
      <c r="Y2952" t="s">
        <v>58</v>
      </c>
      <c r="Z2952" t="s">
        <v>58</v>
      </c>
      <c r="AA2952" t="s">
        <v>58</v>
      </c>
      <c r="AC2952" t="s">
        <v>58</v>
      </c>
      <c r="AE2952" t="s">
        <v>58</v>
      </c>
      <c r="AG2952" t="s">
        <v>63</v>
      </c>
      <c r="AH2952" s="11" t="str">
        <f t="shared" si="176"/>
        <v>mailto: soilterrain@victoria1.gov.bc.ca</v>
      </c>
    </row>
    <row r="2953" spans="1:34">
      <c r="A2953" t="s">
        <v>6341</v>
      </c>
      <c r="B2953" t="s">
        <v>56</v>
      </c>
      <c r="C2953" s="10" t="s">
        <v>5430</v>
      </c>
      <c r="D2953" t="s">
        <v>58</v>
      </c>
      <c r="E2953" t="s">
        <v>59</v>
      </c>
      <c r="F2953" t="s">
        <v>6318</v>
      </c>
      <c r="G2953">
        <v>20000</v>
      </c>
      <c r="H2953">
        <v>1975</v>
      </c>
      <c r="I2953" t="s">
        <v>58</v>
      </c>
      <c r="J2953" t="s">
        <v>58</v>
      </c>
      <c r="K2953" t="s">
        <v>61</v>
      </c>
      <c r="L2953" t="s">
        <v>58</v>
      </c>
      <c r="M2953" t="s">
        <v>58</v>
      </c>
      <c r="Q2953" t="s">
        <v>58</v>
      </c>
      <c r="R2953" s="11" t="str">
        <f>HYPERLINK("\\imagefiles.bcgov\imagery\scanned_maps\moe_terrain_maps\Scanned_T_maps_all\R17\R17-314","\\imagefiles.bcgov\imagery\scanned_maps\moe_terrain_maps\Scanned_T_maps_all\R17\R17-314")</f>
        <v>\\imagefiles.bcgov\imagery\scanned_maps\moe_terrain_maps\Scanned_T_maps_all\R17\R17-314</v>
      </c>
      <c r="S2953" t="s">
        <v>62</v>
      </c>
      <c r="T2953" s="11" t="str">
        <f>HYPERLINK("http://www.env.gov.bc.ca/esd/distdata/ecosystems/TEI_Scanned_Maps/R17/R17-314","http://www.env.gov.bc.ca/esd/distdata/ecosystems/TEI_Scanned_Maps/R17/R17-314")</f>
        <v>http://www.env.gov.bc.ca/esd/distdata/ecosystems/TEI_Scanned_Maps/R17/R17-314</v>
      </c>
      <c r="U2953" t="s">
        <v>58</v>
      </c>
      <c r="V2953" t="s">
        <v>58</v>
      </c>
      <c r="W2953" t="s">
        <v>58</v>
      </c>
      <c r="X2953" t="s">
        <v>58</v>
      </c>
      <c r="Y2953" t="s">
        <v>58</v>
      </c>
      <c r="Z2953" t="s">
        <v>58</v>
      </c>
      <c r="AA2953" t="s">
        <v>58</v>
      </c>
      <c r="AC2953" t="s">
        <v>58</v>
      </c>
      <c r="AE2953" t="s">
        <v>58</v>
      </c>
      <c r="AG2953" t="s">
        <v>63</v>
      </c>
      <c r="AH2953" s="11" t="str">
        <f t="shared" si="176"/>
        <v>mailto: soilterrain@victoria1.gov.bc.ca</v>
      </c>
    </row>
    <row r="2954" spans="1:34">
      <c r="A2954" t="s">
        <v>6342</v>
      </c>
      <c r="B2954" t="s">
        <v>56</v>
      </c>
      <c r="C2954" s="10" t="s">
        <v>5432</v>
      </c>
      <c r="D2954" t="s">
        <v>58</v>
      </c>
      <c r="E2954" t="s">
        <v>59</v>
      </c>
      <c r="F2954" t="s">
        <v>6318</v>
      </c>
      <c r="G2954">
        <v>20000</v>
      </c>
      <c r="H2954">
        <v>1975</v>
      </c>
      <c r="I2954" t="s">
        <v>58</v>
      </c>
      <c r="J2954" t="s">
        <v>58</v>
      </c>
      <c r="K2954" t="s">
        <v>61</v>
      </c>
      <c r="L2954" t="s">
        <v>58</v>
      </c>
      <c r="M2954" t="s">
        <v>58</v>
      </c>
      <c r="Q2954" t="s">
        <v>58</v>
      </c>
      <c r="R2954" s="11" t="str">
        <f>HYPERLINK("\\imagefiles.bcgov\imagery\scanned_maps\moe_terrain_maps\Scanned_T_maps_all\R17\R17-657","\\imagefiles.bcgov\imagery\scanned_maps\moe_terrain_maps\Scanned_T_maps_all\R17\R17-657")</f>
        <v>\\imagefiles.bcgov\imagery\scanned_maps\moe_terrain_maps\Scanned_T_maps_all\R17\R17-657</v>
      </c>
      <c r="S2954" t="s">
        <v>62</v>
      </c>
      <c r="T2954" s="11" t="str">
        <f>HYPERLINK("http://www.env.gov.bc.ca/esd/distdata/ecosystems/TEI_Scanned_Maps/R17/R17-657","http://www.env.gov.bc.ca/esd/distdata/ecosystems/TEI_Scanned_Maps/R17/R17-657")</f>
        <v>http://www.env.gov.bc.ca/esd/distdata/ecosystems/TEI_Scanned_Maps/R17/R17-657</v>
      </c>
      <c r="U2954" t="s">
        <v>58</v>
      </c>
      <c r="V2954" t="s">
        <v>58</v>
      </c>
      <c r="W2954" t="s">
        <v>58</v>
      </c>
      <c r="X2954" t="s">
        <v>58</v>
      </c>
      <c r="Y2954" t="s">
        <v>58</v>
      </c>
      <c r="Z2954" t="s">
        <v>58</v>
      </c>
      <c r="AA2954" t="s">
        <v>58</v>
      </c>
      <c r="AC2954" t="s">
        <v>58</v>
      </c>
      <c r="AE2954" t="s">
        <v>58</v>
      </c>
      <c r="AG2954" t="s">
        <v>63</v>
      </c>
      <c r="AH2954" s="11" t="str">
        <f t="shared" si="176"/>
        <v>mailto: soilterrain@victoria1.gov.bc.ca</v>
      </c>
    </row>
    <row r="2955" spans="1:34">
      <c r="A2955" t="s">
        <v>6343</v>
      </c>
      <c r="B2955" t="s">
        <v>56</v>
      </c>
      <c r="C2955" s="10" t="s">
        <v>5434</v>
      </c>
      <c r="D2955" t="s">
        <v>58</v>
      </c>
      <c r="E2955" t="s">
        <v>59</v>
      </c>
      <c r="F2955" t="s">
        <v>6318</v>
      </c>
      <c r="G2955">
        <v>20000</v>
      </c>
      <c r="H2955">
        <v>1971</v>
      </c>
      <c r="I2955" t="s">
        <v>58</v>
      </c>
      <c r="J2955" t="s">
        <v>58</v>
      </c>
      <c r="K2955" t="s">
        <v>61</v>
      </c>
      <c r="L2955" t="s">
        <v>58</v>
      </c>
      <c r="M2955" t="s">
        <v>58</v>
      </c>
      <c r="Q2955" t="s">
        <v>58</v>
      </c>
      <c r="R2955" s="11" t="str">
        <f>HYPERLINK("\\imagefiles.bcgov\imagery\scanned_maps\moe_terrain_maps\Scanned_T_maps_all\R17\R17-664","\\imagefiles.bcgov\imagery\scanned_maps\moe_terrain_maps\Scanned_T_maps_all\R17\R17-664")</f>
        <v>\\imagefiles.bcgov\imagery\scanned_maps\moe_terrain_maps\Scanned_T_maps_all\R17\R17-664</v>
      </c>
      <c r="S2955" t="s">
        <v>62</v>
      </c>
      <c r="T2955" s="11" t="str">
        <f>HYPERLINK("http://www.env.gov.bc.ca/esd/distdata/ecosystems/TEI_Scanned_Maps/R17/R17-664","http://www.env.gov.bc.ca/esd/distdata/ecosystems/TEI_Scanned_Maps/R17/R17-664")</f>
        <v>http://www.env.gov.bc.ca/esd/distdata/ecosystems/TEI_Scanned_Maps/R17/R17-664</v>
      </c>
      <c r="U2955" t="s">
        <v>58</v>
      </c>
      <c r="V2955" t="s">
        <v>58</v>
      </c>
      <c r="W2955" t="s">
        <v>58</v>
      </c>
      <c r="X2955" t="s">
        <v>58</v>
      </c>
      <c r="Y2955" t="s">
        <v>58</v>
      </c>
      <c r="Z2955" t="s">
        <v>58</v>
      </c>
      <c r="AA2955" t="s">
        <v>58</v>
      </c>
      <c r="AC2955" t="s">
        <v>58</v>
      </c>
      <c r="AE2955" t="s">
        <v>58</v>
      </c>
      <c r="AG2955" t="s">
        <v>63</v>
      </c>
      <c r="AH2955" s="11" t="str">
        <f t="shared" si="176"/>
        <v>mailto: soilterrain@victoria1.gov.bc.ca</v>
      </c>
    </row>
    <row r="2956" spans="1:34">
      <c r="A2956" t="s">
        <v>6344</v>
      </c>
      <c r="B2956" t="s">
        <v>56</v>
      </c>
      <c r="C2956" s="10" t="s">
        <v>5436</v>
      </c>
      <c r="D2956" t="s">
        <v>58</v>
      </c>
      <c r="E2956" t="s">
        <v>59</v>
      </c>
      <c r="F2956" t="s">
        <v>6318</v>
      </c>
      <c r="G2956">
        <v>20000</v>
      </c>
      <c r="H2956">
        <v>1972</v>
      </c>
      <c r="I2956" t="s">
        <v>58</v>
      </c>
      <c r="J2956" t="s">
        <v>58</v>
      </c>
      <c r="K2956" t="s">
        <v>61</v>
      </c>
      <c r="L2956" t="s">
        <v>58</v>
      </c>
      <c r="M2956" t="s">
        <v>58</v>
      </c>
      <c r="Q2956" t="s">
        <v>58</v>
      </c>
      <c r="R2956" s="11" t="str">
        <f>HYPERLINK("\\imagefiles.bcgov\imagery\scanned_maps\moe_terrain_maps\Scanned_T_maps_all\R17\R17-671","\\imagefiles.bcgov\imagery\scanned_maps\moe_terrain_maps\Scanned_T_maps_all\R17\R17-671")</f>
        <v>\\imagefiles.bcgov\imagery\scanned_maps\moe_terrain_maps\Scanned_T_maps_all\R17\R17-671</v>
      </c>
      <c r="S2956" t="s">
        <v>62</v>
      </c>
      <c r="T2956" s="11" t="str">
        <f>HYPERLINK("http://www.env.gov.bc.ca/esd/distdata/ecosystems/TEI_Scanned_Maps/R17/R17-671","http://www.env.gov.bc.ca/esd/distdata/ecosystems/TEI_Scanned_Maps/R17/R17-671")</f>
        <v>http://www.env.gov.bc.ca/esd/distdata/ecosystems/TEI_Scanned_Maps/R17/R17-671</v>
      </c>
      <c r="U2956" t="s">
        <v>58</v>
      </c>
      <c r="V2956" t="s">
        <v>58</v>
      </c>
      <c r="W2956" t="s">
        <v>58</v>
      </c>
      <c r="X2956" t="s">
        <v>58</v>
      </c>
      <c r="Y2956" t="s">
        <v>58</v>
      </c>
      <c r="Z2956" t="s">
        <v>58</v>
      </c>
      <c r="AA2956" t="s">
        <v>58</v>
      </c>
      <c r="AC2956" t="s">
        <v>58</v>
      </c>
      <c r="AE2956" t="s">
        <v>58</v>
      </c>
      <c r="AG2956" t="s">
        <v>63</v>
      </c>
      <c r="AH2956" s="11" t="str">
        <f t="shared" si="176"/>
        <v>mailto: soilterrain@victoria1.gov.bc.ca</v>
      </c>
    </row>
    <row r="2957" spans="1:34">
      <c r="A2957" t="s">
        <v>6345</v>
      </c>
      <c r="B2957" t="s">
        <v>56</v>
      </c>
      <c r="C2957" s="10" t="s">
        <v>5438</v>
      </c>
      <c r="D2957" t="s">
        <v>58</v>
      </c>
      <c r="E2957" t="s">
        <v>59</v>
      </c>
      <c r="F2957" t="s">
        <v>6318</v>
      </c>
      <c r="G2957">
        <v>20000</v>
      </c>
      <c r="H2957" t="s">
        <v>187</v>
      </c>
      <c r="I2957" t="s">
        <v>58</v>
      </c>
      <c r="J2957" t="s">
        <v>58</v>
      </c>
      <c r="K2957" t="s">
        <v>61</v>
      </c>
      <c r="L2957" t="s">
        <v>58</v>
      </c>
      <c r="M2957" t="s">
        <v>58</v>
      </c>
      <c r="Q2957" t="s">
        <v>58</v>
      </c>
      <c r="R2957" s="11" t="str">
        <f>HYPERLINK("\\imagefiles.bcgov\imagery\scanned_maps\moe_terrain_maps\Scanned_T_maps_all\R17\R17-678","\\imagefiles.bcgov\imagery\scanned_maps\moe_terrain_maps\Scanned_T_maps_all\R17\R17-678")</f>
        <v>\\imagefiles.bcgov\imagery\scanned_maps\moe_terrain_maps\Scanned_T_maps_all\R17\R17-678</v>
      </c>
      <c r="S2957" t="s">
        <v>62</v>
      </c>
      <c r="T2957" s="11" t="str">
        <f>HYPERLINK("http://www.env.gov.bc.ca/esd/distdata/ecosystems/TEI_Scanned_Maps/R17/R17-678","http://www.env.gov.bc.ca/esd/distdata/ecosystems/TEI_Scanned_Maps/R17/R17-678")</f>
        <v>http://www.env.gov.bc.ca/esd/distdata/ecosystems/TEI_Scanned_Maps/R17/R17-678</v>
      </c>
      <c r="U2957" t="s">
        <v>58</v>
      </c>
      <c r="V2957" t="s">
        <v>58</v>
      </c>
      <c r="W2957" t="s">
        <v>58</v>
      </c>
      <c r="X2957" t="s">
        <v>58</v>
      </c>
      <c r="Y2957" t="s">
        <v>58</v>
      </c>
      <c r="Z2957" t="s">
        <v>58</v>
      </c>
      <c r="AA2957" t="s">
        <v>58</v>
      </c>
      <c r="AC2957" t="s">
        <v>58</v>
      </c>
      <c r="AE2957" t="s">
        <v>58</v>
      </c>
      <c r="AG2957" t="s">
        <v>63</v>
      </c>
      <c r="AH2957" s="11" t="str">
        <f t="shared" si="176"/>
        <v>mailto: soilterrain@victoria1.gov.bc.ca</v>
      </c>
    </row>
    <row r="2958" spans="1:34">
      <c r="A2958" t="s">
        <v>6346</v>
      </c>
      <c r="B2958" t="s">
        <v>56</v>
      </c>
      <c r="C2958" s="10" t="s">
        <v>5440</v>
      </c>
      <c r="D2958" t="s">
        <v>58</v>
      </c>
      <c r="E2958" t="s">
        <v>59</v>
      </c>
      <c r="F2958" t="s">
        <v>6318</v>
      </c>
      <c r="G2958">
        <v>20000</v>
      </c>
      <c r="H2958">
        <v>1983</v>
      </c>
      <c r="I2958" t="s">
        <v>58</v>
      </c>
      <c r="J2958" t="s">
        <v>58</v>
      </c>
      <c r="K2958" t="s">
        <v>61</v>
      </c>
      <c r="L2958" t="s">
        <v>58</v>
      </c>
      <c r="M2958" t="s">
        <v>58</v>
      </c>
      <c r="Q2958" t="s">
        <v>58</v>
      </c>
      <c r="R2958" s="11" t="str">
        <f>HYPERLINK("\\imagefiles.bcgov\imagery\scanned_maps\moe_terrain_maps\Scanned_T_maps_all\R17\R17-685","\\imagefiles.bcgov\imagery\scanned_maps\moe_terrain_maps\Scanned_T_maps_all\R17\R17-685")</f>
        <v>\\imagefiles.bcgov\imagery\scanned_maps\moe_terrain_maps\Scanned_T_maps_all\R17\R17-685</v>
      </c>
      <c r="S2958" t="s">
        <v>62</v>
      </c>
      <c r="T2958" s="11" t="str">
        <f>HYPERLINK("http://www.env.gov.bc.ca/esd/distdata/ecosystems/TEI_Scanned_Maps/R17/R17-685","http://www.env.gov.bc.ca/esd/distdata/ecosystems/TEI_Scanned_Maps/R17/R17-685")</f>
        <v>http://www.env.gov.bc.ca/esd/distdata/ecosystems/TEI_Scanned_Maps/R17/R17-685</v>
      </c>
      <c r="U2958" t="s">
        <v>58</v>
      </c>
      <c r="V2958" t="s">
        <v>58</v>
      </c>
      <c r="W2958" t="s">
        <v>58</v>
      </c>
      <c r="X2958" t="s">
        <v>58</v>
      </c>
      <c r="Y2958" t="s">
        <v>58</v>
      </c>
      <c r="Z2958" t="s">
        <v>58</v>
      </c>
      <c r="AA2958" t="s">
        <v>58</v>
      </c>
      <c r="AC2958" t="s">
        <v>58</v>
      </c>
      <c r="AE2958" t="s">
        <v>58</v>
      </c>
      <c r="AG2958" t="s">
        <v>63</v>
      </c>
      <c r="AH2958" s="11" t="str">
        <f t="shared" si="176"/>
        <v>mailto: soilterrain@victoria1.gov.bc.ca</v>
      </c>
    </row>
    <row r="2959" spans="1:34">
      <c r="A2959" t="s">
        <v>6347</v>
      </c>
      <c r="B2959" t="s">
        <v>56</v>
      </c>
      <c r="C2959" s="10" t="s">
        <v>5442</v>
      </c>
      <c r="D2959" t="s">
        <v>58</v>
      </c>
      <c r="E2959" t="s">
        <v>59</v>
      </c>
      <c r="F2959" t="s">
        <v>6318</v>
      </c>
      <c r="G2959">
        <v>20000</v>
      </c>
      <c r="H2959">
        <v>1975</v>
      </c>
      <c r="I2959" t="s">
        <v>58</v>
      </c>
      <c r="J2959" t="s">
        <v>58</v>
      </c>
      <c r="K2959" t="s">
        <v>61</v>
      </c>
      <c r="L2959" t="s">
        <v>58</v>
      </c>
      <c r="M2959" t="s">
        <v>58</v>
      </c>
      <c r="Q2959" t="s">
        <v>58</v>
      </c>
      <c r="R2959" s="11" t="str">
        <f>HYPERLINK("\\imagefiles.bcgov\imagery\scanned_maps\moe_terrain_maps\Scanned_T_maps_all\R17\R17-692","\\imagefiles.bcgov\imagery\scanned_maps\moe_terrain_maps\Scanned_T_maps_all\R17\R17-692")</f>
        <v>\\imagefiles.bcgov\imagery\scanned_maps\moe_terrain_maps\Scanned_T_maps_all\R17\R17-692</v>
      </c>
      <c r="S2959" t="s">
        <v>62</v>
      </c>
      <c r="T2959" s="11" t="str">
        <f>HYPERLINK("http://www.env.gov.bc.ca/esd/distdata/ecosystems/TEI_Scanned_Maps/R17/R17-692","http://www.env.gov.bc.ca/esd/distdata/ecosystems/TEI_Scanned_Maps/R17/R17-692")</f>
        <v>http://www.env.gov.bc.ca/esd/distdata/ecosystems/TEI_Scanned_Maps/R17/R17-692</v>
      </c>
      <c r="U2959" t="s">
        <v>58</v>
      </c>
      <c r="V2959" t="s">
        <v>58</v>
      </c>
      <c r="W2959" t="s">
        <v>58</v>
      </c>
      <c r="X2959" t="s">
        <v>58</v>
      </c>
      <c r="Y2959" t="s">
        <v>58</v>
      </c>
      <c r="Z2959" t="s">
        <v>58</v>
      </c>
      <c r="AA2959" t="s">
        <v>58</v>
      </c>
      <c r="AC2959" t="s">
        <v>58</v>
      </c>
      <c r="AE2959" t="s">
        <v>58</v>
      </c>
      <c r="AG2959" t="s">
        <v>63</v>
      </c>
      <c r="AH2959" s="11" t="str">
        <f t="shared" si="176"/>
        <v>mailto: soilterrain@victoria1.gov.bc.ca</v>
      </c>
    </row>
    <row r="2960" spans="1:34">
      <c r="A2960" t="s">
        <v>6348</v>
      </c>
      <c r="B2960" t="s">
        <v>56</v>
      </c>
      <c r="C2960" s="10" t="s">
        <v>5444</v>
      </c>
      <c r="D2960" t="s">
        <v>58</v>
      </c>
      <c r="E2960" t="s">
        <v>59</v>
      </c>
      <c r="F2960" t="s">
        <v>6318</v>
      </c>
      <c r="G2960">
        <v>20000</v>
      </c>
      <c r="H2960">
        <v>1975</v>
      </c>
      <c r="I2960" t="s">
        <v>58</v>
      </c>
      <c r="J2960" t="s">
        <v>58</v>
      </c>
      <c r="K2960" t="s">
        <v>61</v>
      </c>
      <c r="L2960" t="s">
        <v>58</v>
      </c>
      <c r="M2960" t="s">
        <v>58</v>
      </c>
      <c r="Q2960" t="s">
        <v>58</v>
      </c>
      <c r="R2960" s="11" t="str">
        <f>HYPERLINK("\\imagefiles.bcgov\imagery\scanned_maps\moe_terrain_maps\Scanned_T_maps_all\R17\R17-699","\\imagefiles.bcgov\imagery\scanned_maps\moe_terrain_maps\Scanned_T_maps_all\R17\R17-699")</f>
        <v>\\imagefiles.bcgov\imagery\scanned_maps\moe_terrain_maps\Scanned_T_maps_all\R17\R17-699</v>
      </c>
      <c r="S2960" t="s">
        <v>62</v>
      </c>
      <c r="T2960" s="11" t="str">
        <f>HYPERLINK("http://www.env.gov.bc.ca/esd/distdata/ecosystems/TEI_Scanned_Maps/R17/R17-699","http://www.env.gov.bc.ca/esd/distdata/ecosystems/TEI_Scanned_Maps/R17/R17-699")</f>
        <v>http://www.env.gov.bc.ca/esd/distdata/ecosystems/TEI_Scanned_Maps/R17/R17-699</v>
      </c>
      <c r="U2960" t="s">
        <v>58</v>
      </c>
      <c r="V2960" t="s">
        <v>58</v>
      </c>
      <c r="W2960" t="s">
        <v>58</v>
      </c>
      <c r="X2960" t="s">
        <v>58</v>
      </c>
      <c r="Y2960" t="s">
        <v>58</v>
      </c>
      <c r="Z2960" t="s">
        <v>58</v>
      </c>
      <c r="AA2960" t="s">
        <v>58</v>
      </c>
      <c r="AC2960" t="s">
        <v>58</v>
      </c>
      <c r="AE2960" t="s">
        <v>58</v>
      </c>
      <c r="AG2960" t="s">
        <v>63</v>
      </c>
      <c r="AH2960" s="11" t="str">
        <f t="shared" si="176"/>
        <v>mailto: soilterrain@victoria1.gov.bc.ca</v>
      </c>
    </row>
    <row r="2961" spans="1:34">
      <c r="A2961" t="s">
        <v>6349</v>
      </c>
      <c r="B2961" t="s">
        <v>56</v>
      </c>
      <c r="C2961" s="10" t="s">
        <v>4653</v>
      </c>
      <c r="D2961" t="s">
        <v>58</v>
      </c>
      <c r="E2961" t="s">
        <v>59</v>
      </c>
      <c r="F2961" t="s">
        <v>6318</v>
      </c>
      <c r="G2961">
        <v>20000</v>
      </c>
      <c r="H2961">
        <v>1975</v>
      </c>
      <c r="I2961" t="s">
        <v>58</v>
      </c>
      <c r="J2961" t="s">
        <v>58</v>
      </c>
      <c r="K2961" t="s">
        <v>61</v>
      </c>
      <c r="L2961" t="s">
        <v>58</v>
      </c>
      <c r="M2961" t="s">
        <v>58</v>
      </c>
      <c r="Q2961" t="s">
        <v>58</v>
      </c>
      <c r="R2961" s="11" t="str">
        <f>HYPERLINK("\\imagefiles.bcgov\imagery\scanned_maps\moe_terrain_maps\Scanned_T_maps_all\R17\R17-706","\\imagefiles.bcgov\imagery\scanned_maps\moe_terrain_maps\Scanned_T_maps_all\R17\R17-706")</f>
        <v>\\imagefiles.bcgov\imagery\scanned_maps\moe_terrain_maps\Scanned_T_maps_all\R17\R17-706</v>
      </c>
      <c r="S2961" t="s">
        <v>62</v>
      </c>
      <c r="T2961" s="11" t="str">
        <f>HYPERLINK("http://www.env.gov.bc.ca/esd/distdata/ecosystems/TEI_Scanned_Maps/R17/R17-706","http://www.env.gov.bc.ca/esd/distdata/ecosystems/TEI_Scanned_Maps/R17/R17-706")</f>
        <v>http://www.env.gov.bc.ca/esd/distdata/ecosystems/TEI_Scanned_Maps/R17/R17-706</v>
      </c>
      <c r="U2961" t="s">
        <v>58</v>
      </c>
      <c r="V2961" t="s">
        <v>58</v>
      </c>
      <c r="W2961" t="s">
        <v>58</v>
      </c>
      <c r="X2961" t="s">
        <v>58</v>
      </c>
      <c r="Y2961" t="s">
        <v>58</v>
      </c>
      <c r="Z2961" t="s">
        <v>58</v>
      </c>
      <c r="AA2961" t="s">
        <v>58</v>
      </c>
      <c r="AC2961" t="s">
        <v>58</v>
      </c>
      <c r="AE2961" t="s">
        <v>58</v>
      </c>
      <c r="AG2961" t="s">
        <v>63</v>
      </c>
      <c r="AH2961" s="11" t="str">
        <f t="shared" si="176"/>
        <v>mailto: soilterrain@victoria1.gov.bc.ca</v>
      </c>
    </row>
    <row r="2962" spans="1:34">
      <c r="A2962" t="s">
        <v>6350</v>
      </c>
      <c r="B2962" t="s">
        <v>56</v>
      </c>
      <c r="C2962" s="10" t="s">
        <v>5447</v>
      </c>
      <c r="D2962" t="s">
        <v>58</v>
      </c>
      <c r="E2962" t="s">
        <v>59</v>
      </c>
      <c r="F2962" t="s">
        <v>6318</v>
      </c>
      <c r="G2962">
        <v>20000</v>
      </c>
      <c r="H2962">
        <v>1975</v>
      </c>
      <c r="I2962" t="s">
        <v>58</v>
      </c>
      <c r="J2962" t="s">
        <v>58</v>
      </c>
      <c r="K2962" t="s">
        <v>61</v>
      </c>
      <c r="L2962" t="s">
        <v>58</v>
      </c>
      <c r="M2962" t="s">
        <v>58</v>
      </c>
      <c r="Q2962" t="s">
        <v>58</v>
      </c>
      <c r="R2962" s="11" t="str">
        <f>HYPERLINK("\\imagefiles.bcgov\imagery\scanned_maps\moe_terrain_maps\Scanned_T_maps_all\R17\R17-713","\\imagefiles.bcgov\imagery\scanned_maps\moe_terrain_maps\Scanned_T_maps_all\R17\R17-713")</f>
        <v>\\imagefiles.bcgov\imagery\scanned_maps\moe_terrain_maps\Scanned_T_maps_all\R17\R17-713</v>
      </c>
      <c r="S2962" t="s">
        <v>62</v>
      </c>
      <c r="T2962" s="11" t="str">
        <f>HYPERLINK("http://www.env.gov.bc.ca/esd/distdata/ecosystems/TEI_Scanned_Maps/R17/R17-713","http://www.env.gov.bc.ca/esd/distdata/ecosystems/TEI_Scanned_Maps/R17/R17-713")</f>
        <v>http://www.env.gov.bc.ca/esd/distdata/ecosystems/TEI_Scanned_Maps/R17/R17-713</v>
      </c>
      <c r="U2962" t="s">
        <v>58</v>
      </c>
      <c r="V2962" t="s">
        <v>58</v>
      </c>
      <c r="W2962" t="s">
        <v>58</v>
      </c>
      <c r="X2962" t="s">
        <v>58</v>
      </c>
      <c r="Y2962" t="s">
        <v>58</v>
      </c>
      <c r="Z2962" t="s">
        <v>58</v>
      </c>
      <c r="AA2962" t="s">
        <v>58</v>
      </c>
      <c r="AC2962" t="s">
        <v>58</v>
      </c>
      <c r="AE2962" t="s">
        <v>58</v>
      </c>
      <c r="AG2962" t="s">
        <v>63</v>
      </c>
      <c r="AH2962" s="11" t="str">
        <f t="shared" si="176"/>
        <v>mailto: soilterrain@victoria1.gov.bc.ca</v>
      </c>
    </row>
    <row r="2963" spans="1:34">
      <c r="A2963" t="s">
        <v>6351</v>
      </c>
      <c r="B2963" t="s">
        <v>56</v>
      </c>
      <c r="C2963" s="10" t="s">
        <v>5449</v>
      </c>
      <c r="D2963" t="s">
        <v>58</v>
      </c>
      <c r="E2963" t="s">
        <v>59</v>
      </c>
      <c r="F2963" t="s">
        <v>6318</v>
      </c>
      <c r="G2963">
        <v>20000</v>
      </c>
      <c r="H2963">
        <v>1975</v>
      </c>
      <c r="I2963" t="s">
        <v>58</v>
      </c>
      <c r="J2963" t="s">
        <v>58</v>
      </c>
      <c r="K2963" t="s">
        <v>61</v>
      </c>
      <c r="L2963" t="s">
        <v>58</v>
      </c>
      <c r="M2963" t="s">
        <v>58</v>
      </c>
      <c r="Q2963" t="s">
        <v>58</v>
      </c>
      <c r="R2963" s="11" t="str">
        <f>HYPERLINK("\\imagefiles.bcgov\imagery\scanned_maps\moe_terrain_maps\Scanned_T_maps_all\R17\R17-721","\\imagefiles.bcgov\imagery\scanned_maps\moe_terrain_maps\Scanned_T_maps_all\R17\R17-721")</f>
        <v>\\imagefiles.bcgov\imagery\scanned_maps\moe_terrain_maps\Scanned_T_maps_all\R17\R17-721</v>
      </c>
      <c r="S2963" t="s">
        <v>62</v>
      </c>
      <c r="T2963" s="11" t="str">
        <f>HYPERLINK("http://www.env.gov.bc.ca/esd/distdata/ecosystems/TEI_Scanned_Maps/R17/R17-721","http://www.env.gov.bc.ca/esd/distdata/ecosystems/TEI_Scanned_Maps/R17/R17-721")</f>
        <v>http://www.env.gov.bc.ca/esd/distdata/ecosystems/TEI_Scanned_Maps/R17/R17-721</v>
      </c>
      <c r="U2963" t="s">
        <v>58</v>
      </c>
      <c r="V2963" t="s">
        <v>58</v>
      </c>
      <c r="W2963" t="s">
        <v>58</v>
      </c>
      <c r="X2963" t="s">
        <v>58</v>
      </c>
      <c r="Y2963" t="s">
        <v>58</v>
      </c>
      <c r="Z2963" t="s">
        <v>58</v>
      </c>
      <c r="AA2963" t="s">
        <v>58</v>
      </c>
      <c r="AC2963" t="s">
        <v>58</v>
      </c>
      <c r="AE2963" t="s">
        <v>58</v>
      </c>
      <c r="AG2963" t="s">
        <v>63</v>
      </c>
      <c r="AH2963" s="11" t="str">
        <f t="shared" si="176"/>
        <v>mailto: soilterrain@victoria1.gov.bc.ca</v>
      </c>
    </row>
    <row r="2964" spans="1:34">
      <c r="A2964" t="s">
        <v>6352</v>
      </c>
      <c r="B2964" t="s">
        <v>56</v>
      </c>
      <c r="C2964" s="10" t="s">
        <v>4904</v>
      </c>
      <c r="D2964" t="s">
        <v>58</v>
      </c>
      <c r="E2964" t="s">
        <v>59</v>
      </c>
      <c r="F2964" t="s">
        <v>6318</v>
      </c>
      <c r="G2964">
        <v>20000</v>
      </c>
      <c r="H2964">
        <v>1975</v>
      </c>
      <c r="I2964" t="s">
        <v>58</v>
      </c>
      <c r="J2964" t="s">
        <v>58</v>
      </c>
      <c r="K2964" t="s">
        <v>61</v>
      </c>
      <c r="L2964" t="s">
        <v>58</v>
      </c>
      <c r="M2964" t="s">
        <v>58</v>
      </c>
      <c r="Q2964" t="s">
        <v>58</v>
      </c>
      <c r="R2964" s="11" t="str">
        <f>HYPERLINK("\\imagefiles.bcgov\imagery\scanned_maps\moe_terrain_maps\Scanned_T_maps_all\R17\R17-729","\\imagefiles.bcgov\imagery\scanned_maps\moe_terrain_maps\Scanned_T_maps_all\R17\R17-729")</f>
        <v>\\imagefiles.bcgov\imagery\scanned_maps\moe_terrain_maps\Scanned_T_maps_all\R17\R17-729</v>
      </c>
      <c r="S2964" t="s">
        <v>62</v>
      </c>
      <c r="T2964" s="11" t="str">
        <f>HYPERLINK("http://www.env.gov.bc.ca/esd/distdata/ecosystems/TEI_Scanned_Maps/R17/R17-729","http://www.env.gov.bc.ca/esd/distdata/ecosystems/TEI_Scanned_Maps/R17/R17-729")</f>
        <v>http://www.env.gov.bc.ca/esd/distdata/ecosystems/TEI_Scanned_Maps/R17/R17-729</v>
      </c>
      <c r="U2964" t="s">
        <v>58</v>
      </c>
      <c r="V2964" t="s">
        <v>58</v>
      </c>
      <c r="W2964" t="s">
        <v>58</v>
      </c>
      <c r="X2964" t="s">
        <v>58</v>
      </c>
      <c r="Y2964" t="s">
        <v>58</v>
      </c>
      <c r="Z2964" t="s">
        <v>58</v>
      </c>
      <c r="AA2964" t="s">
        <v>58</v>
      </c>
      <c r="AC2964" t="s">
        <v>58</v>
      </c>
      <c r="AE2964" t="s">
        <v>58</v>
      </c>
      <c r="AG2964" t="s">
        <v>63</v>
      </c>
      <c r="AH2964" s="11" t="str">
        <f t="shared" si="176"/>
        <v>mailto: soilterrain@victoria1.gov.bc.ca</v>
      </c>
    </row>
    <row r="2965" spans="1:34">
      <c r="A2965" t="s">
        <v>6353</v>
      </c>
      <c r="B2965" t="s">
        <v>56</v>
      </c>
      <c r="C2965" s="10" t="s">
        <v>5452</v>
      </c>
      <c r="D2965" t="s">
        <v>58</v>
      </c>
      <c r="E2965" t="s">
        <v>59</v>
      </c>
      <c r="F2965" t="s">
        <v>6318</v>
      </c>
      <c r="G2965">
        <v>20000</v>
      </c>
      <c r="H2965">
        <v>1971</v>
      </c>
      <c r="I2965" t="s">
        <v>58</v>
      </c>
      <c r="J2965" t="s">
        <v>58</v>
      </c>
      <c r="K2965" t="s">
        <v>61</v>
      </c>
      <c r="L2965" t="s">
        <v>58</v>
      </c>
      <c r="M2965" t="s">
        <v>58</v>
      </c>
      <c r="Q2965" t="s">
        <v>58</v>
      </c>
      <c r="R2965" s="11" t="str">
        <f>HYPERLINK("\\imagefiles.bcgov\imagery\scanned_maps\moe_terrain_maps\Scanned_T_maps_all\R17\R17-736","\\imagefiles.bcgov\imagery\scanned_maps\moe_terrain_maps\Scanned_T_maps_all\R17\R17-736")</f>
        <v>\\imagefiles.bcgov\imagery\scanned_maps\moe_terrain_maps\Scanned_T_maps_all\R17\R17-736</v>
      </c>
      <c r="S2965" t="s">
        <v>62</v>
      </c>
      <c r="T2965" s="11" t="str">
        <f>HYPERLINK("http://www.env.gov.bc.ca/esd/distdata/ecosystems/TEI_Scanned_Maps/R17/R17-736","http://www.env.gov.bc.ca/esd/distdata/ecosystems/TEI_Scanned_Maps/R17/R17-736")</f>
        <v>http://www.env.gov.bc.ca/esd/distdata/ecosystems/TEI_Scanned_Maps/R17/R17-736</v>
      </c>
      <c r="U2965" t="s">
        <v>58</v>
      </c>
      <c r="V2965" t="s">
        <v>58</v>
      </c>
      <c r="W2965" t="s">
        <v>58</v>
      </c>
      <c r="X2965" t="s">
        <v>58</v>
      </c>
      <c r="Y2965" t="s">
        <v>58</v>
      </c>
      <c r="Z2965" t="s">
        <v>58</v>
      </c>
      <c r="AA2965" t="s">
        <v>58</v>
      </c>
      <c r="AC2965" t="s">
        <v>58</v>
      </c>
      <c r="AE2965" t="s">
        <v>58</v>
      </c>
      <c r="AG2965" t="s">
        <v>63</v>
      </c>
      <c r="AH2965" s="11" t="str">
        <f t="shared" si="176"/>
        <v>mailto: soilterrain@victoria1.gov.bc.ca</v>
      </c>
    </row>
    <row r="2966" spans="1:34">
      <c r="A2966" t="s">
        <v>6354</v>
      </c>
      <c r="B2966" t="s">
        <v>56</v>
      </c>
      <c r="C2966" s="10" t="s">
        <v>5454</v>
      </c>
      <c r="D2966" t="s">
        <v>58</v>
      </c>
      <c r="E2966" t="s">
        <v>59</v>
      </c>
      <c r="F2966" t="s">
        <v>6318</v>
      </c>
      <c r="G2966">
        <v>20000</v>
      </c>
      <c r="H2966">
        <v>1976</v>
      </c>
      <c r="I2966" t="s">
        <v>58</v>
      </c>
      <c r="J2966" t="s">
        <v>58</v>
      </c>
      <c r="K2966" t="s">
        <v>61</v>
      </c>
      <c r="L2966" t="s">
        <v>58</v>
      </c>
      <c r="M2966" t="s">
        <v>58</v>
      </c>
      <c r="Q2966" t="s">
        <v>58</v>
      </c>
      <c r="R2966" s="11" t="str">
        <f>HYPERLINK("\\imagefiles.bcgov\imagery\scanned_maps\moe_terrain_maps\Scanned_T_maps_all\R17\R17-743","\\imagefiles.bcgov\imagery\scanned_maps\moe_terrain_maps\Scanned_T_maps_all\R17\R17-743")</f>
        <v>\\imagefiles.bcgov\imagery\scanned_maps\moe_terrain_maps\Scanned_T_maps_all\R17\R17-743</v>
      </c>
      <c r="S2966" t="s">
        <v>62</v>
      </c>
      <c r="T2966" s="11" t="str">
        <f>HYPERLINK("http://www.env.gov.bc.ca/esd/distdata/ecosystems/TEI_Scanned_Maps/R17/R17-743","http://www.env.gov.bc.ca/esd/distdata/ecosystems/TEI_Scanned_Maps/R17/R17-743")</f>
        <v>http://www.env.gov.bc.ca/esd/distdata/ecosystems/TEI_Scanned_Maps/R17/R17-743</v>
      </c>
      <c r="U2966" t="s">
        <v>58</v>
      </c>
      <c r="V2966" t="s">
        <v>58</v>
      </c>
      <c r="W2966" t="s">
        <v>58</v>
      </c>
      <c r="X2966" t="s">
        <v>58</v>
      </c>
      <c r="Y2966" t="s">
        <v>58</v>
      </c>
      <c r="Z2966" t="s">
        <v>58</v>
      </c>
      <c r="AA2966" t="s">
        <v>58</v>
      </c>
      <c r="AC2966" t="s">
        <v>58</v>
      </c>
      <c r="AE2966" t="s">
        <v>58</v>
      </c>
      <c r="AG2966" t="s">
        <v>63</v>
      </c>
      <c r="AH2966" s="11" t="str">
        <f t="shared" si="176"/>
        <v>mailto: soilterrain@victoria1.gov.bc.ca</v>
      </c>
    </row>
    <row r="2967" spans="1:34">
      <c r="A2967" t="s">
        <v>6355</v>
      </c>
      <c r="B2967" t="s">
        <v>56</v>
      </c>
      <c r="C2967" s="10" t="s">
        <v>5456</v>
      </c>
      <c r="D2967" t="s">
        <v>58</v>
      </c>
      <c r="E2967" t="s">
        <v>59</v>
      </c>
      <c r="F2967" t="s">
        <v>6318</v>
      </c>
      <c r="G2967">
        <v>20000</v>
      </c>
      <c r="H2967">
        <v>1976</v>
      </c>
      <c r="I2967" t="s">
        <v>58</v>
      </c>
      <c r="J2967" t="s">
        <v>58</v>
      </c>
      <c r="K2967" t="s">
        <v>61</v>
      </c>
      <c r="L2967" t="s">
        <v>58</v>
      </c>
      <c r="M2967" t="s">
        <v>58</v>
      </c>
      <c r="Q2967" t="s">
        <v>58</v>
      </c>
      <c r="R2967" s="11" t="str">
        <f>HYPERLINK("\\imagefiles.bcgov\imagery\scanned_maps\moe_terrain_maps\Scanned_T_maps_all\R17\R17-750","\\imagefiles.bcgov\imagery\scanned_maps\moe_terrain_maps\Scanned_T_maps_all\R17\R17-750")</f>
        <v>\\imagefiles.bcgov\imagery\scanned_maps\moe_terrain_maps\Scanned_T_maps_all\R17\R17-750</v>
      </c>
      <c r="S2967" t="s">
        <v>62</v>
      </c>
      <c r="T2967" s="11" t="str">
        <f>HYPERLINK("http://www.env.gov.bc.ca/esd/distdata/ecosystems/TEI_Scanned_Maps/R17/R17-750","http://www.env.gov.bc.ca/esd/distdata/ecosystems/TEI_Scanned_Maps/R17/R17-750")</f>
        <v>http://www.env.gov.bc.ca/esd/distdata/ecosystems/TEI_Scanned_Maps/R17/R17-750</v>
      </c>
      <c r="U2967" t="s">
        <v>58</v>
      </c>
      <c r="V2967" t="s">
        <v>58</v>
      </c>
      <c r="W2967" t="s">
        <v>58</v>
      </c>
      <c r="X2967" t="s">
        <v>58</v>
      </c>
      <c r="Y2967" t="s">
        <v>58</v>
      </c>
      <c r="Z2967" t="s">
        <v>58</v>
      </c>
      <c r="AA2967" t="s">
        <v>58</v>
      </c>
      <c r="AC2967" t="s">
        <v>58</v>
      </c>
      <c r="AE2967" t="s">
        <v>58</v>
      </c>
      <c r="AG2967" t="s">
        <v>63</v>
      </c>
      <c r="AH2967" s="11" t="str">
        <f t="shared" si="176"/>
        <v>mailto: soilterrain@victoria1.gov.bc.ca</v>
      </c>
    </row>
    <row r="2968" spans="1:34">
      <c r="A2968" t="s">
        <v>6356</v>
      </c>
      <c r="B2968" t="s">
        <v>56</v>
      </c>
      <c r="C2968" s="10" t="s">
        <v>5344</v>
      </c>
      <c r="D2968" t="s">
        <v>61</v>
      </c>
      <c r="E2968" t="s">
        <v>2952</v>
      </c>
      <c r="F2968" t="s">
        <v>6357</v>
      </c>
      <c r="G2968">
        <v>20000</v>
      </c>
      <c r="H2968">
        <v>1988</v>
      </c>
      <c r="I2968" t="s">
        <v>58</v>
      </c>
      <c r="J2968" t="s">
        <v>58</v>
      </c>
      <c r="K2968" t="s">
        <v>58</v>
      </c>
      <c r="L2968" t="s">
        <v>58</v>
      </c>
      <c r="M2968" t="s">
        <v>58</v>
      </c>
      <c r="P2968" t="s">
        <v>61</v>
      </c>
      <c r="Q2968" t="s">
        <v>58</v>
      </c>
      <c r="R2968" s="11" t="str">
        <f>HYPERLINK("\\imagefiles.bcgov\imagery\scanned_maps\moe_terrain_maps\Scanned_T_maps_all\R18\R18-1146","\\imagefiles.bcgov\imagery\scanned_maps\moe_terrain_maps\Scanned_T_maps_all\R18\R18-1146")</f>
        <v>\\imagefiles.bcgov\imagery\scanned_maps\moe_terrain_maps\Scanned_T_maps_all\R18\R18-1146</v>
      </c>
      <c r="S2968" t="s">
        <v>62</v>
      </c>
      <c r="T2968" s="11" t="str">
        <f>HYPERLINK("http://www.env.gov.bc.ca/esd/distdata/ecosystems/TEI_Scanned_Maps/R18/R18-1146","http://www.env.gov.bc.ca/esd/distdata/ecosystems/TEI_Scanned_Maps/R18/R18-1146")</f>
        <v>http://www.env.gov.bc.ca/esd/distdata/ecosystems/TEI_Scanned_Maps/R18/R18-1146</v>
      </c>
      <c r="U2968" t="s">
        <v>58</v>
      </c>
      <c r="V2968" t="s">
        <v>58</v>
      </c>
      <c r="W2968" t="s">
        <v>58</v>
      </c>
      <c r="X2968" t="s">
        <v>58</v>
      </c>
      <c r="Y2968" t="s">
        <v>58</v>
      </c>
      <c r="Z2968" t="s">
        <v>58</v>
      </c>
      <c r="AA2968" t="s">
        <v>58</v>
      </c>
      <c r="AC2968" t="s">
        <v>58</v>
      </c>
      <c r="AE2968" t="s">
        <v>58</v>
      </c>
      <c r="AG2968" t="s">
        <v>63</v>
      </c>
      <c r="AH2968" s="11" t="str">
        <f t="shared" si="176"/>
        <v>mailto: soilterrain@victoria1.gov.bc.ca</v>
      </c>
    </row>
    <row r="2969" spans="1:34">
      <c r="A2969" t="s">
        <v>6358</v>
      </c>
      <c r="B2969" t="s">
        <v>56</v>
      </c>
      <c r="C2969" s="10" t="s">
        <v>5346</v>
      </c>
      <c r="D2969" t="s">
        <v>61</v>
      </c>
      <c r="E2969" t="s">
        <v>2952</v>
      </c>
      <c r="F2969" t="s">
        <v>6357</v>
      </c>
      <c r="G2969">
        <v>20000</v>
      </c>
      <c r="H2969">
        <v>1988</v>
      </c>
      <c r="I2969" t="s">
        <v>58</v>
      </c>
      <c r="J2969" t="s">
        <v>58</v>
      </c>
      <c r="K2969" t="s">
        <v>58</v>
      </c>
      <c r="L2969" t="s">
        <v>58</v>
      </c>
      <c r="M2969" t="s">
        <v>58</v>
      </c>
      <c r="P2969" t="s">
        <v>61</v>
      </c>
      <c r="Q2969" t="s">
        <v>58</v>
      </c>
      <c r="R2969" s="11" t="str">
        <f>HYPERLINK("\\imagefiles.bcgov\imagery\scanned_maps\moe_terrain_maps\Scanned_T_maps_all\R18\R18-1155","\\imagefiles.bcgov\imagery\scanned_maps\moe_terrain_maps\Scanned_T_maps_all\R18\R18-1155")</f>
        <v>\\imagefiles.bcgov\imagery\scanned_maps\moe_terrain_maps\Scanned_T_maps_all\R18\R18-1155</v>
      </c>
      <c r="S2969" t="s">
        <v>62</v>
      </c>
      <c r="T2969" s="11" t="str">
        <f>HYPERLINK("http://www.env.gov.bc.ca/esd/distdata/ecosystems/TEI_Scanned_Maps/R18/R18-1155","http://www.env.gov.bc.ca/esd/distdata/ecosystems/TEI_Scanned_Maps/R18/R18-1155")</f>
        <v>http://www.env.gov.bc.ca/esd/distdata/ecosystems/TEI_Scanned_Maps/R18/R18-1155</v>
      </c>
      <c r="U2969" t="s">
        <v>58</v>
      </c>
      <c r="V2969" t="s">
        <v>58</v>
      </c>
      <c r="W2969" t="s">
        <v>58</v>
      </c>
      <c r="X2969" t="s">
        <v>58</v>
      </c>
      <c r="Y2969" t="s">
        <v>58</v>
      </c>
      <c r="Z2969" t="s">
        <v>58</v>
      </c>
      <c r="AA2969" t="s">
        <v>58</v>
      </c>
      <c r="AC2969" t="s">
        <v>58</v>
      </c>
      <c r="AE2969" t="s">
        <v>58</v>
      </c>
      <c r="AG2969" t="s">
        <v>63</v>
      </c>
      <c r="AH2969" s="11" t="str">
        <f t="shared" si="176"/>
        <v>mailto: soilterrain@victoria1.gov.bc.ca</v>
      </c>
    </row>
    <row r="2970" spans="1:34">
      <c r="A2970" t="s">
        <v>6359</v>
      </c>
      <c r="B2970" t="s">
        <v>56</v>
      </c>
      <c r="C2970" s="10" t="s">
        <v>5458</v>
      </c>
      <c r="D2970" t="s">
        <v>61</v>
      </c>
      <c r="E2970" t="s">
        <v>2952</v>
      </c>
      <c r="F2970" t="s">
        <v>6360</v>
      </c>
      <c r="G2970">
        <v>20000</v>
      </c>
      <c r="H2970">
        <v>1988</v>
      </c>
      <c r="I2970" t="s">
        <v>58</v>
      </c>
      <c r="J2970" t="s">
        <v>58</v>
      </c>
      <c r="K2970" t="s">
        <v>58</v>
      </c>
      <c r="L2970" t="s">
        <v>58</v>
      </c>
      <c r="M2970" t="s">
        <v>58</v>
      </c>
      <c r="P2970" t="s">
        <v>61</v>
      </c>
      <c r="Q2970" t="s">
        <v>58</v>
      </c>
      <c r="R2970" s="11" t="str">
        <f>HYPERLINK("\\imagefiles.bcgov\imagery\scanned_maps\moe_terrain_maps\Scanned_T_maps_all\R18\R18-947","\\imagefiles.bcgov\imagery\scanned_maps\moe_terrain_maps\Scanned_T_maps_all\R18\R18-947")</f>
        <v>\\imagefiles.bcgov\imagery\scanned_maps\moe_terrain_maps\Scanned_T_maps_all\R18\R18-947</v>
      </c>
      <c r="S2970" t="s">
        <v>62</v>
      </c>
      <c r="T2970" s="11" t="str">
        <f>HYPERLINK("http://www.env.gov.bc.ca/esd/distdata/ecosystems/TEI_Scanned_Maps/R18/R18-947","http://www.env.gov.bc.ca/esd/distdata/ecosystems/TEI_Scanned_Maps/R18/R18-947")</f>
        <v>http://www.env.gov.bc.ca/esd/distdata/ecosystems/TEI_Scanned_Maps/R18/R18-947</v>
      </c>
      <c r="U2970" t="s">
        <v>58</v>
      </c>
      <c r="V2970" t="s">
        <v>58</v>
      </c>
      <c r="W2970" t="s">
        <v>58</v>
      </c>
      <c r="X2970" t="s">
        <v>58</v>
      </c>
      <c r="Y2970" t="s">
        <v>58</v>
      </c>
      <c r="Z2970" t="s">
        <v>58</v>
      </c>
      <c r="AA2970" t="s">
        <v>58</v>
      </c>
      <c r="AC2970" t="s">
        <v>58</v>
      </c>
      <c r="AE2970" t="s">
        <v>58</v>
      </c>
      <c r="AG2970" t="s">
        <v>63</v>
      </c>
      <c r="AH2970" s="11" t="str">
        <f t="shared" si="176"/>
        <v>mailto: soilterrain@victoria1.gov.bc.ca</v>
      </c>
    </row>
    <row r="2971" spans="1:34">
      <c r="A2971" t="s">
        <v>6361</v>
      </c>
      <c r="B2971" t="s">
        <v>56</v>
      </c>
      <c r="C2971" s="10" t="s">
        <v>5462</v>
      </c>
      <c r="D2971" t="s">
        <v>61</v>
      </c>
      <c r="E2971" t="s">
        <v>2952</v>
      </c>
      <c r="F2971" t="s">
        <v>6362</v>
      </c>
      <c r="G2971">
        <v>20000</v>
      </c>
      <c r="H2971">
        <v>1988</v>
      </c>
      <c r="I2971" t="s">
        <v>58</v>
      </c>
      <c r="J2971" t="s">
        <v>58</v>
      </c>
      <c r="K2971" t="s">
        <v>58</v>
      </c>
      <c r="L2971" t="s">
        <v>58</v>
      </c>
      <c r="M2971" t="s">
        <v>58</v>
      </c>
      <c r="P2971" t="s">
        <v>61</v>
      </c>
      <c r="Q2971" t="s">
        <v>58</v>
      </c>
      <c r="R2971" s="11" t="str">
        <f>HYPERLINK("\\imagefiles.bcgov\imagery\scanned_maps\moe_terrain_maps\Scanned_T_maps_all\R18\R18-964","\\imagefiles.bcgov\imagery\scanned_maps\moe_terrain_maps\Scanned_T_maps_all\R18\R18-964")</f>
        <v>\\imagefiles.bcgov\imagery\scanned_maps\moe_terrain_maps\Scanned_T_maps_all\R18\R18-964</v>
      </c>
      <c r="S2971" t="s">
        <v>62</v>
      </c>
      <c r="T2971" s="11" t="str">
        <f>HYPERLINK("http://www.env.gov.bc.ca/esd/distdata/ecosystems/TEI_Scanned_Maps/R18/R18-964","http://www.env.gov.bc.ca/esd/distdata/ecosystems/TEI_Scanned_Maps/R18/R18-964")</f>
        <v>http://www.env.gov.bc.ca/esd/distdata/ecosystems/TEI_Scanned_Maps/R18/R18-964</v>
      </c>
      <c r="U2971" t="s">
        <v>58</v>
      </c>
      <c r="V2971" t="s">
        <v>58</v>
      </c>
      <c r="W2971" t="s">
        <v>58</v>
      </c>
      <c r="X2971" t="s">
        <v>58</v>
      </c>
      <c r="Y2971" t="s">
        <v>58</v>
      </c>
      <c r="Z2971" t="s">
        <v>58</v>
      </c>
      <c r="AA2971" t="s">
        <v>58</v>
      </c>
      <c r="AC2971" t="s">
        <v>58</v>
      </c>
      <c r="AE2971" t="s">
        <v>58</v>
      </c>
      <c r="AG2971" t="s">
        <v>63</v>
      </c>
      <c r="AH2971" s="11" t="str">
        <f t="shared" si="176"/>
        <v>mailto: soilterrain@victoria1.gov.bc.ca</v>
      </c>
    </row>
    <row r="2972" spans="1:34">
      <c r="A2972" t="s">
        <v>6363</v>
      </c>
      <c r="B2972" t="s">
        <v>56</v>
      </c>
      <c r="C2972" s="10" t="s">
        <v>2987</v>
      </c>
      <c r="D2972" t="s">
        <v>58</v>
      </c>
      <c r="E2972" t="s">
        <v>497</v>
      </c>
      <c r="F2972" t="s">
        <v>6364</v>
      </c>
      <c r="G2972">
        <v>20000</v>
      </c>
      <c r="H2972">
        <v>1974</v>
      </c>
      <c r="I2972" t="s">
        <v>58</v>
      </c>
      <c r="J2972" t="s">
        <v>58</v>
      </c>
      <c r="K2972" t="s">
        <v>58</v>
      </c>
      <c r="L2972" t="s">
        <v>58</v>
      </c>
      <c r="M2972" t="s">
        <v>58</v>
      </c>
      <c r="N2972" t="s">
        <v>61</v>
      </c>
      <c r="Q2972" t="s">
        <v>58</v>
      </c>
      <c r="R2972" s="11" t="str">
        <f>HYPERLINK("\\imagefiles.bcgov\imagery\scanned_maps\moe_terrain_maps\Scanned_T_maps_all\R19\R19-1007","\\imagefiles.bcgov\imagery\scanned_maps\moe_terrain_maps\Scanned_T_maps_all\R19\R19-1007")</f>
        <v>\\imagefiles.bcgov\imagery\scanned_maps\moe_terrain_maps\Scanned_T_maps_all\R19\R19-1007</v>
      </c>
      <c r="S2972" t="s">
        <v>62</v>
      </c>
      <c r="T2972" s="11" t="str">
        <f>HYPERLINK("http://www.env.gov.bc.ca/esd/distdata/ecosystems/TEI_Scanned_Maps/R19/R19-1007","http://www.env.gov.bc.ca/esd/distdata/ecosystems/TEI_Scanned_Maps/R19/R19-1007")</f>
        <v>http://www.env.gov.bc.ca/esd/distdata/ecosystems/TEI_Scanned_Maps/R19/R19-1007</v>
      </c>
      <c r="U2972" t="s">
        <v>3353</v>
      </c>
      <c r="V2972" s="11" t="str">
        <f t="shared" ref="V2972:V3001" si="177">HYPERLINK("http://www.env.gov.bc.ca/esd/distdata/ecosystems/Soil_Data/CAPAMP/","http://www.env.gov.bc.ca/esd/distdata/ecosystems/Soil_Data/CAPAMP/")</f>
        <v>http://www.env.gov.bc.ca/esd/distdata/ecosystems/Soil_Data/CAPAMP/</v>
      </c>
      <c r="W2972" t="s">
        <v>58</v>
      </c>
      <c r="X2972" t="s">
        <v>58</v>
      </c>
      <c r="Y2972" t="s">
        <v>58</v>
      </c>
      <c r="Z2972" t="s">
        <v>58</v>
      </c>
      <c r="AA2972" t="s">
        <v>58</v>
      </c>
      <c r="AC2972" t="s">
        <v>58</v>
      </c>
      <c r="AE2972" t="s">
        <v>58</v>
      </c>
      <c r="AG2972" t="s">
        <v>63</v>
      </c>
      <c r="AH2972" s="11" t="str">
        <f t="shared" si="176"/>
        <v>mailto: soilterrain@victoria1.gov.bc.ca</v>
      </c>
    </row>
    <row r="2973" spans="1:34">
      <c r="A2973" t="s">
        <v>6365</v>
      </c>
      <c r="B2973" t="s">
        <v>56</v>
      </c>
      <c r="C2973" s="10" t="s">
        <v>5330</v>
      </c>
      <c r="D2973" t="s">
        <v>58</v>
      </c>
      <c r="E2973" t="s">
        <v>497</v>
      </c>
      <c r="F2973" t="s">
        <v>6364</v>
      </c>
      <c r="G2973">
        <v>20000</v>
      </c>
      <c r="H2973">
        <v>1974</v>
      </c>
      <c r="I2973" t="s">
        <v>58</v>
      </c>
      <c r="J2973" t="s">
        <v>58</v>
      </c>
      <c r="K2973" t="s">
        <v>58</v>
      </c>
      <c r="L2973" t="s">
        <v>58</v>
      </c>
      <c r="M2973" t="s">
        <v>58</v>
      </c>
      <c r="N2973" t="s">
        <v>61</v>
      </c>
      <c r="Q2973" t="s">
        <v>58</v>
      </c>
      <c r="R2973" s="11" t="str">
        <f>HYPERLINK("\\imagefiles.bcgov\imagery\scanned_maps\moe_terrain_maps\Scanned_T_maps_all\R19\R19-1016","\\imagefiles.bcgov\imagery\scanned_maps\moe_terrain_maps\Scanned_T_maps_all\R19\R19-1016")</f>
        <v>\\imagefiles.bcgov\imagery\scanned_maps\moe_terrain_maps\Scanned_T_maps_all\R19\R19-1016</v>
      </c>
      <c r="S2973" t="s">
        <v>62</v>
      </c>
      <c r="T2973" s="11" t="str">
        <f>HYPERLINK("http://www.env.gov.bc.ca/esd/distdata/ecosystems/TEI_Scanned_Maps/R19/R19-1016","http://www.env.gov.bc.ca/esd/distdata/ecosystems/TEI_Scanned_Maps/R19/R19-1016")</f>
        <v>http://www.env.gov.bc.ca/esd/distdata/ecosystems/TEI_Scanned_Maps/R19/R19-1016</v>
      </c>
      <c r="U2973" t="s">
        <v>3353</v>
      </c>
      <c r="V2973" s="11" t="str">
        <f t="shared" si="177"/>
        <v>http://www.env.gov.bc.ca/esd/distdata/ecosystems/Soil_Data/CAPAMP/</v>
      </c>
      <c r="W2973" t="s">
        <v>58</v>
      </c>
      <c r="X2973" t="s">
        <v>58</v>
      </c>
      <c r="Y2973" t="s">
        <v>58</v>
      </c>
      <c r="Z2973" t="s">
        <v>58</v>
      </c>
      <c r="AA2973" t="s">
        <v>58</v>
      </c>
      <c r="AC2973" t="s">
        <v>58</v>
      </c>
      <c r="AE2973" t="s">
        <v>58</v>
      </c>
      <c r="AG2973" t="s">
        <v>63</v>
      </c>
      <c r="AH2973" s="11" t="str">
        <f t="shared" si="176"/>
        <v>mailto: soilterrain@victoria1.gov.bc.ca</v>
      </c>
    </row>
    <row r="2974" spans="1:34">
      <c r="A2974" t="s">
        <v>6366</v>
      </c>
      <c r="B2974" t="s">
        <v>56</v>
      </c>
      <c r="C2974" s="10" t="s">
        <v>5332</v>
      </c>
      <c r="D2974" t="s">
        <v>58</v>
      </c>
      <c r="E2974" t="s">
        <v>497</v>
      </c>
      <c r="F2974" t="s">
        <v>6364</v>
      </c>
      <c r="G2974">
        <v>20000</v>
      </c>
      <c r="H2974">
        <v>1974</v>
      </c>
      <c r="I2974" t="s">
        <v>58</v>
      </c>
      <c r="J2974" t="s">
        <v>58</v>
      </c>
      <c r="K2974" t="s">
        <v>58</v>
      </c>
      <c r="L2974" t="s">
        <v>58</v>
      </c>
      <c r="M2974" t="s">
        <v>58</v>
      </c>
      <c r="N2974" t="s">
        <v>61</v>
      </c>
      <c r="Q2974" t="s">
        <v>58</v>
      </c>
      <c r="R2974" s="11" t="str">
        <f>HYPERLINK("\\imagefiles.bcgov\imagery\scanned_maps\moe_terrain_maps\Scanned_T_maps_all\R19\R19-1025","\\imagefiles.bcgov\imagery\scanned_maps\moe_terrain_maps\Scanned_T_maps_all\R19\R19-1025")</f>
        <v>\\imagefiles.bcgov\imagery\scanned_maps\moe_terrain_maps\Scanned_T_maps_all\R19\R19-1025</v>
      </c>
      <c r="S2974" t="s">
        <v>62</v>
      </c>
      <c r="T2974" s="11" t="str">
        <f>HYPERLINK("http://www.env.gov.bc.ca/esd/distdata/ecosystems/TEI_Scanned_Maps/R19/R19-1025","http://www.env.gov.bc.ca/esd/distdata/ecosystems/TEI_Scanned_Maps/R19/R19-1025")</f>
        <v>http://www.env.gov.bc.ca/esd/distdata/ecosystems/TEI_Scanned_Maps/R19/R19-1025</v>
      </c>
      <c r="U2974" t="s">
        <v>3353</v>
      </c>
      <c r="V2974" s="11" t="str">
        <f t="shared" si="177"/>
        <v>http://www.env.gov.bc.ca/esd/distdata/ecosystems/Soil_Data/CAPAMP/</v>
      </c>
      <c r="W2974" t="s">
        <v>58</v>
      </c>
      <c r="X2974" t="s">
        <v>58</v>
      </c>
      <c r="Y2974" t="s">
        <v>58</v>
      </c>
      <c r="Z2974" t="s">
        <v>58</v>
      </c>
      <c r="AA2974" t="s">
        <v>58</v>
      </c>
      <c r="AC2974" t="s">
        <v>58</v>
      </c>
      <c r="AE2974" t="s">
        <v>58</v>
      </c>
      <c r="AG2974" t="s">
        <v>63</v>
      </c>
      <c r="AH2974" s="11" t="str">
        <f t="shared" si="176"/>
        <v>mailto: soilterrain@victoria1.gov.bc.ca</v>
      </c>
    </row>
    <row r="2975" spans="1:34">
      <c r="A2975" t="s">
        <v>6367</v>
      </c>
      <c r="B2975" t="s">
        <v>56</v>
      </c>
      <c r="C2975" s="10" t="s">
        <v>5258</v>
      </c>
      <c r="D2975" t="s">
        <v>58</v>
      </c>
      <c r="E2975" t="s">
        <v>497</v>
      </c>
      <c r="F2975" t="s">
        <v>6364</v>
      </c>
      <c r="G2975">
        <v>20000</v>
      </c>
      <c r="H2975">
        <v>1974</v>
      </c>
      <c r="I2975" t="s">
        <v>58</v>
      </c>
      <c r="J2975" t="s">
        <v>58</v>
      </c>
      <c r="K2975" t="s">
        <v>58</v>
      </c>
      <c r="L2975" t="s">
        <v>58</v>
      </c>
      <c r="M2975" t="s">
        <v>58</v>
      </c>
      <c r="N2975" t="s">
        <v>61</v>
      </c>
      <c r="Q2975" t="s">
        <v>58</v>
      </c>
      <c r="R2975" s="11" t="str">
        <f>HYPERLINK("\\imagefiles.bcgov\imagery\scanned_maps\moe_terrain_maps\Scanned_T_maps_all\R19\R19-1034","\\imagefiles.bcgov\imagery\scanned_maps\moe_terrain_maps\Scanned_T_maps_all\R19\R19-1034")</f>
        <v>\\imagefiles.bcgov\imagery\scanned_maps\moe_terrain_maps\Scanned_T_maps_all\R19\R19-1034</v>
      </c>
      <c r="S2975" t="s">
        <v>62</v>
      </c>
      <c r="T2975" s="11" t="str">
        <f>HYPERLINK("http://www.env.gov.bc.ca/esd/distdata/ecosystems/TEI_Scanned_Maps/R19/R19-1034","http://www.env.gov.bc.ca/esd/distdata/ecosystems/TEI_Scanned_Maps/R19/R19-1034")</f>
        <v>http://www.env.gov.bc.ca/esd/distdata/ecosystems/TEI_Scanned_Maps/R19/R19-1034</v>
      </c>
      <c r="U2975" t="s">
        <v>3353</v>
      </c>
      <c r="V2975" s="11" t="str">
        <f t="shared" si="177"/>
        <v>http://www.env.gov.bc.ca/esd/distdata/ecosystems/Soil_Data/CAPAMP/</v>
      </c>
      <c r="W2975" t="s">
        <v>58</v>
      </c>
      <c r="X2975" t="s">
        <v>58</v>
      </c>
      <c r="Y2975" t="s">
        <v>58</v>
      </c>
      <c r="Z2975" t="s">
        <v>58</v>
      </c>
      <c r="AA2975" t="s">
        <v>58</v>
      </c>
      <c r="AC2975" t="s">
        <v>58</v>
      </c>
      <c r="AE2975" t="s">
        <v>58</v>
      </c>
      <c r="AG2975" t="s">
        <v>63</v>
      </c>
      <c r="AH2975" s="11" t="str">
        <f t="shared" si="176"/>
        <v>mailto: soilterrain@victoria1.gov.bc.ca</v>
      </c>
    </row>
    <row r="2976" spans="1:34">
      <c r="A2976" t="s">
        <v>6368</v>
      </c>
      <c r="B2976" t="s">
        <v>56</v>
      </c>
      <c r="C2976" s="10" t="s">
        <v>5335</v>
      </c>
      <c r="D2976" t="s">
        <v>58</v>
      </c>
      <c r="E2976" t="s">
        <v>497</v>
      </c>
      <c r="F2976" t="s">
        <v>6364</v>
      </c>
      <c r="G2976">
        <v>20000</v>
      </c>
      <c r="H2976">
        <v>1974</v>
      </c>
      <c r="I2976" t="s">
        <v>58</v>
      </c>
      <c r="J2976" t="s">
        <v>58</v>
      </c>
      <c r="K2976" t="s">
        <v>58</v>
      </c>
      <c r="L2976" t="s">
        <v>58</v>
      </c>
      <c r="M2976" t="s">
        <v>58</v>
      </c>
      <c r="N2976" t="s">
        <v>61</v>
      </c>
      <c r="Q2976" t="s">
        <v>58</v>
      </c>
      <c r="R2976" s="11" t="str">
        <f>HYPERLINK("\\imagefiles.bcgov\imagery\scanned_maps\moe_terrain_maps\Scanned_T_maps_all\R19\R19-1042","\\imagefiles.bcgov\imagery\scanned_maps\moe_terrain_maps\Scanned_T_maps_all\R19\R19-1042")</f>
        <v>\\imagefiles.bcgov\imagery\scanned_maps\moe_terrain_maps\Scanned_T_maps_all\R19\R19-1042</v>
      </c>
      <c r="S2976" t="s">
        <v>62</v>
      </c>
      <c r="T2976" s="11" t="str">
        <f>HYPERLINK("http://www.env.gov.bc.ca/esd/distdata/ecosystems/TEI_Scanned_Maps/R19/R19-1042","http://www.env.gov.bc.ca/esd/distdata/ecosystems/TEI_Scanned_Maps/R19/R19-1042")</f>
        <v>http://www.env.gov.bc.ca/esd/distdata/ecosystems/TEI_Scanned_Maps/R19/R19-1042</v>
      </c>
      <c r="U2976" t="s">
        <v>3353</v>
      </c>
      <c r="V2976" s="11" t="str">
        <f t="shared" si="177"/>
        <v>http://www.env.gov.bc.ca/esd/distdata/ecosystems/Soil_Data/CAPAMP/</v>
      </c>
      <c r="W2976" t="s">
        <v>58</v>
      </c>
      <c r="X2976" t="s">
        <v>58</v>
      </c>
      <c r="Y2976" t="s">
        <v>58</v>
      </c>
      <c r="Z2976" t="s">
        <v>58</v>
      </c>
      <c r="AA2976" t="s">
        <v>58</v>
      </c>
      <c r="AC2976" t="s">
        <v>58</v>
      </c>
      <c r="AE2976" t="s">
        <v>58</v>
      </c>
      <c r="AG2976" t="s">
        <v>63</v>
      </c>
      <c r="AH2976" s="11" t="str">
        <f t="shared" si="176"/>
        <v>mailto: soilterrain@victoria1.gov.bc.ca</v>
      </c>
    </row>
    <row r="2977" spans="1:34">
      <c r="A2977" t="s">
        <v>6369</v>
      </c>
      <c r="B2977" t="s">
        <v>56</v>
      </c>
      <c r="C2977" s="10" t="s">
        <v>5027</v>
      </c>
      <c r="D2977" t="s">
        <v>58</v>
      </c>
      <c r="E2977" t="s">
        <v>497</v>
      </c>
      <c r="F2977" t="s">
        <v>6364</v>
      </c>
      <c r="G2977">
        <v>20000</v>
      </c>
      <c r="H2977">
        <v>1974</v>
      </c>
      <c r="I2977" t="s">
        <v>58</v>
      </c>
      <c r="J2977" t="s">
        <v>58</v>
      </c>
      <c r="K2977" t="s">
        <v>58</v>
      </c>
      <c r="L2977" t="s">
        <v>58</v>
      </c>
      <c r="M2977" t="s">
        <v>58</v>
      </c>
      <c r="N2977" t="s">
        <v>61</v>
      </c>
      <c r="Q2977" t="s">
        <v>58</v>
      </c>
      <c r="R2977" s="11" t="str">
        <f>HYPERLINK("\\imagefiles.bcgov\imagery\scanned_maps\moe_terrain_maps\Scanned_T_maps_all\R19\R19-1050","\\imagefiles.bcgov\imagery\scanned_maps\moe_terrain_maps\Scanned_T_maps_all\R19\R19-1050")</f>
        <v>\\imagefiles.bcgov\imagery\scanned_maps\moe_terrain_maps\Scanned_T_maps_all\R19\R19-1050</v>
      </c>
      <c r="S2977" t="s">
        <v>62</v>
      </c>
      <c r="T2977" s="11" t="str">
        <f>HYPERLINK("http://www.env.gov.bc.ca/esd/distdata/ecosystems/TEI_Scanned_Maps/R19/R19-1050","http://www.env.gov.bc.ca/esd/distdata/ecosystems/TEI_Scanned_Maps/R19/R19-1050")</f>
        <v>http://www.env.gov.bc.ca/esd/distdata/ecosystems/TEI_Scanned_Maps/R19/R19-1050</v>
      </c>
      <c r="U2977" t="s">
        <v>3353</v>
      </c>
      <c r="V2977" s="11" t="str">
        <f t="shared" si="177"/>
        <v>http://www.env.gov.bc.ca/esd/distdata/ecosystems/Soil_Data/CAPAMP/</v>
      </c>
      <c r="W2977" t="s">
        <v>58</v>
      </c>
      <c r="X2977" t="s">
        <v>58</v>
      </c>
      <c r="Y2977" t="s">
        <v>58</v>
      </c>
      <c r="Z2977" t="s">
        <v>58</v>
      </c>
      <c r="AA2977" t="s">
        <v>58</v>
      </c>
      <c r="AC2977" t="s">
        <v>58</v>
      </c>
      <c r="AE2977" t="s">
        <v>58</v>
      </c>
      <c r="AG2977" t="s">
        <v>63</v>
      </c>
      <c r="AH2977" s="11" t="str">
        <f t="shared" si="176"/>
        <v>mailto: soilterrain@victoria1.gov.bc.ca</v>
      </c>
    </row>
    <row r="2978" spans="1:34">
      <c r="A2978" t="s">
        <v>6370</v>
      </c>
      <c r="B2978" t="s">
        <v>56</v>
      </c>
      <c r="C2978" s="10" t="s">
        <v>5338</v>
      </c>
      <c r="D2978" t="s">
        <v>58</v>
      </c>
      <c r="E2978" t="s">
        <v>497</v>
      </c>
      <c r="F2978" t="s">
        <v>6364</v>
      </c>
      <c r="G2978">
        <v>20000</v>
      </c>
      <c r="H2978">
        <v>1974</v>
      </c>
      <c r="I2978" t="s">
        <v>58</v>
      </c>
      <c r="J2978" t="s">
        <v>58</v>
      </c>
      <c r="K2978" t="s">
        <v>58</v>
      </c>
      <c r="L2978" t="s">
        <v>58</v>
      </c>
      <c r="M2978" t="s">
        <v>58</v>
      </c>
      <c r="N2978" t="s">
        <v>61</v>
      </c>
      <c r="Q2978" t="s">
        <v>58</v>
      </c>
      <c r="R2978" s="11" t="str">
        <f>HYPERLINK("\\imagefiles.bcgov\imagery\scanned_maps\moe_terrain_maps\Scanned_T_maps_all\R19\R19-1118","\\imagefiles.bcgov\imagery\scanned_maps\moe_terrain_maps\Scanned_T_maps_all\R19\R19-1118")</f>
        <v>\\imagefiles.bcgov\imagery\scanned_maps\moe_terrain_maps\Scanned_T_maps_all\R19\R19-1118</v>
      </c>
      <c r="S2978" t="s">
        <v>62</v>
      </c>
      <c r="T2978" s="11" t="str">
        <f>HYPERLINK("http://www.env.gov.bc.ca/esd/distdata/ecosystems/TEI_Scanned_Maps/R19/R19-1118","http://www.env.gov.bc.ca/esd/distdata/ecosystems/TEI_Scanned_Maps/R19/R19-1118")</f>
        <v>http://www.env.gov.bc.ca/esd/distdata/ecosystems/TEI_Scanned_Maps/R19/R19-1118</v>
      </c>
      <c r="U2978" t="s">
        <v>3353</v>
      </c>
      <c r="V2978" s="11" t="str">
        <f t="shared" si="177"/>
        <v>http://www.env.gov.bc.ca/esd/distdata/ecosystems/Soil_Data/CAPAMP/</v>
      </c>
      <c r="W2978" t="s">
        <v>58</v>
      </c>
      <c r="X2978" t="s">
        <v>58</v>
      </c>
      <c r="Y2978" t="s">
        <v>58</v>
      </c>
      <c r="Z2978" t="s">
        <v>58</v>
      </c>
      <c r="AA2978" t="s">
        <v>58</v>
      </c>
      <c r="AC2978" t="s">
        <v>58</v>
      </c>
      <c r="AE2978" t="s">
        <v>58</v>
      </c>
      <c r="AG2978" t="s">
        <v>63</v>
      </c>
      <c r="AH2978" s="11" t="str">
        <f t="shared" si="176"/>
        <v>mailto: soilterrain@victoria1.gov.bc.ca</v>
      </c>
    </row>
    <row r="2979" spans="1:34">
      <c r="A2979" t="s">
        <v>6371</v>
      </c>
      <c r="B2979" t="s">
        <v>56</v>
      </c>
      <c r="C2979" s="10" t="s">
        <v>5340</v>
      </c>
      <c r="D2979" t="s">
        <v>58</v>
      </c>
      <c r="E2979" t="s">
        <v>497</v>
      </c>
      <c r="F2979" t="s">
        <v>6364</v>
      </c>
      <c r="G2979">
        <v>20000</v>
      </c>
      <c r="H2979">
        <v>1974</v>
      </c>
      <c r="I2979" t="s">
        <v>58</v>
      </c>
      <c r="J2979" t="s">
        <v>58</v>
      </c>
      <c r="K2979" t="s">
        <v>58</v>
      </c>
      <c r="L2979" t="s">
        <v>58</v>
      </c>
      <c r="M2979" t="s">
        <v>58</v>
      </c>
      <c r="N2979" t="s">
        <v>61</v>
      </c>
      <c r="Q2979" t="s">
        <v>58</v>
      </c>
      <c r="R2979" s="11" t="str">
        <f>HYPERLINK("\\imagefiles.bcgov\imagery\scanned_maps\moe_terrain_maps\Scanned_T_maps_all\R19\R19-1126","\\imagefiles.bcgov\imagery\scanned_maps\moe_terrain_maps\Scanned_T_maps_all\R19\R19-1126")</f>
        <v>\\imagefiles.bcgov\imagery\scanned_maps\moe_terrain_maps\Scanned_T_maps_all\R19\R19-1126</v>
      </c>
      <c r="S2979" t="s">
        <v>62</v>
      </c>
      <c r="T2979" s="11" t="str">
        <f>HYPERLINK("http://www.env.gov.bc.ca/esd/distdata/ecosystems/TEI_Scanned_Maps/R19/R19-1126","http://www.env.gov.bc.ca/esd/distdata/ecosystems/TEI_Scanned_Maps/R19/R19-1126")</f>
        <v>http://www.env.gov.bc.ca/esd/distdata/ecosystems/TEI_Scanned_Maps/R19/R19-1126</v>
      </c>
      <c r="U2979" t="s">
        <v>3353</v>
      </c>
      <c r="V2979" s="11" t="str">
        <f t="shared" si="177"/>
        <v>http://www.env.gov.bc.ca/esd/distdata/ecosystems/Soil_Data/CAPAMP/</v>
      </c>
      <c r="W2979" t="s">
        <v>58</v>
      </c>
      <c r="X2979" t="s">
        <v>58</v>
      </c>
      <c r="Y2979" t="s">
        <v>58</v>
      </c>
      <c r="Z2979" t="s">
        <v>58</v>
      </c>
      <c r="AA2979" t="s">
        <v>58</v>
      </c>
      <c r="AC2979" t="s">
        <v>58</v>
      </c>
      <c r="AE2979" t="s">
        <v>58</v>
      </c>
      <c r="AG2979" t="s">
        <v>63</v>
      </c>
      <c r="AH2979" s="11" t="str">
        <f t="shared" si="176"/>
        <v>mailto: soilterrain@victoria1.gov.bc.ca</v>
      </c>
    </row>
    <row r="2980" spans="1:34">
      <c r="A2980" t="s">
        <v>6372</v>
      </c>
      <c r="B2980" t="s">
        <v>56</v>
      </c>
      <c r="C2980" s="10" t="s">
        <v>5342</v>
      </c>
      <c r="D2980" t="s">
        <v>58</v>
      </c>
      <c r="E2980" t="s">
        <v>497</v>
      </c>
      <c r="F2980" t="s">
        <v>6364</v>
      </c>
      <c r="G2980">
        <v>20000</v>
      </c>
      <c r="H2980">
        <v>1974</v>
      </c>
      <c r="I2980" t="s">
        <v>58</v>
      </c>
      <c r="J2980" t="s">
        <v>58</v>
      </c>
      <c r="K2980" t="s">
        <v>58</v>
      </c>
      <c r="L2980" t="s">
        <v>58</v>
      </c>
      <c r="M2980" t="s">
        <v>58</v>
      </c>
      <c r="N2980" t="s">
        <v>61</v>
      </c>
      <c r="Q2980" t="s">
        <v>58</v>
      </c>
      <c r="R2980" s="11" t="str">
        <f>HYPERLINK("\\imagefiles.bcgov\imagery\scanned_maps\moe_terrain_maps\Scanned_T_maps_all\R19\R19-1134","\\imagefiles.bcgov\imagery\scanned_maps\moe_terrain_maps\Scanned_T_maps_all\R19\R19-1134")</f>
        <v>\\imagefiles.bcgov\imagery\scanned_maps\moe_terrain_maps\Scanned_T_maps_all\R19\R19-1134</v>
      </c>
      <c r="S2980" t="s">
        <v>62</v>
      </c>
      <c r="T2980" s="11" t="str">
        <f>HYPERLINK("http://www.env.gov.bc.ca/esd/distdata/ecosystems/TEI_Scanned_Maps/R19/R19-1134","http://www.env.gov.bc.ca/esd/distdata/ecosystems/TEI_Scanned_Maps/R19/R19-1134")</f>
        <v>http://www.env.gov.bc.ca/esd/distdata/ecosystems/TEI_Scanned_Maps/R19/R19-1134</v>
      </c>
      <c r="U2980" t="s">
        <v>3353</v>
      </c>
      <c r="V2980" s="11" t="str">
        <f t="shared" si="177"/>
        <v>http://www.env.gov.bc.ca/esd/distdata/ecosystems/Soil_Data/CAPAMP/</v>
      </c>
      <c r="W2980" t="s">
        <v>58</v>
      </c>
      <c r="X2980" t="s">
        <v>58</v>
      </c>
      <c r="Y2980" t="s">
        <v>58</v>
      </c>
      <c r="Z2980" t="s">
        <v>58</v>
      </c>
      <c r="AA2980" t="s">
        <v>58</v>
      </c>
      <c r="AC2980" t="s">
        <v>58</v>
      </c>
      <c r="AE2980" t="s">
        <v>58</v>
      </c>
      <c r="AG2980" t="s">
        <v>63</v>
      </c>
      <c r="AH2980" s="11" t="str">
        <f t="shared" si="176"/>
        <v>mailto: soilterrain@victoria1.gov.bc.ca</v>
      </c>
    </row>
    <row r="2981" spans="1:34">
      <c r="A2981" t="s">
        <v>6373</v>
      </c>
      <c r="B2981" t="s">
        <v>56</v>
      </c>
      <c r="C2981" s="10" t="s">
        <v>5344</v>
      </c>
      <c r="D2981" t="s">
        <v>58</v>
      </c>
      <c r="E2981" t="s">
        <v>497</v>
      </c>
      <c r="F2981" t="s">
        <v>6364</v>
      </c>
      <c r="G2981">
        <v>20000</v>
      </c>
      <c r="H2981">
        <v>1978</v>
      </c>
      <c r="I2981" t="s">
        <v>58</v>
      </c>
      <c r="J2981" t="s">
        <v>58</v>
      </c>
      <c r="K2981" t="s">
        <v>58</v>
      </c>
      <c r="L2981" t="s">
        <v>58</v>
      </c>
      <c r="M2981" t="s">
        <v>58</v>
      </c>
      <c r="N2981" t="s">
        <v>61</v>
      </c>
      <c r="Q2981" t="s">
        <v>58</v>
      </c>
      <c r="R2981" s="11" t="str">
        <f>HYPERLINK("\\imagefiles.bcgov\imagery\scanned_maps\moe_terrain_maps\Scanned_T_maps_all\R19\R19-1144","\\imagefiles.bcgov\imagery\scanned_maps\moe_terrain_maps\Scanned_T_maps_all\R19\R19-1144")</f>
        <v>\\imagefiles.bcgov\imagery\scanned_maps\moe_terrain_maps\Scanned_T_maps_all\R19\R19-1144</v>
      </c>
      <c r="S2981" t="s">
        <v>62</v>
      </c>
      <c r="T2981" s="11" t="str">
        <f>HYPERLINK("http://www.env.gov.bc.ca/esd/distdata/ecosystems/TEI_Scanned_Maps/R19/R19-1144","http://www.env.gov.bc.ca/esd/distdata/ecosystems/TEI_Scanned_Maps/R19/R19-1144")</f>
        <v>http://www.env.gov.bc.ca/esd/distdata/ecosystems/TEI_Scanned_Maps/R19/R19-1144</v>
      </c>
      <c r="U2981" t="s">
        <v>3353</v>
      </c>
      <c r="V2981" s="11" t="str">
        <f t="shared" si="177"/>
        <v>http://www.env.gov.bc.ca/esd/distdata/ecosystems/Soil_Data/CAPAMP/</v>
      </c>
      <c r="W2981" t="s">
        <v>58</v>
      </c>
      <c r="X2981" t="s">
        <v>58</v>
      </c>
      <c r="Y2981" t="s">
        <v>58</v>
      </c>
      <c r="Z2981" t="s">
        <v>58</v>
      </c>
      <c r="AA2981" t="s">
        <v>58</v>
      </c>
      <c r="AC2981" t="s">
        <v>58</v>
      </c>
      <c r="AE2981" t="s">
        <v>58</v>
      </c>
      <c r="AG2981" t="s">
        <v>63</v>
      </c>
      <c r="AH2981" s="11" t="str">
        <f t="shared" si="176"/>
        <v>mailto: soilterrain@victoria1.gov.bc.ca</v>
      </c>
    </row>
    <row r="2982" spans="1:34">
      <c r="A2982" t="s">
        <v>6374</v>
      </c>
      <c r="B2982" t="s">
        <v>56</v>
      </c>
      <c r="C2982" s="10" t="s">
        <v>5346</v>
      </c>
      <c r="D2982" t="s">
        <v>58</v>
      </c>
      <c r="E2982" t="s">
        <v>497</v>
      </c>
      <c r="F2982" t="s">
        <v>6364</v>
      </c>
      <c r="G2982">
        <v>20000</v>
      </c>
      <c r="H2982">
        <v>1978</v>
      </c>
      <c r="I2982" t="s">
        <v>58</v>
      </c>
      <c r="J2982" t="s">
        <v>58</v>
      </c>
      <c r="K2982" t="s">
        <v>58</v>
      </c>
      <c r="L2982" t="s">
        <v>58</v>
      </c>
      <c r="M2982" t="s">
        <v>58</v>
      </c>
      <c r="N2982" t="s">
        <v>61</v>
      </c>
      <c r="Q2982" t="s">
        <v>58</v>
      </c>
      <c r="R2982" s="11" t="str">
        <f>HYPERLINK("\\imagefiles.bcgov\imagery\scanned_maps\moe_terrain_maps\Scanned_T_maps_all\R19\R19-1153","\\imagefiles.bcgov\imagery\scanned_maps\moe_terrain_maps\Scanned_T_maps_all\R19\R19-1153")</f>
        <v>\\imagefiles.bcgov\imagery\scanned_maps\moe_terrain_maps\Scanned_T_maps_all\R19\R19-1153</v>
      </c>
      <c r="S2982" t="s">
        <v>62</v>
      </c>
      <c r="T2982" s="11" t="str">
        <f>HYPERLINK("http://www.env.gov.bc.ca/esd/distdata/ecosystems/TEI_Scanned_Maps/R19/R19-1153","http://www.env.gov.bc.ca/esd/distdata/ecosystems/TEI_Scanned_Maps/R19/R19-1153")</f>
        <v>http://www.env.gov.bc.ca/esd/distdata/ecosystems/TEI_Scanned_Maps/R19/R19-1153</v>
      </c>
      <c r="U2982" t="s">
        <v>3353</v>
      </c>
      <c r="V2982" s="11" t="str">
        <f t="shared" si="177"/>
        <v>http://www.env.gov.bc.ca/esd/distdata/ecosystems/Soil_Data/CAPAMP/</v>
      </c>
      <c r="W2982" t="s">
        <v>58</v>
      </c>
      <c r="X2982" t="s">
        <v>58</v>
      </c>
      <c r="Y2982" t="s">
        <v>58</v>
      </c>
      <c r="Z2982" t="s">
        <v>58</v>
      </c>
      <c r="AA2982" t="s">
        <v>58</v>
      </c>
      <c r="AC2982" t="s">
        <v>58</v>
      </c>
      <c r="AE2982" t="s">
        <v>58</v>
      </c>
      <c r="AG2982" t="s">
        <v>63</v>
      </c>
      <c r="AH2982" s="11" t="str">
        <f t="shared" si="176"/>
        <v>mailto: soilterrain@victoria1.gov.bc.ca</v>
      </c>
    </row>
    <row r="2983" spans="1:34">
      <c r="A2983" t="s">
        <v>6375</v>
      </c>
      <c r="B2983" t="s">
        <v>56</v>
      </c>
      <c r="C2983" s="10" t="s">
        <v>5348</v>
      </c>
      <c r="D2983" t="s">
        <v>58</v>
      </c>
      <c r="E2983" t="s">
        <v>497</v>
      </c>
      <c r="F2983" t="s">
        <v>6364</v>
      </c>
      <c r="G2983">
        <v>20000</v>
      </c>
      <c r="H2983">
        <v>1978</v>
      </c>
      <c r="I2983" t="s">
        <v>58</v>
      </c>
      <c r="J2983" t="s">
        <v>58</v>
      </c>
      <c r="K2983" t="s">
        <v>58</v>
      </c>
      <c r="L2983" t="s">
        <v>58</v>
      </c>
      <c r="M2983" t="s">
        <v>58</v>
      </c>
      <c r="N2983" t="s">
        <v>61</v>
      </c>
      <c r="Q2983" t="s">
        <v>58</v>
      </c>
      <c r="R2983" s="11" t="str">
        <f>HYPERLINK("\\imagefiles.bcgov\imagery\scanned_maps\moe_terrain_maps\Scanned_T_maps_all\R19\R19-1162","\\imagefiles.bcgov\imagery\scanned_maps\moe_terrain_maps\Scanned_T_maps_all\R19\R19-1162")</f>
        <v>\\imagefiles.bcgov\imagery\scanned_maps\moe_terrain_maps\Scanned_T_maps_all\R19\R19-1162</v>
      </c>
      <c r="S2983" t="s">
        <v>62</v>
      </c>
      <c r="T2983" s="11" t="str">
        <f>HYPERLINK("http://www.env.gov.bc.ca/esd/distdata/ecosystems/TEI_Scanned_Maps/R19/R19-1162","http://www.env.gov.bc.ca/esd/distdata/ecosystems/TEI_Scanned_Maps/R19/R19-1162")</f>
        <v>http://www.env.gov.bc.ca/esd/distdata/ecosystems/TEI_Scanned_Maps/R19/R19-1162</v>
      </c>
      <c r="U2983" t="s">
        <v>3353</v>
      </c>
      <c r="V2983" s="11" t="str">
        <f t="shared" si="177"/>
        <v>http://www.env.gov.bc.ca/esd/distdata/ecosystems/Soil_Data/CAPAMP/</v>
      </c>
      <c r="W2983" t="s">
        <v>58</v>
      </c>
      <c r="X2983" t="s">
        <v>58</v>
      </c>
      <c r="Y2983" t="s">
        <v>58</v>
      </c>
      <c r="Z2983" t="s">
        <v>58</v>
      </c>
      <c r="AA2983" t="s">
        <v>58</v>
      </c>
      <c r="AC2983" t="s">
        <v>58</v>
      </c>
      <c r="AE2983" t="s">
        <v>58</v>
      </c>
      <c r="AG2983" t="s">
        <v>63</v>
      </c>
      <c r="AH2983" s="11" t="str">
        <f t="shared" si="176"/>
        <v>mailto: soilterrain@victoria1.gov.bc.ca</v>
      </c>
    </row>
    <row r="2984" spans="1:34">
      <c r="A2984" t="s">
        <v>6376</v>
      </c>
      <c r="B2984" t="s">
        <v>56</v>
      </c>
      <c r="C2984" s="10" t="s">
        <v>5350</v>
      </c>
      <c r="D2984" t="s">
        <v>58</v>
      </c>
      <c r="E2984" t="s">
        <v>497</v>
      </c>
      <c r="F2984" t="s">
        <v>6364</v>
      </c>
      <c r="G2984">
        <v>20000</v>
      </c>
      <c r="H2984">
        <v>1978</v>
      </c>
      <c r="I2984" t="s">
        <v>58</v>
      </c>
      <c r="J2984" t="s">
        <v>58</v>
      </c>
      <c r="K2984" t="s">
        <v>58</v>
      </c>
      <c r="L2984" t="s">
        <v>58</v>
      </c>
      <c r="M2984" t="s">
        <v>58</v>
      </c>
      <c r="N2984" t="s">
        <v>61</v>
      </c>
      <c r="Q2984" t="s">
        <v>58</v>
      </c>
      <c r="R2984" s="11" t="str">
        <f>HYPERLINK("\\imagefiles.bcgov\imagery\scanned_maps\moe_terrain_maps\Scanned_T_maps_all\R19\R19-1170","\\imagefiles.bcgov\imagery\scanned_maps\moe_terrain_maps\Scanned_T_maps_all\R19\R19-1170")</f>
        <v>\\imagefiles.bcgov\imagery\scanned_maps\moe_terrain_maps\Scanned_T_maps_all\R19\R19-1170</v>
      </c>
      <c r="S2984" t="s">
        <v>62</v>
      </c>
      <c r="T2984" s="11" t="str">
        <f>HYPERLINK("http://www.env.gov.bc.ca/esd/distdata/ecosystems/TEI_Scanned_Maps/R19/R19-1170","http://www.env.gov.bc.ca/esd/distdata/ecosystems/TEI_Scanned_Maps/R19/R19-1170")</f>
        <v>http://www.env.gov.bc.ca/esd/distdata/ecosystems/TEI_Scanned_Maps/R19/R19-1170</v>
      </c>
      <c r="U2984" t="s">
        <v>3353</v>
      </c>
      <c r="V2984" s="11" t="str">
        <f t="shared" si="177"/>
        <v>http://www.env.gov.bc.ca/esd/distdata/ecosystems/Soil_Data/CAPAMP/</v>
      </c>
      <c r="W2984" t="s">
        <v>58</v>
      </c>
      <c r="X2984" t="s">
        <v>58</v>
      </c>
      <c r="Y2984" t="s">
        <v>58</v>
      </c>
      <c r="Z2984" t="s">
        <v>58</v>
      </c>
      <c r="AA2984" t="s">
        <v>58</v>
      </c>
      <c r="AC2984" t="s">
        <v>58</v>
      </c>
      <c r="AE2984" t="s">
        <v>58</v>
      </c>
      <c r="AG2984" t="s">
        <v>63</v>
      </c>
      <c r="AH2984" s="11" t="str">
        <f t="shared" si="176"/>
        <v>mailto: soilterrain@victoria1.gov.bc.ca</v>
      </c>
    </row>
    <row r="2985" spans="1:34">
      <c r="A2985" t="s">
        <v>6377</v>
      </c>
      <c r="B2985" t="s">
        <v>56</v>
      </c>
      <c r="C2985" s="10" t="s">
        <v>5352</v>
      </c>
      <c r="D2985" t="s">
        <v>58</v>
      </c>
      <c r="E2985" t="s">
        <v>497</v>
      </c>
      <c r="F2985" t="s">
        <v>6364</v>
      </c>
      <c r="G2985">
        <v>20000</v>
      </c>
      <c r="H2985">
        <v>1976</v>
      </c>
      <c r="I2985" t="s">
        <v>58</v>
      </c>
      <c r="J2985" t="s">
        <v>58</v>
      </c>
      <c r="K2985" t="s">
        <v>58</v>
      </c>
      <c r="L2985" t="s">
        <v>58</v>
      </c>
      <c r="M2985" t="s">
        <v>58</v>
      </c>
      <c r="N2985" t="s">
        <v>61</v>
      </c>
      <c r="Q2985" t="s">
        <v>58</v>
      </c>
      <c r="R2985" s="11" t="str">
        <f>HYPERLINK("\\imagefiles.bcgov\imagery\scanned_maps\moe_terrain_maps\Scanned_T_maps_all\R19\R19-1178","\\imagefiles.bcgov\imagery\scanned_maps\moe_terrain_maps\Scanned_T_maps_all\R19\R19-1178")</f>
        <v>\\imagefiles.bcgov\imagery\scanned_maps\moe_terrain_maps\Scanned_T_maps_all\R19\R19-1178</v>
      </c>
      <c r="S2985" t="s">
        <v>62</v>
      </c>
      <c r="T2985" s="11" t="str">
        <f>HYPERLINK("http://www.env.gov.bc.ca/esd/distdata/ecosystems/TEI_Scanned_Maps/R19/R19-1178","http://www.env.gov.bc.ca/esd/distdata/ecosystems/TEI_Scanned_Maps/R19/R19-1178")</f>
        <v>http://www.env.gov.bc.ca/esd/distdata/ecosystems/TEI_Scanned_Maps/R19/R19-1178</v>
      </c>
      <c r="U2985" t="s">
        <v>3353</v>
      </c>
      <c r="V2985" s="11" t="str">
        <f t="shared" si="177"/>
        <v>http://www.env.gov.bc.ca/esd/distdata/ecosystems/Soil_Data/CAPAMP/</v>
      </c>
      <c r="W2985" t="s">
        <v>58</v>
      </c>
      <c r="X2985" t="s">
        <v>58</v>
      </c>
      <c r="Y2985" t="s">
        <v>58</v>
      </c>
      <c r="Z2985" t="s">
        <v>58</v>
      </c>
      <c r="AA2985" t="s">
        <v>58</v>
      </c>
      <c r="AC2985" t="s">
        <v>58</v>
      </c>
      <c r="AE2985" t="s">
        <v>58</v>
      </c>
      <c r="AG2985" t="s">
        <v>63</v>
      </c>
      <c r="AH2985" s="11" t="str">
        <f t="shared" si="176"/>
        <v>mailto: soilterrain@victoria1.gov.bc.ca</v>
      </c>
    </row>
    <row r="2986" spans="1:34">
      <c r="A2986" t="s">
        <v>6378</v>
      </c>
      <c r="B2986" t="s">
        <v>56</v>
      </c>
      <c r="C2986" s="10" t="s">
        <v>5354</v>
      </c>
      <c r="D2986" t="s">
        <v>58</v>
      </c>
      <c r="E2986" t="s">
        <v>497</v>
      </c>
      <c r="F2986" t="s">
        <v>6364</v>
      </c>
      <c r="G2986">
        <v>20000</v>
      </c>
      <c r="H2986">
        <v>1970</v>
      </c>
      <c r="I2986" t="s">
        <v>58</v>
      </c>
      <c r="J2986" t="s">
        <v>58</v>
      </c>
      <c r="K2986" t="s">
        <v>58</v>
      </c>
      <c r="L2986" t="s">
        <v>58</v>
      </c>
      <c r="M2986" t="s">
        <v>58</v>
      </c>
      <c r="N2986" t="s">
        <v>61</v>
      </c>
      <c r="Q2986" t="s">
        <v>58</v>
      </c>
      <c r="R2986" s="11" t="str">
        <f>HYPERLINK("\\imagefiles.bcgov\imagery\scanned_maps\moe_terrain_maps\Scanned_T_maps_all\R19\R19-1186","\\imagefiles.bcgov\imagery\scanned_maps\moe_terrain_maps\Scanned_T_maps_all\R19\R19-1186")</f>
        <v>\\imagefiles.bcgov\imagery\scanned_maps\moe_terrain_maps\Scanned_T_maps_all\R19\R19-1186</v>
      </c>
      <c r="S2986" t="s">
        <v>62</v>
      </c>
      <c r="T2986" s="11" t="str">
        <f>HYPERLINK("http://www.env.gov.bc.ca/esd/distdata/ecosystems/TEI_Scanned_Maps/R19/R19-1186","http://www.env.gov.bc.ca/esd/distdata/ecosystems/TEI_Scanned_Maps/R19/R19-1186")</f>
        <v>http://www.env.gov.bc.ca/esd/distdata/ecosystems/TEI_Scanned_Maps/R19/R19-1186</v>
      </c>
      <c r="U2986" t="s">
        <v>3353</v>
      </c>
      <c r="V2986" s="11" t="str">
        <f t="shared" si="177"/>
        <v>http://www.env.gov.bc.ca/esd/distdata/ecosystems/Soil_Data/CAPAMP/</v>
      </c>
      <c r="W2986" t="s">
        <v>58</v>
      </c>
      <c r="X2986" t="s">
        <v>58</v>
      </c>
      <c r="Y2986" t="s">
        <v>58</v>
      </c>
      <c r="Z2986" t="s">
        <v>58</v>
      </c>
      <c r="AA2986" t="s">
        <v>58</v>
      </c>
      <c r="AC2986" t="s">
        <v>58</v>
      </c>
      <c r="AE2986" t="s">
        <v>58</v>
      </c>
      <c r="AG2986" t="s">
        <v>63</v>
      </c>
      <c r="AH2986" s="11" t="str">
        <f t="shared" si="176"/>
        <v>mailto: soilterrain@victoria1.gov.bc.ca</v>
      </c>
    </row>
    <row r="2987" spans="1:34">
      <c r="A2987" t="s">
        <v>6379</v>
      </c>
      <c r="B2987" t="s">
        <v>56</v>
      </c>
      <c r="C2987" s="10" t="s">
        <v>5356</v>
      </c>
      <c r="D2987" t="s">
        <v>58</v>
      </c>
      <c r="E2987" t="s">
        <v>497</v>
      </c>
      <c r="F2987" t="s">
        <v>6364</v>
      </c>
      <c r="G2987">
        <v>20000</v>
      </c>
      <c r="H2987">
        <v>1972</v>
      </c>
      <c r="I2987" t="s">
        <v>58</v>
      </c>
      <c r="J2987" t="s">
        <v>58</v>
      </c>
      <c r="K2987" t="s">
        <v>58</v>
      </c>
      <c r="L2987" t="s">
        <v>58</v>
      </c>
      <c r="M2987" t="s">
        <v>58</v>
      </c>
      <c r="N2987" t="s">
        <v>61</v>
      </c>
      <c r="Q2987" t="s">
        <v>58</v>
      </c>
      <c r="R2987" s="11" t="str">
        <f>HYPERLINK("\\imagefiles.bcgov\imagery\scanned_maps\moe_terrain_maps\Scanned_T_maps_all\R19\R19-1194","\\imagefiles.bcgov\imagery\scanned_maps\moe_terrain_maps\Scanned_T_maps_all\R19\R19-1194")</f>
        <v>\\imagefiles.bcgov\imagery\scanned_maps\moe_terrain_maps\Scanned_T_maps_all\R19\R19-1194</v>
      </c>
      <c r="S2987" t="s">
        <v>62</v>
      </c>
      <c r="T2987" s="11" t="str">
        <f>HYPERLINK("http://www.env.gov.bc.ca/esd/distdata/ecosystems/TEI_Scanned_Maps/R19/R19-1194","http://www.env.gov.bc.ca/esd/distdata/ecosystems/TEI_Scanned_Maps/R19/R19-1194")</f>
        <v>http://www.env.gov.bc.ca/esd/distdata/ecosystems/TEI_Scanned_Maps/R19/R19-1194</v>
      </c>
      <c r="U2987" t="s">
        <v>3353</v>
      </c>
      <c r="V2987" s="11" t="str">
        <f t="shared" si="177"/>
        <v>http://www.env.gov.bc.ca/esd/distdata/ecosystems/Soil_Data/CAPAMP/</v>
      </c>
      <c r="W2987" t="s">
        <v>58</v>
      </c>
      <c r="X2987" t="s">
        <v>58</v>
      </c>
      <c r="Y2987" t="s">
        <v>58</v>
      </c>
      <c r="Z2987" t="s">
        <v>58</v>
      </c>
      <c r="AA2987" t="s">
        <v>58</v>
      </c>
      <c r="AC2987" t="s">
        <v>58</v>
      </c>
      <c r="AE2987" t="s">
        <v>58</v>
      </c>
      <c r="AG2987" t="s">
        <v>63</v>
      </c>
      <c r="AH2987" s="11" t="str">
        <f t="shared" si="176"/>
        <v>mailto: soilterrain@victoria1.gov.bc.ca</v>
      </c>
    </row>
    <row r="2988" spans="1:34">
      <c r="A2988" t="s">
        <v>6380</v>
      </c>
      <c r="B2988" t="s">
        <v>56</v>
      </c>
      <c r="C2988" s="10" t="s">
        <v>5358</v>
      </c>
      <c r="D2988" t="s">
        <v>58</v>
      </c>
      <c r="E2988" t="s">
        <v>497</v>
      </c>
      <c r="F2988" t="s">
        <v>6364</v>
      </c>
      <c r="G2988">
        <v>20000</v>
      </c>
      <c r="H2988">
        <v>1970</v>
      </c>
      <c r="I2988" t="s">
        <v>58</v>
      </c>
      <c r="J2988" t="s">
        <v>58</v>
      </c>
      <c r="K2988" t="s">
        <v>58</v>
      </c>
      <c r="L2988" t="s">
        <v>58</v>
      </c>
      <c r="M2988" t="s">
        <v>58</v>
      </c>
      <c r="N2988" t="s">
        <v>61</v>
      </c>
      <c r="Q2988" t="s">
        <v>58</v>
      </c>
      <c r="R2988" s="11" t="str">
        <f>HYPERLINK("\\imagefiles.bcgov\imagery\scanned_maps\moe_terrain_maps\Scanned_T_maps_all\R19\R19-1202","\\imagefiles.bcgov\imagery\scanned_maps\moe_terrain_maps\Scanned_T_maps_all\R19\R19-1202")</f>
        <v>\\imagefiles.bcgov\imagery\scanned_maps\moe_terrain_maps\Scanned_T_maps_all\R19\R19-1202</v>
      </c>
      <c r="S2988" t="s">
        <v>62</v>
      </c>
      <c r="T2988" s="11" t="str">
        <f>HYPERLINK("http://www.env.gov.bc.ca/esd/distdata/ecosystems/TEI_Scanned_Maps/R19/R19-1202","http://www.env.gov.bc.ca/esd/distdata/ecosystems/TEI_Scanned_Maps/R19/R19-1202")</f>
        <v>http://www.env.gov.bc.ca/esd/distdata/ecosystems/TEI_Scanned_Maps/R19/R19-1202</v>
      </c>
      <c r="U2988" t="s">
        <v>3353</v>
      </c>
      <c r="V2988" s="11" t="str">
        <f t="shared" si="177"/>
        <v>http://www.env.gov.bc.ca/esd/distdata/ecosystems/Soil_Data/CAPAMP/</v>
      </c>
      <c r="W2988" t="s">
        <v>58</v>
      </c>
      <c r="X2988" t="s">
        <v>58</v>
      </c>
      <c r="Y2988" t="s">
        <v>58</v>
      </c>
      <c r="Z2988" t="s">
        <v>58</v>
      </c>
      <c r="AA2988" t="s">
        <v>58</v>
      </c>
      <c r="AC2988" t="s">
        <v>58</v>
      </c>
      <c r="AE2988" t="s">
        <v>58</v>
      </c>
      <c r="AG2988" t="s">
        <v>63</v>
      </c>
      <c r="AH2988" s="11" t="str">
        <f t="shared" si="176"/>
        <v>mailto: soilterrain@victoria1.gov.bc.ca</v>
      </c>
    </row>
    <row r="2989" spans="1:34">
      <c r="A2989" t="s">
        <v>6381</v>
      </c>
      <c r="B2989" t="s">
        <v>56</v>
      </c>
      <c r="C2989" s="10" t="s">
        <v>5360</v>
      </c>
      <c r="D2989" t="s">
        <v>58</v>
      </c>
      <c r="E2989" t="s">
        <v>497</v>
      </c>
      <c r="F2989" t="s">
        <v>6382</v>
      </c>
      <c r="G2989">
        <v>20000</v>
      </c>
      <c r="H2989">
        <v>1972</v>
      </c>
      <c r="I2989" t="s">
        <v>58</v>
      </c>
      <c r="J2989" t="s">
        <v>58</v>
      </c>
      <c r="K2989" t="s">
        <v>58</v>
      </c>
      <c r="L2989" t="s">
        <v>58</v>
      </c>
      <c r="M2989" t="s">
        <v>58</v>
      </c>
      <c r="N2989" t="s">
        <v>61</v>
      </c>
      <c r="Q2989" t="s">
        <v>58</v>
      </c>
      <c r="R2989" s="11" t="str">
        <f>HYPERLINK("\\imagefiles.bcgov\imagery\scanned_maps\moe_terrain_maps\Scanned_T_maps_all\R19\R19-1210","\\imagefiles.bcgov\imagery\scanned_maps\moe_terrain_maps\Scanned_T_maps_all\R19\R19-1210")</f>
        <v>\\imagefiles.bcgov\imagery\scanned_maps\moe_terrain_maps\Scanned_T_maps_all\R19\R19-1210</v>
      </c>
      <c r="S2989" t="s">
        <v>62</v>
      </c>
      <c r="T2989" s="11" t="str">
        <f>HYPERLINK("http://www.env.gov.bc.ca/esd/distdata/ecosystems/TEI_Scanned_Maps/R19/R19-1210","http://www.env.gov.bc.ca/esd/distdata/ecosystems/TEI_Scanned_Maps/R19/R19-1210")</f>
        <v>http://www.env.gov.bc.ca/esd/distdata/ecosystems/TEI_Scanned_Maps/R19/R19-1210</v>
      </c>
      <c r="U2989" t="s">
        <v>3353</v>
      </c>
      <c r="V2989" s="11" t="str">
        <f t="shared" si="177"/>
        <v>http://www.env.gov.bc.ca/esd/distdata/ecosystems/Soil_Data/CAPAMP/</v>
      </c>
      <c r="W2989" t="s">
        <v>58</v>
      </c>
      <c r="X2989" t="s">
        <v>58</v>
      </c>
      <c r="Y2989" t="s">
        <v>58</v>
      </c>
      <c r="Z2989" t="s">
        <v>58</v>
      </c>
      <c r="AA2989" t="s">
        <v>58</v>
      </c>
      <c r="AC2989" t="s">
        <v>58</v>
      </c>
      <c r="AE2989" t="s">
        <v>58</v>
      </c>
      <c r="AG2989" t="s">
        <v>63</v>
      </c>
      <c r="AH2989" s="11" t="str">
        <f t="shared" si="176"/>
        <v>mailto: soilterrain@victoria1.gov.bc.ca</v>
      </c>
    </row>
    <row r="2990" spans="1:34">
      <c r="A2990" t="s">
        <v>6383</v>
      </c>
      <c r="B2990" t="s">
        <v>56</v>
      </c>
      <c r="C2990" s="10" t="s">
        <v>5362</v>
      </c>
      <c r="D2990" t="s">
        <v>58</v>
      </c>
      <c r="E2990" t="s">
        <v>497</v>
      </c>
      <c r="F2990" t="s">
        <v>6364</v>
      </c>
      <c r="G2990">
        <v>20000</v>
      </c>
      <c r="H2990">
        <v>1984</v>
      </c>
      <c r="I2990" t="s">
        <v>58</v>
      </c>
      <c r="J2990" t="s">
        <v>58</v>
      </c>
      <c r="K2990" t="s">
        <v>58</v>
      </c>
      <c r="L2990" t="s">
        <v>58</v>
      </c>
      <c r="M2990" t="s">
        <v>58</v>
      </c>
      <c r="N2990" t="s">
        <v>61</v>
      </c>
      <c r="Q2990" t="s">
        <v>58</v>
      </c>
      <c r="R2990" s="11" t="str">
        <f>HYPERLINK("\\imagefiles.bcgov\imagery\scanned_maps\moe_terrain_maps\Scanned_T_maps_all\R19\R19-1218","\\imagefiles.bcgov\imagery\scanned_maps\moe_terrain_maps\Scanned_T_maps_all\R19\R19-1218")</f>
        <v>\\imagefiles.bcgov\imagery\scanned_maps\moe_terrain_maps\Scanned_T_maps_all\R19\R19-1218</v>
      </c>
      <c r="S2990" t="s">
        <v>62</v>
      </c>
      <c r="T2990" s="11" t="str">
        <f>HYPERLINK("http://www.env.gov.bc.ca/esd/distdata/ecosystems/TEI_Scanned_Maps/R19/R19-1218","http://www.env.gov.bc.ca/esd/distdata/ecosystems/TEI_Scanned_Maps/R19/R19-1218")</f>
        <v>http://www.env.gov.bc.ca/esd/distdata/ecosystems/TEI_Scanned_Maps/R19/R19-1218</v>
      </c>
      <c r="U2990" t="s">
        <v>3353</v>
      </c>
      <c r="V2990" s="11" t="str">
        <f t="shared" si="177"/>
        <v>http://www.env.gov.bc.ca/esd/distdata/ecosystems/Soil_Data/CAPAMP/</v>
      </c>
      <c r="W2990" t="s">
        <v>58</v>
      </c>
      <c r="X2990" t="s">
        <v>58</v>
      </c>
      <c r="Y2990" t="s">
        <v>58</v>
      </c>
      <c r="Z2990" t="s">
        <v>58</v>
      </c>
      <c r="AA2990" t="s">
        <v>58</v>
      </c>
      <c r="AC2990" t="s">
        <v>58</v>
      </c>
      <c r="AE2990" t="s">
        <v>58</v>
      </c>
      <c r="AG2990" t="s">
        <v>63</v>
      </c>
      <c r="AH2990" s="11" t="str">
        <f t="shared" si="176"/>
        <v>mailto: soilterrain@victoria1.gov.bc.ca</v>
      </c>
    </row>
    <row r="2991" spans="1:34">
      <c r="A2991" t="s">
        <v>6384</v>
      </c>
      <c r="B2991" t="s">
        <v>56</v>
      </c>
      <c r="C2991" s="10" t="s">
        <v>5589</v>
      </c>
      <c r="D2991" t="s">
        <v>58</v>
      </c>
      <c r="E2991" t="s">
        <v>497</v>
      </c>
      <c r="F2991" t="s">
        <v>6364</v>
      </c>
      <c r="G2991">
        <v>20000</v>
      </c>
      <c r="H2991">
        <v>1970</v>
      </c>
      <c r="I2991" t="s">
        <v>58</v>
      </c>
      <c r="J2991" t="s">
        <v>58</v>
      </c>
      <c r="K2991" t="s">
        <v>58</v>
      </c>
      <c r="L2991" t="s">
        <v>58</v>
      </c>
      <c r="M2991" t="s">
        <v>58</v>
      </c>
      <c r="N2991" t="s">
        <v>61</v>
      </c>
      <c r="Q2991" t="s">
        <v>58</v>
      </c>
      <c r="R2991" s="11" t="str">
        <f>HYPERLINK("\\imagefiles.bcgov\imagery\scanned_maps\moe_terrain_maps\Scanned_T_maps_all\R19\R19-1226","\\imagefiles.bcgov\imagery\scanned_maps\moe_terrain_maps\Scanned_T_maps_all\R19\R19-1226")</f>
        <v>\\imagefiles.bcgov\imagery\scanned_maps\moe_terrain_maps\Scanned_T_maps_all\R19\R19-1226</v>
      </c>
      <c r="S2991" t="s">
        <v>62</v>
      </c>
      <c r="T2991" s="11" t="str">
        <f>HYPERLINK("http://www.env.gov.bc.ca/esd/distdata/ecosystems/TEI_Scanned_Maps/R19/R19-1226","http://www.env.gov.bc.ca/esd/distdata/ecosystems/TEI_Scanned_Maps/R19/R19-1226")</f>
        <v>http://www.env.gov.bc.ca/esd/distdata/ecosystems/TEI_Scanned_Maps/R19/R19-1226</v>
      </c>
      <c r="U2991" t="s">
        <v>3353</v>
      </c>
      <c r="V2991" s="11" t="str">
        <f t="shared" si="177"/>
        <v>http://www.env.gov.bc.ca/esd/distdata/ecosystems/Soil_Data/CAPAMP/</v>
      </c>
      <c r="W2991" t="s">
        <v>58</v>
      </c>
      <c r="X2991" t="s">
        <v>58</v>
      </c>
      <c r="Y2991" t="s">
        <v>58</v>
      </c>
      <c r="Z2991" t="s">
        <v>58</v>
      </c>
      <c r="AA2991" t="s">
        <v>58</v>
      </c>
      <c r="AC2991" t="s">
        <v>58</v>
      </c>
      <c r="AE2991" t="s">
        <v>58</v>
      </c>
      <c r="AG2991" t="s">
        <v>63</v>
      </c>
      <c r="AH2991" s="11" t="str">
        <f t="shared" si="176"/>
        <v>mailto: soilterrain@victoria1.gov.bc.ca</v>
      </c>
    </row>
    <row r="2992" spans="1:34">
      <c r="A2992" t="s">
        <v>6385</v>
      </c>
      <c r="B2992" t="s">
        <v>56</v>
      </c>
      <c r="C2992" s="10" t="s">
        <v>5365</v>
      </c>
      <c r="D2992" t="s">
        <v>58</v>
      </c>
      <c r="E2992" t="s">
        <v>497</v>
      </c>
      <c r="F2992" t="s">
        <v>6364</v>
      </c>
      <c r="G2992">
        <v>20000</v>
      </c>
      <c r="H2992">
        <v>1972</v>
      </c>
      <c r="I2992" t="s">
        <v>58</v>
      </c>
      <c r="J2992" t="s">
        <v>58</v>
      </c>
      <c r="K2992" t="s">
        <v>58</v>
      </c>
      <c r="L2992" t="s">
        <v>58</v>
      </c>
      <c r="M2992" t="s">
        <v>58</v>
      </c>
      <c r="N2992" t="s">
        <v>61</v>
      </c>
      <c r="Q2992" t="s">
        <v>58</v>
      </c>
      <c r="R2992" s="11" t="str">
        <f>HYPERLINK("\\imagefiles.bcgov\imagery\scanned_maps\moe_terrain_maps\Scanned_T_maps_all\R19\R19-1232","\\imagefiles.bcgov\imagery\scanned_maps\moe_terrain_maps\Scanned_T_maps_all\R19\R19-1232")</f>
        <v>\\imagefiles.bcgov\imagery\scanned_maps\moe_terrain_maps\Scanned_T_maps_all\R19\R19-1232</v>
      </c>
      <c r="S2992" t="s">
        <v>62</v>
      </c>
      <c r="T2992" s="11" t="str">
        <f>HYPERLINK("http://www.env.gov.bc.ca/esd/distdata/ecosystems/TEI_Scanned_Maps/R19/R19-1232","http://www.env.gov.bc.ca/esd/distdata/ecosystems/TEI_Scanned_Maps/R19/R19-1232")</f>
        <v>http://www.env.gov.bc.ca/esd/distdata/ecosystems/TEI_Scanned_Maps/R19/R19-1232</v>
      </c>
      <c r="U2992" t="s">
        <v>3353</v>
      </c>
      <c r="V2992" s="11" t="str">
        <f t="shared" si="177"/>
        <v>http://www.env.gov.bc.ca/esd/distdata/ecosystems/Soil_Data/CAPAMP/</v>
      </c>
      <c r="W2992" t="s">
        <v>58</v>
      </c>
      <c r="X2992" t="s">
        <v>58</v>
      </c>
      <c r="Y2992" t="s">
        <v>58</v>
      </c>
      <c r="Z2992" t="s">
        <v>58</v>
      </c>
      <c r="AA2992" t="s">
        <v>58</v>
      </c>
      <c r="AC2992" t="s">
        <v>58</v>
      </c>
      <c r="AE2992" t="s">
        <v>58</v>
      </c>
      <c r="AG2992" t="s">
        <v>63</v>
      </c>
      <c r="AH2992" s="11" t="str">
        <f t="shared" si="176"/>
        <v>mailto: soilterrain@victoria1.gov.bc.ca</v>
      </c>
    </row>
    <row r="2993" spans="1:34">
      <c r="A2993" t="s">
        <v>6386</v>
      </c>
      <c r="B2993" t="s">
        <v>56</v>
      </c>
      <c r="C2993" s="10" t="s">
        <v>5367</v>
      </c>
      <c r="D2993" t="s">
        <v>58</v>
      </c>
      <c r="E2993" t="s">
        <v>497</v>
      </c>
      <c r="F2993" t="s">
        <v>6382</v>
      </c>
      <c r="G2993">
        <v>20000</v>
      </c>
      <c r="H2993">
        <v>1970</v>
      </c>
      <c r="I2993" t="s">
        <v>58</v>
      </c>
      <c r="J2993" t="s">
        <v>58</v>
      </c>
      <c r="K2993" t="s">
        <v>58</v>
      </c>
      <c r="L2993" t="s">
        <v>58</v>
      </c>
      <c r="M2993" t="s">
        <v>58</v>
      </c>
      <c r="N2993" t="s">
        <v>61</v>
      </c>
      <c r="Q2993" t="s">
        <v>58</v>
      </c>
      <c r="R2993" s="11" t="str">
        <f>HYPERLINK("\\imagefiles.bcgov\imagery\scanned_maps\moe_terrain_maps\Scanned_T_maps_all\R19\R19-1240","\\imagefiles.bcgov\imagery\scanned_maps\moe_terrain_maps\Scanned_T_maps_all\R19\R19-1240")</f>
        <v>\\imagefiles.bcgov\imagery\scanned_maps\moe_terrain_maps\Scanned_T_maps_all\R19\R19-1240</v>
      </c>
      <c r="S2993" t="s">
        <v>62</v>
      </c>
      <c r="T2993" s="11" t="str">
        <f>HYPERLINK("http://www.env.gov.bc.ca/esd/distdata/ecosystems/TEI_Scanned_Maps/R19/R19-1240","http://www.env.gov.bc.ca/esd/distdata/ecosystems/TEI_Scanned_Maps/R19/R19-1240")</f>
        <v>http://www.env.gov.bc.ca/esd/distdata/ecosystems/TEI_Scanned_Maps/R19/R19-1240</v>
      </c>
      <c r="U2993" t="s">
        <v>3353</v>
      </c>
      <c r="V2993" s="11" t="str">
        <f t="shared" si="177"/>
        <v>http://www.env.gov.bc.ca/esd/distdata/ecosystems/Soil_Data/CAPAMP/</v>
      </c>
      <c r="W2993" t="s">
        <v>58</v>
      </c>
      <c r="X2993" t="s">
        <v>58</v>
      </c>
      <c r="Y2993" t="s">
        <v>58</v>
      </c>
      <c r="Z2993" t="s">
        <v>58</v>
      </c>
      <c r="AA2993" t="s">
        <v>58</v>
      </c>
      <c r="AC2993" t="s">
        <v>58</v>
      </c>
      <c r="AE2993" t="s">
        <v>58</v>
      </c>
      <c r="AG2993" t="s">
        <v>63</v>
      </c>
      <c r="AH2993" s="11" t="str">
        <f t="shared" si="176"/>
        <v>mailto: soilterrain@victoria1.gov.bc.ca</v>
      </c>
    </row>
    <row r="2994" spans="1:34">
      <c r="A2994" t="s">
        <v>6387</v>
      </c>
      <c r="B2994" t="s">
        <v>56</v>
      </c>
      <c r="C2994" s="10" t="s">
        <v>5369</v>
      </c>
      <c r="D2994" t="s">
        <v>58</v>
      </c>
      <c r="E2994" t="s">
        <v>497</v>
      </c>
      <c r="F2994" t="s">
        <v>6388</v>
      </c>
      <c r="G2994">
        <v>20000</v>
      </c>
      <c r="H2994">
        <v>1972</v>
      </c>
      <c r="I2994" t="s">
        <v>58</v>
      </c>
      <c r="J2994" t="s">
        <v>58</v>
      </c>
      <c r="K2994" t="s">
        <v>58</v>
      </c>
      <c r="L2994" t="s">
        <v>58</v>
      </c>
      <c r="M2994" t="s">
        <v>58</v>
      </c>
      <c r="N2994" t="s">
        <v>61</v>
      </c>
      <c r="Q2994" t="s">
        <v>58</v>
      </c>
      <c r="R2994" s="11" t="str">
        <f>HYPERLINK("\\imagefiles.bcgov\imagery\scanned_maps\moe_terrain_maps\Scanned_T_maps_all\R19\R19-1248","\\imagefiles.bcgov\imagery\scanned_maps\moe_terrain_maps\Scanned_T_maps_all\R19\R19-1248")</f>
        <v>\\imagefiles.bcgov\imagery\scanned_maps\moe_terrain_maps\Scanned_T_maps_all\R19\R19-1248</v>
      </c>
      <c r="S2994" t="s">
        <v>62</v>
      </c>
      <c r="T2994" s="11" t="str">
        <f>HYPERLINK("http://www.env.gov.bc.ca/esd/distdata/ecosystems/TEI_Scanned_Maps/R19/R19-1248","http://www.env.gov.bc.ca/esd/distdata/ecosystems/TEI_Scanned_Maps/R19/R19-1248")</f>
        <v>http://www.env.gov.bc.ca/esd/distdata/ecosystems/TEI_Scanned_Maps/R19/R19-1248</v>
      </c>
      <c r="U2994" t="s">
        <v>3353</v>
      </c>
      <c r="V2994" s="11" t="str">
        <f t="shared" si="177"/>
        <v>http://www.env.gov.bc.ca/esd/distdata/ecosystems/Soil_Data/CAPAMP/</v>
      </c>
      <c r="W2994" t="s">
        <v>58</v>
      </c>
      <c r="X2994" t="s">
        <v>58</v>
      </c>
      <c r="Y2994" t="s">
        <v>58</v>
      </c>
      <c r="Z2994" t="s">
        <v>58</v>
      </c>
      <c r="AA2994" t="s">
        <v>58</v>
      </c>
      <c r="AC2994" t="s">
        <v>58</v>
      </c>
      <c r="AE2994" t="s">
        <v>58</v>
      </c>
      <c r="AG2994" t="s">
        <v>63</v>
      </c>
      <c r="AH2994" s="11" t="str">
        <f t="shared" si="176"/>
        <v>mailto: soilterrain@victoria1.gov.bc.ca</v>
      </c>
    </row>
    <row r="2995" spans="1:34">
      <c r="A2995" t="s">
        <v>6389</v>
      </c>
      <c r="B2995" t="s">
        <v>56</v>
      </c>
      <c r="C2995" s="10" t="s">
        <v>5372</v>
      </c>
      <c r="D2995" t="s">
        <v>58</v>
      </c>
      <c r="E2995" t="s">
        <v>497</v>
      </c>
      <c r="F2995" t="s">
        <v>6390</v>
      </c>
      <c r="G2995">
        <v>20000</v>
      </c>
      <c r="H2995">
        <v>1970</v>
      </c>
      <c r="I2995" t="s">
        <v>58</v>
      </c>
      <c r="J2995" t="s">
        <v>58</v>
      </c>
      <c r="K2995" t="s">
        <v>58</v>
      </c>
      <c r="L2995" t="s">
        <v>58</v>
      </c>
      <c r="M2995" t="s">
        <v>58</v>
      </c>
      <c r="N2995" t="s">
        <v>61</v>
      </c>
      <c r="Q2995" t="s">
        <v>58</v>
      </c>
      <c r="R2995" s="11" t="str">
        <f>HYPERLINK("\\imagefiles.bcgov\imagery\scanned_maps\moe_terrain_maps\Scanned_T_maps_all\R19\R19-1256","\\imagefiles.bcgov\imagery\scanned_maps\moe_terrain_maps\Scanned_T_maps_all\R19\R19-1256")</f>
        <v>\\imagefiles.bcgov\imagery\scanned_maps\moe_terrain_maps\Scanned_T_maps_all\R19\R19-1256</v>
      </c>
      <c r="S2995" t="s">
        <v>62</v>
      </c>
      <c r="T2995" s="11" t="str">
        <f>HYPERLINK("http://www.env.gov.bc.ca/esd/distdata/ecosystems/TEI_Scanned_Maps/R19/R19-1256","http://www.env.gov.bc.ca/esd/distdata/ecosystems/TEI_Scanned_Maps/R19/R19-1256")</f>
        <v>http://www.env.gov.bc.ca/esd/distdata/ecosystems/TEI_Scanned_Maps/R19/R19-1256</v>
      </c>
      <c r="U2995" t="s">
        <v>3353</v>
      </c>
      <c r="V2995" s="11" t="str">
        <f t="shared" si="177"/>
        <v>http://www.env.gov.bc.ca/esd/distdata/ecosystems/Soil_Data/CAPAMP/</v>
      </c>
      <c r="W2995" t="s">
        <v>58</v>
      </c>
      <c r="X2995" t="s">
        <v>58</v>
      </c>
      <c r="Y2995" t="s">
        <v>58</v>
      </c>
      <c r="Z2995" t="s">
        <v>58</v>
      </c>
      <c r="AA2995" t="s">
        <v>58</v>
      </c>
      <c r="AC2995" t="s">
        <v>58</v>
      </c>
      <c r="AE2995" t="s">
        <v>58</v>
      </c>
      <c r="AG2995" t="s">
        <v>63</v>
      </c>
      <c r="AH2995" s="11" t="str">
        <f t="shared" si="176"/>
        <v>mailto: soilterrain@victoria1.gov.bc.ca</v>
      </c>
    </row>
    <row r="2996" spans="1:34">
      <c r="A2996" t="s">
        <v>6391</v>
      </c>
      <c r="B2996" t="s">
        <v>56</v>
      </c>
      <c r="C2996" s="10" t="s">
        <v>5033</v>
      </c>
      <c r="D2996" t="s">
        <v>58</v>
      </c>
      <c r="E2996" t="s">
        <v>497</v>
      </c>
      <c r="F2996" t="s">
        <v>6390</v>
      </c>
      <c r="G2996">
        <v>20000</v>
      </c>
      <c r="H2996">
        <v>1972</v>
      </c>
      <c r="I2996" t="s">
        <v>58</v>
      </c>
      <c r="J2996" t="s">
        <v>58</v>
      </c>
      <c r="K2996" t="s">
        <v>58</v>
      </c>
      <c r="L2996" t="s">
        <v>58</v>
      </c>
      <c r="M2996" t="s">
        <v>58</v>
      </c>
      <c r="N2996" t="s">
        <v>61</v>
      </c>
      <c r="Q2996" t="s">
        <v>58</v>
      </c>
      <c r="R2996" s="11" t="str">
        <f>HYPERLINK("\\imagefiles.bcgov\imagery\scanned_maps\moe_terrain_maps\Scanned_T_maps_all\R19\R19-1264","\\imagefiles.bcgov\imagery\scanned_maps\moe_terrain_maps\Scanned_T_maps_all\R19\R19-1264")</f>
        <v>\\imagefiles.bcgov\imagery\scanned_maps\moe_terrain_maps\Scanned_T_maps_all\R19\R19-1264</v>
      </c>
      <c r="S2996" t="s">
        <v>62</v>
      </c>
      <c r="T2996" s="11" t="str">
        <f>HYPERLINK("http://www.env.gov.bc.ca/esd/distdata/ecosystems/TEI_Scanned_Maps/R19/R19-1264","http://www.env.gov.bc.ca/esd/distdata/ecosystems/TEI_Scanned_Maps/R19/R19-1264")</f>
        <v>http://www.env.gov.bc.ca/esd/distdata/ecosystems/TEI_Scanned_Maps/R19/R19-1264</v>
      </c>
      <c r="U2996" t="s">
        <v>3353</v>
      </c>
      <c r="V2996" s="11" t="str">
        <f t="shared" si="177"/>
        <v>http://www.env.gov.bc.ca/esd/distdata/ecosystems/Soil_Data/CAPAMP/</v>
      </c>
      <c r="W2996" t="s">
        <v>58</v>
      </c>
      <c r="X2996" t="s">
        <v>58</v>
      </c>
      <c r="Y2996" t="s">
        <v>58</v>
      </c>
      <c r="Z2996" t="s">
        <v>58</v>
      </c>
      <c r="AA2996" t="s">
        <v>58</v>
      </c>
      <c r="AC2996" t="s">
        <v>58</v>
      </c>
      <c r="AE2996" t="s">
        <v>58</v>
      </c>
      <c r="AG2996" t="s">
        <v>63</v>
      </c>
      <c r="AH2996" s="11" t="str">
        <f t="shared" si="176"/>
        <v>mailto: soilterrain@victoria1.gov.bc.ca</v>
      </c>
    </row>
    <row r="2997" spans="1:34">
      <c r="A2997" t="s">
        <v>6392</v>
      </c>
      <c r="B2997" t="s">
        <v>56</v>
      </c>
      <c r="C2997" s="10" t="s">
        <v>5375</v>
      </c>
      <c r="D2997" t="s">
        <v>58</v>
      </c>
      <c r="E2997" t="s">
        <v>497</v>
      </c>
      <c r="F2997" t="s">
        <v>6364</v>
      </c>
      <c r="G2997">
        <v>20000</v>
      </c>
      <c r="H2997">
        <v>1970</v>
      </c>
      <c r="I2997" t="s">
        <v>58</v>
      </c>
      <c r="J2997" t="s">
        <v>58</v>
      </c>
      <c r="K2997" t="s">
        <v>58</v>
      </c>
      <c r="L2997" t="s">
        <v>58</v>
      </c>
      <c r="M2997" t="s">
        <v>58</v>
      </c>
      <c r="N2997" t="s">
        <v>61</v>
      </c>
      <c r="Q2997" t="s">
        <v>58</v>
      </c>
      <c r="R2997" s="11" t="str">
        <f>HYPERLINK("\\imagefiles.bcgov\imagery\scanned_maps\moe_terrain_maps\Scanned_T_maps_all\R19\R19-1272","\\imagefiles.bcgov\imagery\scanned_maps\moe_terrain_maps\Scanned_T_maps_all\R19\R19-1272")</f>
        <v>\\imagefiles.bcgov\imagery\scanned_maps\moe_terrain_maps\Scanned_T_maps_all\R19\R19-1272</v>
      </c>
      <c r="S2997" t="s">
        <v>62</v>
      </c>
      <c r="T2997" s="11" t="str">
        <f>HYPERLINK("http://www.env.gov.bc.ca/esd/distdata/ecosystems/TEI_Scanned_Maps/R19/R19-1272","http://www.env.gov.bc.ca/esd/distdata/ecosystems/TEI_Scanned_Maps/R19/R19-1272")</f>
        <v>http://www.env.gov.bc.ca/esd/distdata/ecosystems/TEI_Scanned_Maps/R19/R19-1272</v>
      </c>
      <c r="U2997" t="s">
        <v>3353</v>
      </c>
      <c r="V2997" s="11" t="str">
        <f t="shared" si="177"/>
        <v>http://www.env.gov.bc.ca/esd/distdata/ecosystems/Soil_Data/CAPAMP/</v>
      </c>
      <c r="W2997" t="s">
        <v>58</v>
      </c>
      <c r="X2997" t="s">
        <v>58</v>
      </c>
      <c r="Y2997" t="s">
        <v>58</v>
      </c>
      <c r="Z2997" t="s">
        <v>58</v>
      </c>
      <c r="AA2997" t="s">
        <v>58</v>
      </c>
      <c r="AC2997" t="s">
        <v>58</v>
      </c>
      <c r="AE2997" t="s">
        <v>58</v>
      </c>
      <c r="AG2997" t="s">
        <v>63</v>
      </c>
      <c r="AH2997" s="11" t="str">
        <f t="shared" si="176"/>
        <v>mailto: soilterrain@victoria1.gov.bc.ca</v>
      </c>
    </row>
    <row r="2998" spans="1:34">
      <c r="A2998" t="s">
        <v>6393</v>
      </c>
      <c r="B2998" t="s">
        <v>56</v>
      </c>
      <c r="C2998" s="10" t="s">
        <v>5096</v>
      </c>
      <c r="D2998" t="s">
        <v>58</v>
      </c>
      <c r="E2998" t="s">
        <v>497</v>
      </c>
      <c r="F2998" t="s">
        <v>6390</v>
      </c>
      <c r="G2998">
        <v>20000</v>
      </c>
      <c r="H2998">
        <v>1972</v>
      </c>
      <c r="I2998" t="s">
        <v>58</v>
      </c>
      <c r="J2998" t="s">
        <v>58</v>
      </c>
      <c r="K2998" t="s">
        <v>58</v>
      </c>
      <c r="L2998" t="s">
        <v>58</v>
      </c>
      <c r="M2998" t="s">
        <v>58</v>
      </c>
      <c r="N2998" t="s">
        <v>61</v>
      </c>
      <c r="Q2998" t="s">
        <v>58</v>
      </c>
      <c r="R2998" s="11" t="str">
        <f>HYPERLINK("\\imagefiles.bcgov\imagery\scanned_maps\moe_terrain_maps\Scanned_T_maps_all\R19\R19-1280","\\imagefiles.bcgov\imagery\scanned_maps\moe_terrain_maps\Scanned_T_maps_all\R19\R19-1280")</f>
        <v>\\imagefiles.bcgov\imagery\scanned_maps\moe_terrain_maps\Scanned_T_maps_all\R19\R19-1280</v>
      </c>
      <c r="S2998" t="s">
        <v>62</v>
      </c>
      <c r="T2998" s="11" t="str">
        <f>HYPERLINK("http://www.env.gov.bc.ca/esd/distdata/ecosystems/TEI_Scanned_Maps/R19/R19-1280","http://www.env.gov.bc.ca/esd/distdata/ecosystems/TEI_Scanned_Maps/R19/R19-1280")</f>
        <v>http://www.env.gov.bc.ca/esd/distdata/ecosystems/TEI_Scanned_Maps/R19/R19-1280</v>
      </c>
      <c r="U2998" t="s">
        <v>3353</v>
      </c>
      <c r="V2998" s="11" t="str">
        <f t="shared" si="177"/>
        <v>http://www.env.gov.bc.ca/esd/distdata/ecosystems/Soil_Data/CAPAMP/</v>
      </c>
      <c r="W2998" t="s">
        <v>58</v>
      </c>
      <c r="X2998" t="s">
        <v>58</v>
      </c>
      <c r="Y2998" t="s">
        <v>58</v>
      </c>
      <c r="Z2998" t="s">
        <v>58</v>
      </c>
      <c r="AA2998" t="s">
        <v>58</v>
      </c>
      <c r="AC2998" t="s">
        <v>58</v>
      </c>
      <c r="AE2998" t="s">
        <v>58</v>
      </c>
      <c r="AG2998" t="s">
        <v>63</v>
      </c>
      <c r="AH2998" s="11" t="str">
        <f t="shared" si="176"/>
        <v>mailto: soilterrain@victoria1.gov.bc.ca</v>
      </c>
    </row>
    <row r="2999" spans="1:34">
      <c r="A2999" t="s">
        <v>6394</v>
      </c>
      <c r="B2999" t="s">
        <v>56</v>
      </c>
      <c r="C2999" s="10" t="s">
        <v>5378</v>
      </c>
      <c r="D2999" t="s">
        <v>58</v>
      </c>
      <c r="E2999" t="s">
        <v>497</v>
      </c>
      <c r="F2999" t="s">
        <v>6390</v>
      </c>
      <c r="G2999">
        <v>20000</v>
      </c>
      <c r="H2999">
        <v>1982</v>
      </c>
      <c r="I2999" t="s">
        <v>58</v>
      </c>
      <c r="J2999" t="s">
        <v>58</v>
      </c>
      <c r="K2999" t="s">
        <v>58</v>
      </c>
      <c r="L2999" t="s">
        <v>58</v>
      </c>
      <c r="M2999" t="s">
        <v>58</v>
      </c>
      <c r="N2999" t="s">
        <v>61</v>
      </c>
      <c r="Q2999" t="s">
        <v>58</v>
      </c>
      <c r="R2999" s="11" t="str">
        <f>HYPERLINK("\\imagefiles.bcgov\imagery\scanned_maps\moe_terrain_maps\Scanned_T_maps_all\R19\R19-1288","\\imagefiles.bcgov\imagery\scanned_maps\moe_terrain_maps\Scanned_T_maps_all\R19\R19-1288")</f>
        <v>\\imagefiles.bcgov\imagery\scanned_maps\moe_terrain_maps\Scanned_T_maps_all\R19\R19-1288</v>
      </c>
      <c r="S2999" t="s">
        <v>62</v>
      </c>
      <c r="T2999" s="11" t="str">
        <f>HYPERLINK("http://www.env.gov.bc.ca/esd/distdata/ecosystems/TEI_Scanned_Maps/R19/R19-1288","http://www.env.gov.bc.ca/esd/distdata/ecosystems/TEI_Scanned_Maps/R19/R19-1288")</f>
        <v>http://www.env.gov.bc.ca/esd/distdata/ecosystems/TEI_Scanned_Maps/R19/R19-1288</v>
      </c>
      <c r="U2999" t="s">
        <v>3353</v>
      </c>
      <c r="V2999" s="11" t="str">
        <f t="shared" si="177"/>
        <v>http://www.env.gov.bc.ca/esd/distdata/ecosystems/Soil_Data/CAPAMP/</v>
      </c>
      <c r="W2999" t="s">
        <v>58</v>
      </c>
      <c r="X2999" t="s">
        <v>58</v>
      </c>
      <c r="Y2999" t="s">
        <v>58</v>
      </c>
      <c r="Z2999" t="s">
        <v>58</v>
      </c>
      <c r="AA2999" t="s">
        <v>58</v>
      </c>
      <c r="AC2999" t="s">
        <v>58</v>
      </c>
      <c r="AE2999" t="s">
        <v>58</v>
      </c>
      <c r="AG2999" t="s">
        <v>63</v>
      </c>
      <c r="AH2999" s="11" t="str">
        <f t="shared" si="176"/>
        <v>mailto: soilterrain@victoria1.gov.bc.ca</v>
      </c>
    </row>
    <row r="3000" spans="1:34">
      <c r="A3000" t="s">
        <v>6395</v>
      </c>
      <c r="B3000" t="s">
        <v>56</v>
      </c>
      <c r="C3000" s="10" t="s">
        <v>5143</v>
      </c>
      <c r="D3000" t="s">
        <v>58</v>
      </c>
      <c r="E3000" t="s">
        <v>497</v>
      </c>
      <c r="F3000" t="s">
        <v>6364</v>
      </c>
      <c r="G3000">
        <v>20000</v>
      </c>
      <c r="H3000">
        <v>1972</v>
      </c>
      <c r="I3000" t="s">
        <v>58</v>
      </c>
      <c r="J3000" t="s">
        <v>58</v>
      </c>
      <c r="K3000" t="s">
        <v>58</v>
      </c>
      <c r="L3000" t="s">
        <v>58</v>
      </c>
      <c r="M3000" t="s">
        <v>58</v>
      </c>
      <c r="N3000" t="s">
        <v>61</v>
      </c>
      <c r="Q3000" t="s">
        <v>58</v>
      </c>
      <c r="R3000" s="11" t="str">
        <f>HYPERLINK("\\imagefiles.bcgov\imagery\scanned_maps\moe_terrain_maps\Scanned_T_maps_all\R19\R19-1296","\\imagefiles.bcgov\imagery\scanned_maps\moe_terrain_maps\Scanned_T_maps_all\R19\R19-1296")</f>
        <v>\\imagefiles.bcgov\imagery\scanned_maps\moe_terrain_maps\Scanned_T_maps_all\R19\R19-1296</v>
      </c>
      <c r="S3000" t="s">
        <v>62</v>
      </c>
      <c r="T3000" s="11" t="str">
        <f>HYPERLINK("http://www.env.gov.bc.ca/esd/distdata/ecosystems/TEI_Scanned_Maps/R19/R19-1296","http://www.env.gov.bc.ca/esd/distdata/ecosystems/TEI_Scanned_Maps/R19/R19-1296")</f>
        <v>http://www.env.gov.bc.ca/esd/distdata/ecosystems/TEI_Scanned_Maps/R19/R19-1296</v>
      </c>
      <c r="U3000" t="s">
        <v>3353</v>
      </c>
      <c r="V3000" s="11" t="str">
        <f t="shared" si="177"/>
        <v>http://www.env.gov.bc.ca/esd/distdata/ecosystems/Soil_Data/CAPAMP/</v>
      </c>
      <c r="W3000" t="s">
        <v>58</v>
      </c>
      <c r="X3000" t="s">
        <v>58</v>
      </c>
      <c r="Y3000" t="s">
        <v>58</v>
      </c>
      <c r="Z3000" t="s">
        <v>58</v>
      </c>
      <c r="AA3000" t="s">
        <v>58</v>
      </c>
      <c r="AC3000" t="s">
        <v>58</v>
      </c>
      <c r="AE3000" t="s">
        <v>58</v>
      </c>
      <c r="AG3000" t="s">
        <v>63</v>
      </c>
      <c r="AH3000" s="11" t="str">
        <f t="shared" si="176"/>
        <v>mailto: soilterrain@victoria1.gov.bc.ca</v>
      </c>
    </row>
    <row r="3001" spans="1:34">
      <c r="A3001" t="s">
        <v>6396</v>
      </c>
      <c r="B3001" t="s">
        <v>56</v>
      </c>
      <c r="C3001" s="10" t="s">
        <v>5381</v>
      </c>
      <c r="D3001" t="s">
        <v>58</v>
      </c>
      <c r="E3001" t="s">
        <v>497</v>
      </c>
      <c r="F3001" t="s">
        <v>6364</v>
      </c>
      <c r="G3001">
        <v>20000</v>
      </c>
      <c r="H3001">
        <v>1970</v>
      </c>
      <c r="I3001" t="s">
        <v>58</v>
      </c>
      <c r="J3001" t="s">
        <v>58</v>
      </c>
      <c r="K3001" t="s">
        <v>58</v>
      </c>
      <c r="L3001" t="s">
        <v>58</v>
      </c>
      <c r="M3001" t="s">
        <v>58</v>
      </c>
      <c r="N3001" t="s">
        <v>61</v>
      </c>
      <c r="Q3001" t="s">
        <v>58</v>
      </c>
      <c r="R3001" s="11" t="str">
        <f>HYPERLINK("\\imagefiles.bcgov\imagery\scanned_maps\moe_terrain_maps\Scanned_T_maps_all\R19\R19-1445","\\imagefiles.bcgov\imagery\scanned_maps\moe_terrain_maps\Scanned_T_maps_all\R19\R19-1445")</f>
        <v>\\imagefiles.bcgov\imagery\scanned_maps\moe_terrain_maps\Scanned_T_maps_all\R19\R19-1445</v>
      </c>
      <c r="S3001" t="s">
        <v>62</v>
      </c>
      <c r="T3001" s="11" t="str">
        <f>HYPERLINK("http://www.env.gov.bc.ca/esd/distdata/ecosystems/TEI_Scanned_Maps/R19/R19-1445","http://www.env.gov.bc.ca/esd/distdata/ecosystems/TEI_Scanned_Maps/R19/R19-1445")</f>
        <v>http://www.env.gov.bc.ca/esd/distdata/ecosystems/TEI_Scanned_Maps/R19/R19-1445</v>
      </c>
      <c r="U3001" t="s">
        <v>3353</v>
      </c>
      <c r="V3001" s="11" t="str">
        <f t="shared" si="177"/>
        <v>http://www.env.gov.bc.ca/esd/distdata/ecosystems/Soil_Data/CAPAMP/</v>
      </c>
      <c r="W3001" t="s">
        <v>58</v>
      </c>
      <c r="X3001" t="s">
        <v>58</v>
      </c>
      <c r="Y3001" t="s">
        <v>58</v>
      </c>
      <c r="Z3001" t="s">
        <v>58</v>
      </c>
      <c r="AA3001" t="s">
        <v>58</v>
      </c>
      <c r="AC3001" t="s">
        <v>58</v>
      </c>
      <c r="AE3001" t="s">
        <v>58</v>
      </c>
      <c r="AG3001" t="s">
        <v>63</v>
      </c>
      <c r="AH3001" s="11" t="str">
        <f t="shared" si="176"/>
        <v>mailto: soilterrain@victoria1.gov.bc.ca</v>
      </c>
    </row>
    <row r="3002" spans="1:34">
      <c r="A3002" t="s">
        <v>6397</v>
      </c>
      <c r="B3002" t="s">
        <v>56</v>
      </c>
      <c r="C3002" s="10" t="s">
        <v>5030</v>
      </c>
      <c r="D3002" t="s">
        <v>58</v>
      </c>
      <c r="E3002" t="s">
        <v>497</v>
      </c>
      <c r="F3002" t="s">
        <v>6364</v>
      </c>
      <c r="G3002">
        <v>20000</v>
      </c>
      <c r="H3002">
        <v>1972</v>
      </c>
      <c r="I3002" t="s">
        <v>58</v>
      </c>
      <c r="J3002" t="s">
        <v>58</v>
      </c>
      <c r="K3002" t="s">
        <v>58</v>
      </c>
      <c r="L3002" t="s">
        <v>58</v>
      </c>
      <c r="M3002" t="s">
        <v>58</v>
      </c>
      <c r="N3002" t="s">
        <v>61</v>
      </c>
      <c r="Q3002" t="s">
        <v>58</v>
      </c>
      <c r="R3002" s="11" t="str">
        <f>HYPERLINK("\\imagefiles.bcgov\imagery\scanned_maps\moe_terrain_maps\Scanned_T_maps_all\R19\R19-1453","\\imagefiles.bcgov\imagery\scanned_maps\moe_terrain_maps\Scanned_T_maps_all\R19\R19-1453")</f>
        <v>\\imagefiles.bcgov\imagery\scanned_maps\moe_terrain_maps\Scanned_T_maps_all\R19\R19-1453</v>
      </c>
      <c r="S3002" t="s">
        <v>62</v>
      </c>
      <c r="T3002" s="11" t="str">
        <f>HYPERLINK("http://www.env.gov.bc.ca/esd/distdata/ecosystems/TEI_Scanned_Maps/R19/R19-1453","http://www.env.gov.bc.ca/esd/distdata/ecosystems/TEI_Scanned_Maps/R19/R19-1453")</f>
        <v>http://www.env.gov.bc.ca/esd/distdata/ecosystems/TEI_Scanned_Maps/R19/R19-1453</v>
      </c>
      <c r="U3002" t="s">
        <v>58</v>
      </c>
      <c r="V3002" t="s">
        <v>58</v>
      </c>
      <c r="W3002" t="s">
        <v>58</v>
      </c>
      <c r="X3002" t="s">
        <v>58</v>
      </c>
      <c r="Y3002" t="s">
        <v>58</v>
      </c>
      <c r="Z3002" t="s">
        <v>58</v>
      </c>
      <c r="AA3002" t="s">
        <v>58</v>
      </c>
      <c r="AC3002" t="s">
        <v>58</v>
      </c>
      <c r="AE3002" t="s">
        <v>58</v>
      </c>
      <c r="AG3002" t="s">
        <v>63</v>
      </c>
      <c r="AH3002" s="11" t="str">
        <f t="shared" si="176"/>
        <v>mailto: soilterrain@victoria1.gov.bc.ca</v>
      </c>
    </row>
    <row r="3003" spans="1:34">
      <c r="A3003" t="s">
        <v>6398</v>
      </c>
      <c r="B3003" t="s">
        <v>56</v>
      </c>
      <c r="C3003" s="10" t="s">
        <v>5022</v>
      </c>
      <c r="D3003" t="s">
        <v>58</v>
      </c>
      <c r="E3003" t="s">
        <v>497</v>
      </c>
      <c r="F3003" t="s">
        <v>6364</v>
      </c>
      <c r="G3003">
        <v>20000</v>
      </c>
      <c r="H3003">
        <v>1970</v>
      </c>
      <c r="I3003" t="s">
        <v>58</v>
      </c>
      <c r="J3003" t="s">
        <v>58</v>
      </c>
      <c r="K3003" t="s">
        <v>58</v>
      </c>
      <c r="L3003" t="s">
        <v>58</v>
      </c>
      <c r="M3003" t="s">
        <v>58</v>
      </c>
      <c r="N3003" t="s">
        <v>61</v>
      </c>
      <c r="Q3003" t="s">
        <v>58</v>
      </c>
      <c r="R3003" s="11" t="str">
        <f>HYPERLINK("\\imagefiles.bcgov\imagery\scanned_maps\moe_terrain_maps\Scanned_T_maps_all\R19\R19-1461","\\imagefiles.bcgov\imagery\scanned_maps\moe_terrain_maps\Scanned_T_maps_all\R19\R19-1461")</f>
        <v>\\imagefiles.bcgov\imagery\scanned_maps\moe_terrain_maps\Scanned_T_maps_all\R19\R19-1461</v>
      </c>
      <c r="S3003" t="s">
        <v>62</v>
      </c>
      <c r="T3003" s="11" t="str">
        <f>HYPERLINK("http://www.env.gov.bc.ca/esd/distdata/ecosystems/TEI_Scanned_Maps/R19/R19-1461","http://www.env.gov.bc.ca/esd/distdata/ecosystems/TEI_Scanned_Maps/R19/R19-1461")</f>
        <v>http://www.env.gov.bc.ca/esd/distdata/ecosystems/TEI_Scanned_Maps/R19/R19-1461</v>
      </c>
      <c r="U3003" t="s">
        <v>3353</v>
      </c>
      <c r="V3003" s="11" t="str">
        <f t="shared" ref="V3003:V3034" si="178">HYPERLINK("http://www.env.gov.bc.ca/esd/distdata/ecosystems/Soil_Data/CAPAMP/","http://www.env.gov.bc.ca/esd/distdata/ecosystems/Soil_Data/CAPAMP/")</f>
        <v>http://www.env.gov.bc.ca/esd/distdata/ecosystems/Soil_Data/CAPAMP/</v>
      </c>
      <c r="W3003" t="s">
        <v>58</v>
      </c>
      <c r="X3003" t="s">
        <v>58</v>
      </c>
      <c r="Y3003" t="s">
        <v>58</v>
      </c>
      <c r="Z3003" t="s">
        <v>58</v>
      </c>
      <c r="AA3003" t="s">
        <v>58</v>
      </c>
      <c r="AC3003" t="s">
        <v>58</v>
      </c>
      <c r="AE3003" t="s">
        <v>58</v>
      </c>
      <c r="AG3003" t="s">
        <v>63</v>
      </c>
      <c r="AH3003" s="11" t="str">
        <f t="shared" si="176"/>
        <v>mailto: soilterrain@victoria1.gov.bc.ca</v>
      </c>
    </row>
    <row r="3004" spans="1:34">
      <c r="A3004" t="s">
        <v>6399</v>
      </c>
      <c r="B3004" t="s">
        <v>56</v>
      </c>
      <c r="C3004" s="10" t="s">
        <v>5233</v>
      </c>
      <c r="D3004" t="s">
        <v>58</v>
      </c>
      <c r="E3004" t="s">
        <v>497</v>
      </c>
      <c r="F3004" t="s">
        <v>6364</v>
      </c>
      <c r="G3004">
        <v>20000</v>
      </c>
      <c r="H3004">
        <v>1972</v>
      </c>
      <c r="I3004" t="s">
        <v>58</v>
      </c>
      <c r="J3004" t="s">
        <v>58</v>
      </c>
      <c r="K3004" t="s">
        <v>58</v>
      </c>
      <c r="L3004" t="s">
        <v>58</v>
      </c>
      <c r="M3004" t="s">
        <v>58</v>
      </c>
      <c r="N3004" t="s">
        <v>61</v>
      </c>
      <c r="Q3004" t="s">
        <v>58</v>
      </c>
      <c r="R3004" s="11" t="str">
        <f>HYPERLINK("\\imagefiles.bcgov\imagery\scanned_maps\moe_terrain_maps\Scanned_T_maps_all\R19\R19-1471","\\imagefiles.bcgov\imagery\scanned_maps\moe_terrain_maps\Scanned_T_maps_all\R19\R19-1471")</f>
        <v>\\imagefiles.bcgov\imagery\scanned_maps\moe_terrain_maps\Scanned_T_maps_all\R19\R19-1471</v>
      </c>
      <c r="S3004" t="s">
        <v>62</v>
      </c>
      <c r="T3004" s="11" t="str">
        <f>HYPERLINK("http://www.env.gov.bc.ca/esd/distdata/ecosystems/TEI_Scanned_Maps/R19/R19-1471","http://www.env.gov.bc.ca/esd/distdata/ecosystems/TEI_Scanned_Maps/R19/R19-1471")</f>
        <v>http://www.env.gov.bc.ca/esd/distdata/ecosystems/TEI_Scanned_Maps/R19/R19-1471</v>
      </c>
      <c r="U3004" t="s">
        <v>3353</v>
      </c>
      <c r="V3004" s="11" t="str">
        <f t="shared" si="178"/>
        <v>http://www.env.gov.bc.ca/esd/distdata/ecosystems/Soil_Data/CAPAMP/</v>
      </c>
      <c r="W3004" t="s">
        <v>58</v>
      </c>
      <c r="X3004" t="s">
        <v>58</v>
      </c>
      <c r="Y3004" t="s">
        <v>58</v>
      </c>
      <c r="Z3004" t="s">
        <v>58</v>
      </c>
      <c r="AA3004" t="s">
        <v>58</v>
      </c>
      <c r="AC3004" t="s">
        <v>58</v>
      </c>
      <c r="AE3004" t="s">
        <v>58</v>
      </c>
      <c r="AG3004" t="s">
        <v>63</v>
      </c>
      <c r="AH3004" s="11" t="str">
        <f t="shared" si="176"/>
        <v>mailto: soilterrain@victoria1.gov.bc.ca</v>
      </c>
    </row>
    <row r="3005" spans="1:34">
      <c r="A3005" t="s">
        <v>6400</v>
      </c>
      <c r="B3005" t="s">
        <v>56</v>
      </c>
      <c r="C3005" s="10" t="s">
        <v>5458</v>
      </c>
      <c r="D3005" t="s">
        <v>58</v>
      </c>
      <c r="E3005" t="s">
        <v>497</v>
      </c>
      <c r="F3005" t="s">
        <v>6364</v>
      </c>
      <c r="G3005">
        <v>20000</v>
      </c>
      <c r="H3005">
        <v>1982</v>
      </c>
      <c r="I3005" t="s">
        <v>58</v>
      </c>
      <c r="J3005" t="s">
        <v>58</v>
      </c>
      <c r="K3005" t="s">
        <v>58</v>
      </c>
      <c r="L3005" t="s">
        <v>58</v>
      </c>
      <c r="M3005" t="s">
        <v>58</v>
      </c>
      <c r="N3005" t="s">
        <v>61</v>
      </c>
      <c r="Q3005" t="s">
        <v>58</v>
      </c>
      <c r="R3005" s="11" t="str">
        <f>HYPERLINK("\\imagefiles.bcgov\imagery\scanned_maps\moe_terrain_maps\Scanned_T_maps_all\R19\R19-945","\\imagefiles.bcgov\imagery\scanned_maps\moe_terrain_maps\Scanned_T_maps_all\R19\R19-945")</f>
        <v>\\imagefiles.bcgov\imagery\scanned_maps\moe_terrain_maps\Scanned_T_maps_all\R19\R19-945</v>
      </c>
      <c r="S3005" t="s">
        <v>62</v>
      </c>
      <c r="T3005" s="11" t="str">
        <f>HYPERLINK("http://www.env.gov.bc.ca/esd/distdata/ecosystems/TEI_Scanned_Maps/R19/R19-945","http://www.env.gov.bc.ca/esd/distdata/ecosystems/TEI_Scanned_Maps/R19/R19-945")</f>
        <v>http://www.env.gov.bc.ca/esd/distdata/ecosystems/TEI_Scanned_Maps/R19/R19-945</v>
      </c>
      <c r="U3005" t="s">
        <v>3353</v>
      </c>
      <c r="V3005" s="11" t="str">
        <f t="shared" si="178"/>
        <v>http://www.env.gov.bc.ca/esd/distdata/ecosystems/Soil_Data/CAPAMP/</v>
      </c>
      <c r="W3005" t="s">
        <v>58</v>
      </c>
      <c r="X3005" t="s">
        <v>58</v>
      </c>
      <c r="Y3005" t="s">
        <v>58</v>
      </c>
      <c r="Z3005" t="s">
        <v>58</v>
      </c>
      <c r="AA3005" t="s">
        <v>58</v>
      </c>
      <c r="AC3005" t="s">
        <v>58</v>
      </c>
      <c r="AE3005" t="s">
        <v>58</v>
      </c>
      <c r="AG3005" t="s">
        <v>63</v>
      </c>
      <c r="AH3005" s="11" t="str">
        <f t="shared" si="176"/>
        <v>mailto: soilterrain@victoria1.gov.bc.ca</v>
      </c>
    </row>
    <row r="3006" spans="1:34">
      <c r="A3006" t="s">
        <v>6401</v>
      </c>
      <c r="B3006" t="s">
        <v>56</v>
      </c>
      <c r="C3006" s="10" t="s">
        <v>5460</v>
      </c>
      <c r="D3006" t="s">
        <v>58</v>
      </c>
      <c r="E3006" t="s">
        <v>497</v>
      </c>
      <c r="F3006" t="s">
        <v>6364</v>
      </c>
      <c r="G3006">
        <v>20000</v>
      </c>
      <c r="H3006">
        <v>1972</v>
      </c>
      <c r="I3006" t="s">
        <v>58</v>
      </c>
      <c r="J3006" t="s">
        <v>58</v>
      </c>
      <c r="K3006" t="s">
        <v>58</v>
      </c>
      <c r="L3006" t="s">
        <v>58</v>
      </c>
      <c r="M3006" t="s">
        <v>58</v>
      </c>
      <c r="N3006" t="s">
        <v>61</v>
      </c>
      <c r="Q3006" t="s">
        <v>58</v>
      </c>
      <c r="R3006" s="11" t="str">
        <f>HYPERLINK("\\imagefiles.bcgov\imagery\scanned_maps\moe_terrain_maps\Scanned_T_maps_all\R19\R19-954","\\imagefiles.bcgov\imagery\scanned_maps\moe_terrain_maps\Scanned_T_maps_all\R19\R19-954")</f>
        <v>\\imagefiles.bcgov\imagery\scanned_maps\moe_terrain_maps\Scanned_T_maps_all\R19\R19-954</v>
      </c>
      <c r="S3006" t="s">
        <v>62</v>
      </c>
      <c r="T3006" s="11" t="str">
        <f>HYPERLINK("http://www.env.gov.bc.ca/esd/distdata/ecosystems/TEI_Scanned_Maps/R19/R19-954","http://www.env.gov.bc.ca/esd/distdata/ecosystems/TEI_Scanned_Maps/R19/R19-954")</f>
        <v>http://www.env.gov.bc.ca/esd/distdata/ecosystems/TEI_Scanned_Maps/R19/R19-954</v>
      </c>
      <c r="U3006" t="s">
        <v>3353</v>
      </c>
      <c r="V3006" s="11" t="str">
        <f t="shared" si="178"/>
        <v>http://www.env.gov.bc.ca/esd/distdata/ecosystems/Soil_Data/CAPAMP/</v>
      </c>
      <c r="W3006" t="s">
        <v>58</v>
      </c>
      <c r="X3006" t="s">
        <v>58</v>
      </c>
      <c r="Y3006" t="s">
        <v>58</v>
      </c>
      <c r="Z3006" t="s">
        <v>58</v>
      </c>
      <c r="AA3006" t="s">
        <v>58</v>
      </c>
      <c r="AC3006" t="s">
        <v>58</v>
      </c>
      <c r="AE3006" t="s">
        <v>58</v>
      </c>
      <c r="AG3006" t="s">
        <v>63</v>
      </c>
      <c r="AH3006" s="11" t="str">
        <f t="shared" si="176"/>
        <v>mailto: soilterrain@victoria1.gov.bc.ca</v>
      </c>
    </row>
    <row r="3007" spans="1:34">
      <c r="A3007" t="s">
        <v>6402</v>
      </c>
      <c r="B3007" t="s">
        <v>56</v>
      </c>
      <c r="C3007" s="10" t="s">
        <v>5462</v>
      </c>
      <c r="D3007" t="s">
        <v>58</v>
      </c>
      <c r="E3007" t="s">
        <v>497</v>
      </c>
      <c r="F3007" t="s">
        <v>6364</v>
      </c>
      <c r="G3007">
        <v>20000</v>
      </c>
      <c r="H3007">
        <v>1970</v>
      </c>
      <c r="I3007" t="s">
        <v>58</v>
      </c>
      <c r="J3007" t="s">
        <v>58</v>
      </c>
      <c r="K3007" t="s">
        <v>58</v>
      </c>
      <c r="L3007" t="s">
        <v>58</v>
      </c>
      <c r="M3007" t="s">
        <v>58</v>
      </c>
      <c r="N3007" t="s">
        <v>61</v>
      </c>
      <c r="Q3007" t="s">
        <v>58</v>
      </c>
      <c r="R3007" s="11" t="str">
        <f>HYPERLINK("\\imagefiles.bcgov\imagery\scanned_maps\moe_terrain_maps\Scanned_T_maps_all\R19\R19-962","\\imagefiles.bcgov\imagery\scanned_maps\moe_terrain_maps\Scanned_T_maps_all\R19\R19-962")</f>
        <v>\\imagefiles.bcgov\imagery\scanned_maps\moe_terrain_maps\Scanned_T_maps_all\R19\R19-962</v>
      </c>
      <c r="S3007" t="s">
        <v>62</v>
      </c>
      <c r="T3007" s="11" t="str">
        <f>HYPERLINK("http://www.env.gov.bc.ca/esd/distdata/ecosystems/TEI_Scanned_Maps/R19/R19-962","http://www.env.gov.bc.ca/esd/distdata/ecosystems/TEI_Scanned_Maps/R19/R19-962")</f>
        <v>http://www.env.gov.bc.ca/esd/distdata/ecosystems/TEI_Scanned_Maps/R19/R19-962</v>
      </c>
      <c r="U3007" t="s">
        <v>3353</v>
      </c>
      <c r="V3007" s="11" t="str">
        <f t="shared" si="178"/>
        <v>http://www.env.gov.bc.ca/esd/distdata/ecosystems/Soil_Data/CAPAMP/</v>
      </c>
      <c r="W3007" t="s">
        <v>58</v>
      </c>
      <c r="X3007" t="s">
        <v>58</v>
      </c>
      <c r="Y3007" t="s">
        <v>58</v>
      </c>
      <c r="Z3007" t="s">
        <v>58</v>
      </c>
      <c r="AA3007" t="s">
        <v>58</v>
      </c>
      <c r="AC3007" t="s">
        <v>58</v>
      </c>
      <c r="AE3007" t="s">
        <v>58</v>
      </c>
      <c r="AG3007" t="s">
        <v>63</v>
      </c>
      <c r="AH3007" s="11" t="str">
        <f t="shared" si="176"/>
        <v>mailto: soilterrain@victoria1.gov.bc.ca</v>
      </c>
    </row>
    <row r="3008" spans="1:34">
      <c r="A3008" t="s">
        <v>6403</v>
      </c>
      <c r="B3008" t="s">
        <v>56</v>
      </c>
      <c r="C3008" s="10" t="s">
        <v>5464</v>
      </c>
      <c r="D3008" t="s">
        <v>58</v>
      </c>
      <c r="E3008" t="s">
        <v>497</v>
      </c>
      <c r="F3008" t="s">
        <v>6364</v>
      </c>
      <c r="G3008">
        <v>20000</v>
      </c>
      <c r="H3008">
        <v>1972</v>
      </c>
      <c r="I3008" t="s">
        <v>58</v>
      </c>
      <c r="J3008" t="s">
        <v>58</v>
      </c>
      <c r="K3008" t="s">
        <v>58</v>
      </c>
      <c r="L3008" t="s">
        <v>58</v>
      </c>
      <c r="M3008" t="s">
        <v>58</v>
      </c>
      <c r="N3008" t="s">
        <v>61</v>
      </c>
      <c r="Q3008" t="s">
        <v>58</v>
      </c>
      <c r="R3008" s="11" t="str">
        <f>HYPERLINK("\\imagefiles.bcgov\imagery\scanned_maps\moe_terrain_maps\Scanned_T_maps_all\R19\R19-971","\\imagefiles.bcgov\imagery\scanned_maps\moe_terrain_maps\Scanned_T_maps_all\R19\R19-971")</f>
        <v>\\imagefiles.bcgov\imagery\scanned_maps\moe_terrain_maps\Scanned_T_maps_all\R19\R19-971</v>
      </c>
      <c r="S3008" t="s">
        <v>62</v>
      </c>
      <c r="T3008" s="11" t="str">
        <f>HYPERLINK("http://www.env.gov.bc.ca/esd/distdata/ecosystems/TEI_Scanned_Maps/R19/R19-971","http://www.env.gov.bc.ca/esd/distdata/ecosystems/TEI_Scanned_Maps/R19/R19-971")</f>
        <v>http://www.env.gov.bc.ca/esd/distdata/ecosystems/TEI_Scanned_Maps/R19/R19-971</v>
      </c>
      <c r="U3008" t="s">
        <v>3353</v>
      </c>
      <c r="V3008" s="11" t="str">
        <f t="shared" si="178"/>
        <v>http://www.env.gov.bc.ca/esd/distdata/ecosystems/Soil_Data/CAPAMP/</v>
      </c>
      <c r="W3008" t="s">
        <v>58</v>
      </c>
      <c r="X3008" t="s">
        <v>58</v>
      </c>
      <c r="Y3008" t="s">
        <v>58</v>
      </c>
      <c r="Z3008" t="s">
        <v>58</v>
      </c>
      <c r="AA3008" t="s">
        <v>58</v>
      </c>
      <c r="AC3008" t="s">
        <v>58</v>
      </c>
      <c r="AE3008" t="s">
        <v>58</v>
      </c>
      <c r="AG3008" t="s">
        <v>63</v>
      </c>
      <c r="AH3008" s="11" t="str">
        <f t="shared" si="176"/>
        <v>mailto: soilterrain@victoria1.gov.bc.ca</v>
      </c>
    </row>
    <row r="3009" spans="1:34">
      <c r="A3009" t="s">
        <v>6404</v>
      </c>
      <c r="B3009" t="s">
        <v>56</v>
      </c>
      <c r="C3009" s="10" t="s">
        <v>5466</v>
      </c>
      <c r="D3009" t="s">
        <v>58</v>
      </c>
      <c r="E3009" t="s">
        <v>497</v>
      </c>
      <c r="F3009" t="s">
        <v>6364</v>
      </c>
      <c r="G3009">
        <v>20000</v>
      </c>
      <c r="H3009">
        <v>1970</v>
      </c>
      <c r="I3009" t="s">
        <v>58</v>
      </c>
      <c r="J3009" t="s">
        <v>58</v>
      </c>
      <c r="K3009" t="s">
        <v>58</v>
      </c>
      <c r="L3009" t="s">
        <v>58</v>
      </c>
      <c r="M3009" t="s">
        <v>58</v>
      </c>
      <c r="N3009" t="s">
        <v>61</v>
      </c>
      <c r="Q3009" t="s">
        <v>58</v>
      </c>
      <c r="R3009" s="11" t="str">
        <f>HYPERLINK("\\imagefiles.bcgov\imagery\scanned_maps\moe_terrain_maps\Scanned_T_maps_all\R19\R19-980","\\imagefiles.bcgov\imagery\scanned_maps\moe_terrain_maps\Scanned_T_maps_all\R19\R19-980")</f>
        <v>\\imagefiles.bcgov\imagery\scanned_maps\moe_terrain_maps\Scanned_T_maps_all\R19\R19-980</v>
      </c>
      <c r="S3009" t="s">
        <v>62</v>
      </c>
      <c r="T3009" s="11" t="str">
        <f>HYPERLINK("http://www.env.gov.bc.ca/esd/distdata/ecosystems/TEI_Scanned_Maps/R19/R19-980","http://www.env.gov.bc.ca/esd/distdata/ecosystems/TEI_Scanned_Maps/R19/R19-980")</f>
        <v>http://www.env.gov.bc.ca/esd/distdata/ecosystems/TEI_Scanned_Maps/R19/R19-980</v>
      </c>
      <c r="U3009" t="s">
        <v>3353</v>
      </c>
      <c r="V3009" s="11" t="str">
        <f t="shared" si="178"/>
        <v>http://www.env.gov.bc.ca/esd/distdata/ecosystems/Soil_Data/CAPAMP/</v>
      </c>
      <c r="W3009" t="s">
        <v>58</v>
      </c>
      <c r="X3009" t="s">
        <v>58</v>
      </c>
      <c r="Y3009" t="s">
        <v>58</v>
      </c>
      <c r="Z3009" t="s">
        <v>58</v>
      </c>
      <c r="AA3009" t="s">
        <v>58</v>
      </c>
      <c r="AC3009" t="s">
        <v>58</v>
      </c>
      <c r="AE3009" t="s">
        <v>58</v>
      </c>
      <c r="AG3009" t="s">
        <v>63</v>
      </c>
      <c r="AH3009" s="11" t="str">
        <f t="shared" si="176"/>
        <v>mailto: soilterrain@victoria1.gov.bc.ca</v>
      </c>
    </row>
    <row r="3010" spans="1:34">
      <c r="A3010" t="s">
        <v>6405</v>
      </c>
      <c r="B3010" t="s">
        <v>56</v>
      </c>
      <c r="C3010" s="10" t="s">
        <v>5469</v>
      </c>
      <c r="D3010" t="s">
        <v>58</v>
      </c>
      <c r="E3010" t="s">
        <v>497</v>
      </c>
      <c r="F3010" t="s">
        <v>6364</v>
      </c>
      <c r="G3010">
        <v>20000</v>
      </c>
      <c r="H3010">
        <v>1972</v>
      </c>
      <c r="I3010" t="s">
        <v>58</v>
      </c>
      <c r="J3010" t="s">
        <v>58</v>
      </c>
      <c r="K3010" t="s">
        <v>58</v>
      </c>
      <c r="L3010" t="s">
        <v>58</v>
      </c>
      <c r="M3010" t="s">
        <v>58</v>
      </c>
      <c r="N3010" t="s">
        <v>61</v>
      </c>
      <c r="Q3010" t="s">
        <v>58</v>
      </c>
      <c r="R3010" s="11" t="str">
        <f>HYPERLINK("\\imagefiles.bcgov\imagery\scanned_maps\moe_terrain_maps\Scanned_T_maps_all\R19\R19-989","\\imagefiles.bcgov\imagery\scanned_maps\moe_terrain_maps\Scanned_T_maps_all\R19\R19-989")</f>
        <v>\\imagefiles.bcgov\imagery\scanned_maps\moe_terrain_maps\Scanned_T_maps_all\R19\R19-989</v>
      </c>
      <c r="S3010" t="s">
        <v>62</v>
      </c>
      <c r="T3010" s="11" t="str">
        <f>HYPERLINK("http://www.env.gov.bc.ca/esd/distdata/ecosystems/TEI_Scanned_Maps/R19/R19-989","http://www.env.gov.bc.ca/esd/distdata/ecosystems/TEI_Scanned_Maps/R19/R19-989")</f>
        <v>http://www.env.gov.bc.ca/esd/distdata/ecosystems/TEI_Scanned_Maps/R19/R19-989</v>
      </c>
      <c r="U3010" t="s">
        <v>3353</v>
      </c>
      <c r="V3010" s="11" t="str">
        <f t="shared" si="178"/>
        <v>http://www.env.gov.bc.ca/esd/distdata/ecosystems/Soil_Data/CAPAMP/</v>
      </c>
      <c r="W3010" t="s">
        <v>58</v>
      </c>
      <c r="X3010" t="s">
        <v>58</v>
      </c>
      <c r="Y3010" t="s">
        <v>58</v>
      </c>
      <c r="Z3010" t="s">
        <v>58</v>
      </c>
      <c r="AA3010" t="s">
        <v>58</v>
      </c>
      <c r="AC3010" t="s">
        <v>58</v>
      </c>
      <c r="AE3010" t="s">
        <v>58</v>
      </c>
      <c r="AG3010" t="s">
        <v>63</v>
      </c>
      <c r="AH3010" s="11" t="str">
        <f t="shared" ref="AH3010:AH3073" si="179">HYPERLINK("mailto: soilterrain@victoria1.gov.bc.ca","mailto: soilterrain@victoria1.gov.bc.ca")</f>
        <v>mailto: soilterrain@victoria1.gov.bc.ca</v>
      </c>
    </row>
    <row r="3011" spans="1:34">
      <c r="A3011" t="s">
        <v>6406</v>
      </c>
      <c r="B3011" t="s">
        <v>56</v>
      </c>
      <c r="C3011" s="10" t="s">
        <v>5471</v>
      </c>
      <c r="D3011" t="s">
        <v>58</v>
      </c>
      <c r="E3011" t="s">
        <v>497</v>
      </c>
      <c r="F3011" t="s">
        <v>6364</v>
      </c>
      <c r="G3011">
        <v>20000</v>
      </c>
      <c r="H3011">
        <v>1972</v>
      </c>
      <c r="I3011" t="s">
        <v>58</v>
      </c>
      <c r="J3011" t="s">
        <v>58</v>
      </c>
      <c r="K3011" t="s">
        <v>58</v>
      </c>
      <c r="L3011" t="s">
        <v>58</v>
      </c>
      <c r="M3011" t="s">
        <v>58</v>
      </c>
      <c r="N3011" t="s">
        <v>61</v>
      </c>
      <c r="Q3011" t="s">
        <v>58</v>
      </c>
      <c r="R3011" s="11" t="str">
        <f>HYPERLINK("\\imagefiles.bcgov\imagery\scanned_maps\moe_terrain_maps\Scanned_T_maps_all\R19\R19-998","\\imagefiles.bcgov\imagery\scanned_maps\moe_terrain_maps\Scanned_T_maps_all\R19\R19-998")</f>
        <v>\\imagefiles.bcgov\imagery\scanned_maps\moe_terrain_maps\Scanned_T_maps_all\R19\R19-998</v>
      </c>
      <c r="S3011" t="s">
        <v>62</v>
      </c>
      <c r="T3011" s="11" t="str">
        <f>HYPERLINK("http://www.env.gov.bc.ca/esd/distdata/ecosystems/TEI_Scanned_Maps/R19/R19-998","http://www.env.gov.bc.ca/esd/distdata/ecosystems/TEI_Scanned_Maps/R19/R19-998")</f>
        <v>http://www.env.gov.bc.ca/esd/distdata/ecosystems/TEI_Scanned_Maps/R19/R19-998</v>
      </c>
      <c r="U3011" t="s">
        <v>3353</v>
      </c>
      <c r="V3011" s="11" t="str">
        <f t="shared" si="178"/>
        <v>http://www.env.gov.bc.ca/esd/distdata/ecosystems/Soil_Data/CAPAMP/</v>
      </c>
      <c r="W3011" t="s">
        <v>58</v>
      </c>
      <c r="X3011" t="s">
        <v>58</v>
      </c>
      <c r="Y3011" t="s">
        <v>58</v>
      </c>
      <c r="Z3011" t="s">
        <v>58</v>
      </c>
      <c r="AA3011" t="s">
        <v>58</v>
      </c>
      <c r="AC3011" t="s">
        <v>58</v>
      </c>
      <c r="AE3011" t="s">
        <v>58</v>
      </c>
      <c r="AG3011" t="s">
        <v>63</v>
      </c>
      <c r="AH3011" s="11" t="str">
        <f t="shared" si="179"/>
        <v>mailto: soilterrain@victoria1.gov.bc.ca</v>
      </c>
    </row>
    <row r="3012" spans="1:34">
      <c r="A3012" t="s">
        <v>6407</v>
      </c>
      <c r="B3012" t="s">
        <v>56</v>
      </c>
      <c r="C3012" s="10" t="s">
        <v>5386</v>
      </c>
      <c r="D3012" t="s">
        <v>58</v>
      </c>
      <c r="E3012" t="s">
        <v>497</v>
      </c>
      <c r="F3012" t="s">
        <v>6364</v>
      </c>
      <c r="G3012">
        <v>20000</v>
      </c>
      <c r="H3012" t="s">
        <v>187</v>
      </c>
      <c r="I3012" t="s">
        <v>58</v>
      </c>
      <c r="J3012" t="s">
        <v>58</v>
      </c>
      <c r="K3012" t="s">
        <v>58</v>
      </c>
      <c r="L3012" t="s">
        <v>58</v>
      </c>
      <c r="M3012" t="s">
        <v>58</v>
      </c>
      <c r="N3012" t="s">
        <v>61</v>
      </c>
      <c r="Q3012" t="s">
        <v>58</v>
      </c>
      <c r="R3012" s="11" t="str">
        <f>HYPERLINK("\\imagefiles.bcgov\imagery\scanned_maps\moe_terrain_maps\Scanned_T_maps_all\R20\R20-152","\\imagefiles.bcgov\imagery\scanned_maps\moe_terrain_maps\Scanned_T_maps_all\R20\R20-152")</f>
        <v>\\imagefiles.bcgov\imagery\scanned_maps\moe_terrain_maps\Scanned_T_maps_all\R20\R20-152</v>
      </c>
      <c r="S3012" t="s">
        <v>62</v>
      </c>
      <c r="T3012" s="11" t="str">
        <f>HYPERLINK("http://www.env.gov.bc.ca/esd/distdata/ecosystems/TEI_Scanned_Maps/R20/R20-152","http://www.env.gov.bc.ca/esd/distdata/ecosystems/TEI_Scanned_Maps/R20/R20-152")</f>
        <v>http://www.env.gov.bc.ca/esd/distdata/ecosystems/TEI_Scanned_Maps/R20/R20-152</v>
      </c>
      <c r="U3012" t="s">
        <v>3353</v>
      </c>
      <c r="V3012" s="11" t="str">
        <f t="shared" si="178"/>
        <v>http://www.env.gov.bc.ca/esd/distdata/ecosystems/Soil_Data/CAPAMP/</v>
      </c>
      <c r="W3012" t="s">
        <v>58</v>
      </c>
      <c r="X3012" t="s">
        <v>58</v>
      </c>
      <c r="Y3012" t="s">
        <v>58</v>
      </c>
      <c r="Z3012" t="s">
        <v>58</v>
      </c>
      <c r="AA3012" t="s">
        <v>58</v>
      </c>
      <c r="AC3012" t="s">
        <v>58</v>
      </c>
      <c r="AE3012" t="s">
        <v>58</v>
      </c>
      <c r="AG3012" t="s">
        <v>63</v>
      </c>
      <c r="AH3012" s="11" t="str">
        <f t="shared" si="179"/>
        <v>mailto: soilterrain@victoria1.gov.bc.ca</v>
      </c>
    </row>
    <row r="3013" spans="1:34">
      <c r="A3013" t="s">
        <v>6408</v>
      </c>
      <c r="B3013" t="s">
        <v>56</v>
      </c>
      <c r="C3013" s="10" t="s">
        <v>5388</v>
      </c>
      <c r="D3013" t="s">
        <v>58</v>
      </c>
      <c r="E3013" t="s">
        <v>497</v>
      </c>
      <c r="F3013" t="s">
        <v>6364</v>
      </c>
      <c r="G3013">
        <v>20000</v>
      </c>
      <c r="H3013">
        <v>1983</v>
      </c>
      <c r="I3013" t="s">
        <v>58</v>
      </c>
      <c r="J3013" t="s">
        <v>58</v>
      </c>
      <c r="K3013" t="s">
        <v>58</v>
      </c>
      <c r="L3013" t="s">
        <v>58</v>
      </c>
      <c r="M3013" t="s">
        <v>58</v>
      </c>
      <c r="N3013" t="s">
        <v>61</v>
      </c>
      <c r="Q3013" t="s">
        <v>58</v>
      </c>
      <c r="R3013" s="11" t="str">
        <f>HYPERLINK("\\imagefiles.bcgov\imagery\scanned_maps\moe_terrain_maps\Scanned_T_maps_all\R20\R20-158","\\imagefiles.bcgov\imagery\scanned_maps\moe_terrain_maps\Scanned_T_maps_all\R20\R20-158")</f>
        <v>\\imagefiles.bcgov\imagery\scanned_maps\moe_terrain_maps\Scanned_T_maps_all\R20\R20-158</v>
      </c>
      <c r="S3013" t="s">
        <v>62</v>
      </c>
      <c r="T3013" s="11" t="str">
        <f>HYPERLINK("http://www.env.gov.bc.ca/esd/distdata/ecosystems/TEI_Scanned_Maps/R20/R20-158","http://www.env.gov.bc.ca/esd/distdata/ecosystems/TEI_Scanned_Maps/R20/R20-158")</f>
        <v>http://www.env.gov.bc.ca/esd/distdata/ecosystems/TEI_Scanned_Maps/R20/R20-158</v>
      </c>
      <c r="U3013" t="s">
        <v>3353</v>
      </c>
      <c r="V3013" s="11" t="str">
        <f t="shared" si="178"/>
        <v>http://www.env.gov.bc.ca/esd/distdata/ecosystems/Soil_Data/CAPAMP/</v>
      </c>
      <c r="W3013" t="s">
        <v>58</v>
      </c>
      <c r="X3013" t="s">
        <v>58</v>
      </c>
      <c r="Y3013" t="s">
        <v>58</v>
      </c>
      <c r="Z3013" t="s">
        <v>58</v>
      </c>
      <c r="AA3013" t="s">
        <v>58</v>
      </c>
      <c r="AC3013" t="s">
        <v>58</v>
      </c>
      <c r="AE3013" t="s">
        <v>58</v>
      </c>
      <c r="AG3013" t="s">
        <v>63</v>
      </c>
      <c r="AH3013" s="11" t="str">
        <f t="shared" si="179"/>
        <v>mailto: soilterrain@victoria1.gov.bc.ca</v>
      </c>
    </row>
    <row r="3014" spans="1:34">
      <c r="A3014" t="s">
        <v>6409</v>
      </c>
      <c r="B3014" t="s">
        <v>56</v>
      </c>
      <c r="C3014" s="10" t="s">
        <v>5390</v>
      </c>
      <c r="D3014" t="s">
        <v>58</v>
      </c>
      <c r="E3014" t="s">
        <v>497</v>
      </c>
      <c r="F3014" t="s">
        <v>6364</v>
      </c>
      <c r="G3014">
        <v>20000</v>
      </c>
      <c r="H3014">
        <v>1975</v>
      </c>
      <c r="I3014" t="s">
        <v>58</v>
      </c>
      <c r="J3014" t="s">
        <v>58</v>
      </c>
      <c r="K3014" t="s">
        <v>58</v>
      </c>
      <c r="L3014" t="s">
        <v>58</v>
      </c>
      <c r="M3014" t="s">
        <v>58</v>
      </c>
      <c r="N3014" t="s">
        <v>61</v>
      </c>
      <c r="Q3014" t="s">
        <v>58</v>
      </c>
      <c r="R3014" s="11" t="str">
        <f>HYPERLINK("\\imagefiles.bcgov\imagery\scanned_maps\moe_terrain_maps\Scanned_T_maps_all\R20\R20-165","\\imagefiles.bcgov\imagery\scanned_maps\moe_terrain_maps\Scanned_T_maps_all\R20\R20-165")</f>
        <v>\\imagefiles.bcgov\imagery\scanned_maps\moe_terrain_maps\Scanned_T_maps_all\R20\R20-165</v>
      </c>
      <c r="S3014" t="s">
        <v>62</v>
      </c>
      <c r="T3014" s="11" t="str">
        <f>HYPERLINK("http://www.env.gov.bc.ca/esd/distdata/ecosystems/TEI_Scanned_Maps/R20/R20-165","http://www.env.gov.bc.ca/esd/distdata/ecosystems/TEI_Scanned_Maps/R20/R20-165")</f>
        <v>http://www.env.gov.bc.ca/esd/distdata/ecosystems/TEI_Scanned_Maps/R20/R20-165</v>
      </c>
      <c r="U3014" t="s">
        <v>3353</v>
      </c>
      <c r="V3014" s="11" t="str">
        <f t="shared" si="178"/>
        <v>http://www.env.gov.bc.ca/esd/distdata/ecosystems/Soil_Data/CAPAMP/</v>
      </c>
      <c r="W3014" t="s">
        <v>58</v>
      </c>
      <c r="X3014" t="s">
        <v>58</v>
      </c>
      <c r="Y3014" t="s">
        <v>58</v>
      </c>
      <c r="Z3014" t="s">
        <v>58</v>
      </c>
      <c r="AA3014" t="s">
        <v>58</v>
      </c>
      <c r="AC3014" t="s">
        <v>58</v>
      </c>
      <c r="AE3014" t="s">
        <v>58</v>
      </c>
      <c r="AG3014" t="s">
        <v>63</v>
      </c>
      <c r="AH3014" s="11" t="str">
        <f t="shared" si="179"/>
        <v>mailto: soilterrain@victoria1.gov.bc.ca</v>
      </c>
    </row>
    <row r="3015" spans="1:34">
      <c r="A3015" t="s">
        <v>6410</v>
      </c>
      <c r="B3015" t="s">
        <v>56</v>
      </c>
      <c r="C3015" s="10" t="s">
        <v>5392</v>
      </c>
      <c r="D3015" t="s">
        <v>58</v>
      </c>
      <c r="E3015" t="s">
        <v>497</v>
      </c>
      <c r="F3015" t="s">
        <v>6364</v>
      </c>
      <c r="G3015">
        <v>20000</v>
      </c>
      <c r="H3015">
        <v>1975</v>
      </c>
      <c r="I3015" t="s">
        <v>58</v>
      </c>
      <c r="J3015" t="s">
        <v>58</v>
      </c>
      <c r="K3015" t="s">
        <v>58</v>
      </c>
      <c r="L3015" t="s">
        <v>58</v>
      </c>
      <c r="M3015" t="s">
        <v>58</v>
      </c>
      <c r="N3015" t="s">
        <v>61</v>
      </c>
      <c r="Q3015" t="s">
        <v>58</v>
      </c>
      <c r="R3015" s="11" t="str">
        <f>HYPERLINK("\\imagefiles.bcgov\imagery\scanned_maps\moe_terrain_maps\Scanned_T_maps_all\R20\R20-171","\\imagefiles.bcgov\imagery\scanned_maps\moe_terrain_maps\Scanned_T_maps_all\R20\R20-171")</f>
        <v>\\imagefiles.bcgov\imagery\scanned_maps\moe_terrain_maps\Scanned_T_maps_all\R20\R20-171</v>
      </c>
      <c r="S3015" t="s">
        <v>62</v>
      </c>
      <c r="T3015" s="11" t="str">
        <f>HYPERLINK("http://www.env.gov.bc.ca/esd/distdata/ecosystems/TEI_Scanned_Maps/R20/R20-171","http://www.env.gov.bc.ca/esd/distdata/ecosystems/TEI_Scanned_Maps/R20/R20-171")</f>
        <v>http://www.env.gov.bc.ca/esd/distdata/ecosystems/TEI_Scanned_Maps/R20/R20-171</v>
      </c>
      <c r="U3015" t="s">
        <v>3353</v>
      </c>
      <c r="V3015" s="11" t="str">
        <f t="shared" si="178"/>
        <v>http://www.env.gov.bc.ca/esd/distdata/ecosystems/Soil_Data/CAPAMP/</v>
      </c>
      <c r="W3015" t="s">
        <v>58</v>
      </c>
      <c r="X3015" t="s">
        <v>58</v>
      </c>
      <c r="Y3015" t="s">
        <v>58</v>
      </c>
      <c r="Z3015" t="s">
        <v>58</v>
      </c>
      <c r="AA3015" t="s">
        <v>58</v>
      </c>
      <c r="AC3015" t="s">
        <v>58</v>
      </c>
      <c r="AE3015" t="s">
        <v>58</v>
      </c>
      <c r="AG3015" t="s">
        <v>63</v>
      </c>
      <c r="AH3015" s="11" t="str">
        <f t="shared" si="179"/>
        <v>mailto: soilterrain@victoria1.gov.bc.ca</v>
      </c>
    </row>
    <row r="3016" spans="1:34">
      <c r="A3016" t="s">
        <v>6411</v>
      </c>
      <c r="B3016" t="s">
        <v>56</v>
      </c>
      <c r="C3016" s="10" t="s">
        <v>4682</v>
      </c>
      <c r="D3016" t="s">
        <v>58</v>
      </c>
      <c r="E3016" t="s">
        <v>497</v>
      </c>
      <c r="F3016" t="s">
        <v>6364</v>
      </c>
      <c r="G3016">
        <v>20000</v>
      </c>
      <c r="H3016">
        <v>1975</v>
      </c>
      <c r="I3016" t="s">
        <v>58</v>
      </c>
      <c r="J3016" t="s">
        <v>58</v>
      </c>
      <c r="K3016" t="s">
        <v>58</v>
      </c>
      <c r="L3016" t="s">
        <v>58</v>
      </c>
      <c r="M3016" t="s">
        <v>58</v>
      </c>
      <c r="N3016" t="s">
        <v>61</v>
      </c>
      <c r="Q3016" t="s">
        <v>58</v>
      </c>
      <c r="R3016" s="11" t="str">
        <f>HYPERLINK("\\imagefiles.bcgov\imagery\scanned_maps\moe_terrain_maps\Scanned_T_maps_all\R20\R20-177","\\imagefiles.bcgov\imagery\scanned_maps\moe_terrain_maps\Scanned_T_maps_all\R20\R20-177")</f>
        <v>\\imagefiles.bcgov\imagery\scanned_maps\moe_terrain_maps\Scanned_T_maps_all\R20\R20-177</v>
      </c>
      <c r="S3016" t="s">
        <v>62</v>
      </c>
      <c r="T3016" s="11" t="str">
        <f>HYPERLINK("http://www.env.gov.bc.ca/esd/distdata/ecosystems/TEI_Scanned_Maps/R20/R20-177","http://www.env.gov.bc.ca/esd/distdata/ecosystems/TEI_Scanned_Maps/R20/R20-177")</f>
        <v>http://www.env.gov.bc.ca/esd/distdata/ecosystems/TEI_Scanned_Maps/R20/R20-177</v>
      </c>
      <c r="U3016" t="s">
        <v>3353</v>
      </c>
      <c r="V3016" s="11" t="str">
        <f t="shared" si="178"/>
        <v>http://www.env.gov.bc.ca/esd/distdata/ecosystems/Soil_Data/CAPAMP/</v>
      </c>
      <c r="W3016" t="s">
        <v>58</v>
      </c>
      <c r="X3016" t="s">
        <v>58</v>
      </c>
      <c r="Y3016" t="s">
        <v>58</v>
      </c>
      <c r="Z3016" t="s">
        <v>58</v>
      </c>
      <c r="AA3016" t="s">
        <v>58</v>
      </c>
      <c r="AC3016" t="s">
        <v>58</v>
      </c>
      <c r="AE3016" t="s">
        <v>58</v>
      </c>
      <c r="AG3016" t="s">
        <v>63</v>
      </c>
      <c r="AH3016" s="11" t="str">
        <f t="shared" si="179"/>
        <v>mailto: soilterrain@victoria1.gov.bc.ca</v>
      </c>
    </row>
    <row r="3017" spans="1:34">
      <c r="A3017" t="s">
        <v>6412</v>
      </c>
      <c r="B3017" t="s">
        <v>56</v>
      </c>
      <c r="C3017" s="10" t="s">
        <v>5395</v>
      </c>
      <c r="D3017" t="s">
        <v>58</v>
      </c>
      <c r="E3017" t="s">
        <v>497</v>
      </c>
      <c r="F3017" t="s">
        <v>6364</v>
      </c>
      <c r="G3017">
        <v>20000</v>
      </c>
      <c r="H3017">
        <v>1975</v>
      </c>
      <c r="I3017" t="s">
        <v>58</v>
      </c>
      <c r="J3017" t="s">
        <v>58</v>
      </c>
      <c r="K3017" t="s">
        <v>58</v>
      </c>
      <c r="L3017" t="s">
        <v>58</v>
      </c>
      <c r="M3017" t="s">
        <v>58</v>
      </c>
      <c r="N3017" t="s">
        <v>61</v>
      </c>
      <c r="Q3017" t="s">
        <v>58</v>
      </c>
      <c r="R3017" s="11" t="str">
        <f>HYPERLINK("\\imagefiles.bcgov\imagery\scanned_maps\moe_terrain_maps\Scanned_T_maps_all\R20\R20-184","\\imagefiles.bcgov\imagery\scanned_maps\moe_terrain_maps\Scanned_T_maps_all\R20\R20-184")</f>
        <v>\\imagefiles.bcgov\imagery\scanned_maps\moe_terrain_maps\Scanned_T_maps_all\R20\R20-184</v>
      </c>
      <c r="S3017" t="s">
        <v>62</v>
      </c>
      <c r="T3017" s="11" t="str">
        <f>HYPERLINK("http://www.env.gov.bc.ca/esd/distdata/ecosystems/TEI_Scanned_Maps/R20/R20-184","http://www.env.gov.bc.ca/esd/distdata/ecosystems/TEI_Scanned_Maps/R20/R20-184")</f>
        <v>http://www.env.gov.bc.ca/esd/distdata/ecosystems/TEI_Scanned_Maps/R20/R20-184</v>
      </c>
      <c r="U3017" t="s">
        <v>3353</v>
      </c>
      <c r="V3017" s="11" t="str">
        <f t="shared" si="178"/>
        <v>http://www.env.gov.bc.ca/esd/distdata/ecosystems/Soil_Data/CAPAMP/</v>
      </c>
      <c r="W3017" t="s">
        <v>58</v>
      </c>
      <c r="X3017" t="s">
        <v>58</v>
      </c>
      <c r="Y3017" t="s">
        <v>58</v>
      </c>
      <c r="Z3017" t="s">
        <v>58</v>
      </c>
      <c r="AA3017" t="s">
        <v>58</v>
      </c>
      <c r="AC3017" t="s">
        <v>58</v>
      </c>
      <c r="AE3017" t="s">
        <v>58</v>
      </c>
      <c r="AG3017" t="s">
        <v>63</v>
      </c>
      <c r="AH3017" s="11" t="str">
        <f t="shared" si="179"/>
        <v>mailto: soilterrain@victoria1.gov.bc.ca</v>
      </c>
    </row>
    <row r="3018" spans="1:34">
      <c r="A3018" t="s">
        <v>6413</v>
      </c>
      <c r="B3018" t="s">
        <v>56</v>
      </c>
      <c r="C3018" s="10" t="s">
        <v>5397</v>
      </c>
      <c r="D3018" t="s">
        <v>58</v>
      </c>
      <c r="E3018" t="s">
        <v>497</v>
      </c>
      <c r="F3018" t="s">
        <v>6364</v>
      </c>
      <c r="G3018">
        <v>20000</v>
      </c>
      <c r="H3018">
        <v>1975</v>
      </c>
      <c r="I3018" t="s">
        <v>58</v>
      </c>
      <c r="J3018" t="s">
        <v>58</v>
      </c>
      <c r="K3018" t="s">
        <v>58</v>
      </c>
      <c r="L3018" t="s">
        <v>58</v>
      </c>
      <c r="M3018" t="s">
        <v>58</v>
      </c>
      <c r="N3018" t="s">
        <v>61</v>
      </c>
      <c r="Q3018" t="s">
        <v>58</v>
      </c>
      <c r="R3018" s="11" t="str">
        <f>HYPERLINK("\\imagefiles.bcgov\imagery\scanned_maps\moe_terrain_maps\Scanned_T_maps_all\R20\R20-190","\\imagefiles.bcgov\imagery\scanned_maps\moe_terrain_maps\Scanned_T_maps_all\R20\R20-190")</f>
        <v>\\imagefiles.bcgov\imagery\scanned_maps\moe_terrain_maps\Scanned_T_maps_all\R20\R20-190</v>
      </c>
      <c r="S3018" t="s">
        <v>62</v>
      </c>
      <c r="T3018" s="11" t="str">
        <f>HYPERLINK("http://www.env.gov.bc.ca/esd/distdata/ecosystems/TEI_Scanned_Maps/R20/R20-190","http://www.env.gov.bc.ca/esd/distdata/ecosystems/TEI_Scanned_Maps/R20/R20-190")</f>
        <v>http://www.env.gov.bc.ca/esd/distdata/ecosystems/TEI_Scanned_Maps/R20/R20-190</v>
      </c>
      <c r="U3018" t="s">
        <v>3353</v>
      </c>
      <c r="V3018" s="11" t="str">
        <f t="shared" si="178"/>
        <v>http://www.env.gov.bc.ca/esd/distdata/ecosystems/Soil_Data/CAPAMP/</v>
      </c>
      <c r="W3018" t="s">
        <v>58</v>
      </c>
      <c r="X3018" t="s">
        <v>58</v>
      </c>
      <c r="Y3018" t="s">
        <v>58</v>
      </c>
      <c r="Z3018" t="s">
        <v>58</v>
      </c>
      <c r="AA3018" t="s">
        <v>58</v>
      </c>
      <c r="AC3018" t="s">
        <v>58</v>
      </c>
      <c r="AE3018" t="s">
        <v>58</v>
      </c>
      <c r="AG3018" t="s">
        <v>63</v>
      </c>
      <c r="AH3018" s="11" t="str">
        <f t="shared" si="179"/>
        <v>mailto: soilterrain@victoria1.gov.bc.ca</v>
      </c>
    </row>
    <row r="3019" spans="1:34">
      <c r="A3019" t="s">
        <v>6414</v>
      </c>
      <c r="B3019" t="s">
        <v>56</v>
      </c>
      <c r="C3019" s="10" t="s">
        <v>5399</v>
      </c>
      <c r="D3019" t="s">
        <v>58</v>
      </c>
      <c r="E3019" t="s">
        <v>497</v>
      </c>
      <c r="F3019" t="s">
        <v>6364</v>
      </c>
      <c r="G3019">
        <v>20000</v>
      </c>
      <c r="H3019">
        <v>1975</v>
      </c>
      <c r="I3019" t="s">
        <v>58</v>
      </c>
      <c r="J3019" t="s">
        <v>58</v>
      </c>
      <c r="K3019" t="s">
        <v>58</v>
      </c>
      <c r="L3019" t="s">
        <v>58</v>
      </c>
      <c r="M3019" t="s">
        <v>58</v>
      </c>
      <c r="N3019" t="s">
        <v>61</v>
      </c>
      <c r="Q3019" t="s">
        <v>58</v>
      </c>
      <c r="R3019" s="11" t="str">
        <f>HYPERLINK("\\imagefiles.bcgov\imagery\scanned_maps\moe_terrain_maps\Scanned_T_maps_all\R20\R20-196","\\imagefiles.bcgov\imagery\scanned_maps\moe_terrain_maps\Scanned_T_maps_all\R20\R20-196")</f>
        <v>\\imagefiles.bcgov\imagery\scanned_maps\moe_terrain_maps\Scanned_T_maps_all\R20\R20-196</v>
      </c>
      <c r="S3019" t="s">
        <v>62</v>
      </c>
      <c r="T3019" s="11" t="str">
        <f>HYPERLINK("http://www.env.gov.bc.ca/esd/distdata/ecosystems/TEI_Scanned_Maps/R20/R20-196","http://www.env.gov.bc.ca/esd/distdata/ecosystems/TEI_Scanned_Maps/R20/R20-196")</f>
        <v>http://www.env.gov.bc.ca/esd/distdata/ecosystems/TEI_Scanned_Maps/R20/R20-196</v>
      </c>
      <c r="U3019" t="s">
        <v>3353</v>
      </c>
      <c r="V3019" s="11" t="str">
        <f t="shared" si="178"/>
        <v>http://www.env.gov.bc.ca/esd/distdata/ecosystems/Soil_Data/CAPAMP/</v>
      </c>
      <c r="W3019" t="s">
        <v>58</v>
      </c>
      <c r="X3019" t="s">
        <v>58</v>
      </c>
      <c r="Y3019" t="s">
        <v>58</v>
      </c>
      <c r="Z3019" t="s">
        <v>58</v>
      </c>
      <c r="AA3019" t="s">
        <v>58</v>
      </c>
      <c r="AC3019" t="s">
        <v>58</v>
      </c>
      <c r="AE3019" t="s">
        <v>58</v>
      </c>
      <c r="AG3019" t="s">
        <v>63</v>
      </c>
      <c r="AH3019" s="11" t="str">
        <f t="shared" si="179"/>
        <v>mailto: soilterrain@victoria1.gov.bc.ca</v>
      </c>
    </row>
    <row r="3020" spans="1:34">
      <c r="A3020" t="s">
        <v>6415</v>
      </c>
      <c r="B3020" t="s">
        <v>56</v>
      </c>
      <c r="C3020" s="10" t="s">
        <v>5401</v>
      </c>
      <c r="D3020" t="s">
        <v>58</v>
      </c>
      <c r="E3020" t="s">
        <v>497</v>
      </c>
      <c r="F3020" t="s">
        <v>6364</v>
      </c>
      <c r="G3020">
        <v>20000</v>
      </c>
      <c r="H3020">
        <v>1972</v>
      </c>
      <c r="I3020" t="s">
        <v>58</v>
      </c>
      <c r="J3020" t="s">
        <v>58</v>
      </c>
      <c r="K3020" t="s">
        <v>58</v>
      </c>
      <c r="L3020" t="s">
        <v>58</v>
      </c>
      <c r="M3020" t="s">
        <v>58</v>
      </c>
      <c r="N3020" t="s">
        <v>61</v>
      </c>
      <c r="Q3020" t="s">
        <v>58</v>
      </c>
      <c r="R3020" s="11" t="str">
        <f>HYPERLINK("\\imagefiles.bcgov\imagery\scanned_maps\moe_terrain_maps\Scanned_T_maps_all\R20\R20-203","\\imagefiles.bcgov\imagery\scanned_maps\moe_terrain_maps\Scanned_T_maps_all\R20\R20-203")</f>
        <v>\\imagefiles.bcgov\imagery\scanned_maps\moe_terrain_maps\Scanned_T_maps_all\R20\R20-203</v>
      </c>
      <c r="S3020" t="s">
        <v>62</v>
      </c>
      <c r="T3020" s="11" t="str">
        <f>HYPERLINK("http://www.env.gov.bc.ca/esd/distdata/ecosystems/TEI_Scanned_Maps/R20/R20-203","http://www.env.gov.bc.ca/esd/distdata/ecosystems/TEI_Scanned_Maps/R20/R20-203")</f>
        <v>http://www.env.gov.bc.ca/esd/distdata/ecosystems/TEI_Scanned_Maps/R20/R20-203</v>
      </c>
      <c r="U3020" t="s">
        <v>3353</v>
      </c>
      <c r="V3020" s="11" t="str">
        <f t="shared" si="178"/>
        <v>http://www.env.gov.bc.ca/esd/distdata/ecosystems/Soil_Data/CAPAMP/</v>
      </c>
      <c r="W3020" t="s">
        <v>58</v>
      </c>
      <c r="X3020" t="s">
        <v>58</v>
      </c>
      <c r="Y3020" t="s">
        <v>58</v>
      </c>
      <c r="Z3020" t="s">
        <v>58</v>
      </c>
      <c r="AA3020" t="s">
        <v>58</v>
      </c>
      <c r="AC3020" t="s">
        <v>58</v>
      </c>
      <c r="AE3020" t="s">
        <v>58</v>
      </c>
      <c r="AG3020" t="s">
        <v>63</v>
      </c>
      <c r="AH3020" s="11" t="str">
        <f t="shared" si="179"/>
        <v>mailto: soilterrain@victoria1.gov.bc.ca</v>
      </c>
    </row>
    <row r="3021" spans="1:34">
      <c r="A3021" t="s">
        <v>6416</v>
      </c>
      <c r="B3021" t="s">
        <v>56</v>
      </c>
      <c r="C3021" s="10" t="s">
        <v>5403</v>
      </c>
      <c r="D3021" t="s">
        <v>58</v>
      </c>
      <c r="E3021" t="s">
        <v>497</v>
      </c>
      <c r="F3021" t="s">
        <v>6364</v>
      </c>
      <c r="G3021">
        <v>20000</v>
      </c>
      <c r="H3021">
        <v>1972</v>
      </c>
      <c r="I3021" t="s">
        <v>58</v>
      </c>
      <c r="J3021" t="s">
        <v>58</v>
      </c>
      <c r="K3021" t="s">
        <v>58</v>
      </c>
      <c r="L3021" t="s">
        <v>58</v>
      </c>
      <c r="M3021" t="s">
        <v>58</v>
      </c>
      <c r="N3021" t="s">
        <v>61</v>
      </c>
      <c r="Q3021" t="s">
        <v>58</v>
      </c>
      <c r="R3021" s="11" t="str">
        <f>HYPERLINK("\\imagefiles.bcgov\imagery\scanned_maps\moe_terrain_maps\Scanned_T_maps_all\R20\R20-209","\\imagefiles.bcgov\imagery\scanned_maps\moe_terrain_maps\Scanned_T_maps_all\R20\R20-209")</f>
        <v>\\imagefiles.bcgov\imagery\scanned_maps\moe_terrain_maps\Scanned_T_maps_all\R20\R20-209</v>
      </c>
      <c r="S3021" t="s">
        <v>62</v>
      </c>
      <c r="T3021" s="11" t="str">
        <f>HYPERLINK("http://www.env.gov.bc.ca/esd/distdata/ecosystems/TEI_Scanned_Maps/R20/R20-209","http://www.env.gov.bc.ca/esd/distdata/ecosystems/TEI_Scanned_Maps/R20/R20-209")</f>
        <v>http://www.env.gov.bc.ca/esd/distdata/ecosystems/TEI_Scanned_Maps/R20/R20-209</v>
      </c>
      <c r="U3021" t="s">
        <v>3353</v>
      </c>
      <c r="V3021" s="11" t="str">
        <f t="shared" si="178"/>
        <v>http://www.env.gov.bc.ca/esd/distdata/ecosystems/Soil_Data/CAPAMP/</v>
      </c>
      <c r="W3021" t="s">
        <v>58</v>
      </c>
      <c r="X3021" t="s">
        <v>58</v>
      </c>
      <c r="Y3021" t="s">
        <v>58</v>
      </c>
      <c r="Z3021" t="s">
        <v>58</v>
      </c>
      <c r="AA3021" t="s">
        <v>58</v>
      </c>
      <c r="AC3021" t="s">
        <v>58</v>
      </c>
      <c r="AE3021" t="s">
        <v>58</v>
      </c>
      <c r="AG3021" t="s">
        <v>63</v>
      </c>
      <c r="AH3021" s="11" t="str">
        <f t="shared" si="179"/>
        <v>mailto: soilterrain@victoria1.gov.bc.ca</v>
      </c>
    </row>
    <row r="3022" spans="1:34">
      <c r="A3022" t="s">
        <v>6417</v>
      </c>
      <c r="B3022" t="s">
        <v>56</v>
      </c>
      <c r="C3022" s="10" t="s">
        <v>5405</v>
      </c>
      <c r="D3022" t="s">
        <v>58</v>
      </c>
      <c r="E3022" t="s">
        <v>497</v>
      </c>
      <c r="F3022" t="s">
        <v>6364</v>
      </c>
      <c r="G3022">
        <v>20000</v>
      </c>
      <c r="H3022" t="s">
        <v>187</v>
      </c>
      <c r="I3022" t="s">
        <v>58</v>
      </c>
      <c r="J3022" t="s">
        <v>58</v>
      </c>
      <c r="K3022" t="s">
        <v>58</v>
      </c>
      <c r="L3022" t="s">
        <v>58</v>
      </c>
      <c r="M3022" t="s">
        <v>58</v>
      </c>
      <c r="N3022" t="s">
        <v>61</v>
      </c>
      <c r="Q3022" t="s">
        <v>58</v>
      </c>
      <c r="R3022" s="11" t="str">
        <f>HYPERLINK("\\imagefiles.bcgov\imagery\scanned_maps\moe_terrain_maps\Scanned_T_maps_all\R20\R20-216","\\imagefiles.bcgov\imagery\scanned_maps\moe_terrain_maps\Scanned_T_maps_all\R20\R20-216")</f>
        <v>\\imagefiles.bcgov\imagery\scanned_maps\moe_terrain_maps\Scanned_T_maps_all\R20\R20-216</v>
      </c>
      <c r="S3022" t="s">
        <v>62</v>
      </c>
      <c r="T3022" s="11" t="str">
        <f>HYPERLINK("http://www.env.gov.bc.ca/esd/distdata/ecosystems/TEI_Scanned_Maps/R20/R20-216","http://www.env.gov.bc.ca/esd/distdata/ecosystems/TEI_Scanned_Maps/R20/R20-216")</f>
        <v>http://www.env.gov.bc.ca/esd/distdata/ecosystems/TEI_Scanned_Maps/R20/R20-216</v>
      </c>
      <c r="U3022" t="s">
        <v>3353</v>
      </c>
      <c r="V3022" s="11" t="str">
        <f t="shared" si="178"/>
        <v>http://www.env.gov.bc.ca/esd/distdata/ecosystems/Soil_Data/CAPAMP/</v>
      </c>
      <c r="W3022" t="s">
        <v>58</v>
      </c>
      <c r="X3022" t="s">
        <v>58</v>
      </c>
      <c r="Y3022" t="s">
        <v>58</v>
      </c>
      <c r="Z3022" t="s">
        <v>58</v>
      </c>
      <c r="AA3022" t="s">
        <v>58</v>
      </c>
      <c r="AC3022" t="s">
        <v>58</v>
      </c>
      <c r="AE3022" t="s">
        <v>58</v>
      </c>
      <c r="AG3022" t="s">
        <v>63</v>
      </c>
      <c r="AH3022" s="11" t="str">
        <f t="shared" si="179"/>
        <v>mailto: soilterrain@victoria1.gov.bc.ca</v>
      </c>
    </row>
    <row r="3023" spans="1:34">
      <c r="A3023" t="s">
        <v>6418</v>
      </c>
      <c r="B3023" t="s">
        <v>56</v>
      </c>
      <c r="C3023" s="10" t="s">
        <v>5407</v>
      </c>
      <c r="D3023" t="s">
        <v>58</v>
      </c>
      <c r="E3023" t="s">
        <v>497</v>
      </c>
      <c r="F3023" t="s">
        <v>6364</v>
      </c>
      <c r="G3023">
        <v>20000</v>
      </c>
      <c r="H3023">
        <v>1983</v>
      </c>
      <c r="I3023" t="s">
        <v>58</v>
      </c>
      <c r="J3023" t="s">
        <v>58</v>
      </c>
      <c r="K3023" t="s">
        <v>58</v>
      </c>
      <c r="L3023" t="s">
        <v>58</v>
      </c>
      <c r="M3023" t="s">
        <v>58</v>
      </c>
      <c r="N3023" t="s">
        <v>61</v>
      </c>
      <c r="Q3023" t="s">
        <v>58</v>
      </c>
      <c r="R3023" s="11" t="str">
        <f>HYPERLINK("\\imagefiles.bcgov\imagery\scanned_maps\moe_terrain_maps\Scanned_T_maps_all\R20\R20-223","\\imagefiles.bcgov\imagery\scanned_maps\moe_terrain_maps\Scanned_T_maps_all\R20\R20-223")</f>
        <v>\\imagefiles.bcgov\imagery\scanned_maps\moe_terrain_maps\Scanned_T_maps_all\R20\R20-223</v>
      </c>
      <c r="S3023" t="s">
        <v>62</v>
      </c>
      <c r="T3023" s="11" t="str">
        <f>HYPERLINK("http://www.env.gov.bc.ca/esd/distdata/ecosystems/TEI_Scanned_Maps/R20/R20-223","http://www.env.gov.bc.ca/esd/distdata/ecosystems/TEI_Scanned_Maps/R20/R20-223")</f>
        <v>http://www.env.gov.bc.ca/esd/distdata/ecosystems/TEI_Scanned_Maps/R20/R20-223</v>
      </c>
      <c r="U3023" t="s">
        <v>3353</v>
      </c>
      <c r="V3023" s="11" t="str">
        <f t="shared" si="178"/>
        <v>http://www.env.gov.bc.ca/esd/distdata/ecosystems/Soil_Data/CAPAMP/</v>
      </c>
      <c r="W3023" t="s">
        <v>58</v>
      </c>
      <c r="X3023" t="s">
        <v>58</v>
      </c>
      <c r="Y3023" t="s">
        <v>58</v>
      </c>
      <c r="Z3023" t="s">
        <v>58</v>
      </c>
      <c r="AA3023" t="s">
        <v>58</v>
      </c>
      <c r="AC3023" t="s">
        <v>58</v>
      </c>
      <c r="AE3023" t="s">
        <v>58</v>
      </c>
      <c r="AG3023" t="s">
        <v>63</v>
      </c>
      <c r="AH3023" s="11" t="str">
        <f t="shared" si="179"/>
        <v>mailto: soilterrain@victoria1.gov.bc.ca</v>
      </c>
    </row>
    <row r="3024" spans="1:34">
      <c r="A3024" t="s">
        <v>6419</v>
      </c>
      <c r="B3024" t="s">
        <v>56</v>
      </c>
      <c r="C3024" s="10" t="s">
        <v>5409</v>
      </c>
      <c r="D3024" t="s">
        <v>58</v>
      </c>
      <c r="E3024" t="s">
        <v>497</v>
      </c>
      <c r="F3024" t="s">
        <v>6364</v>
      </c>
      <c r="G3024">
        <v>20000</v>
      </c>
      <c r="H3024">
        <v>1975</v>
      </c>
      <c r="I3024" t="s">
        <v>58</v>
      </c>
      <c r="J3024" t="s">
        <v>58</v>
      </c>
      <c r="K3024" t="s">
        <v>58</v>
      </c>
      <c r="L3024" t="s">
        <v>58</v>
      </c>
      <c r="M3024" t="s">
        <v>58</v>
      </c>
      <c r="N3024" t="s">
        <v>61</v>
      </c>
      <c r="Q3024" t="s">
        <v>58</v>
      </c>
      <c r="R3024" s="11" t="str">
        <f>HYPERLINK("\\imagefiles.bcgov\imagery\scanned_maps\moe_terrain_maps\Scanned_T_maps_all\R20\R20-230","\\imagefiles.bcgov\imagery\scanned_maps\moe_terrain_maps\Scanned_T_maps_all\R20\R20-230")</f>
        <v>\\imagefiles.bcgov\imagery\scanned_maps\moe_terrain_maps\Scanned_T_maps_all\R20\R20-230</v>
      </c>
      <c r="S3024" t="s">
        <v>62</v>
      </c>
      <c r="T3024" s="11" t="str">
        <f>HYPERLINK("http://www.env.gov.bc.ca/esd/distdata/ecosystems/TEI_Scanned_Maps/R20/R20-230","http://www.env.gov.bc.ca/esd/distdata/ecosystems/TEI_Scanned_Maps/R20/R20-230")</f>
        <v>http://www.env.gov.bc.ca/esd/distdata/ecosystems/TEI_Scanned_Maps/R20/R20-230</v>
      </c>
      <c r="U3024" t="s">
        <v>3353</v>
      </c>
      <c r="V3024" s="11" t="str">
        <f t="shared" si="178"/>
        <v>http://www.env.gov.bc.ca/esd/distdata/ecosystems/Soil_Data/CAPAMP/</v>
      </c>
      <c r="W3024" t="s">
        <v>58</v>
      </c>
      <c r="X3024" t="s">
        <v>58</v>
      </c>
      <c r="Y3024" t="s">
        <v>58</v>
      </c>
      <c r="Z3024" t="s">
        <v>58</v>
      </c>
      <c r="AA3024" t="s">
        <v>58</v>
      </c>
      <c r="AC3024" t="s">
        <v>58</v>
      </c>
      <c r="AE3024" t="s">
        <v>58</v>
      </c>
      <c r="AG3024" t="s">
        <v>63</v>
      </c>
      <c r="AH3024" s="11" t="str">
        <f t="shared" si="179"/>
        <v>mailto: soilterrain@victoria1.gov.bc.ca</v>
      </c>
    </row>
    <row r="3025" spans="1:34">
      <c r="A3025" t="s">
        <v>6420</v>
      </c>
      <c r="B3025" t="s">
        <v>56</v>
      </c>
      <c r="C3025" s="10" t="s">
        <v>5411</v>
      </c>
      <c r="D3025" t="s">
        <v>58</v>
      </c>
      <c r="E3025" t="s">
        <v>497</v>
      </c>
      <c r="F3025" t="s">
        <v>6364</v>
      </c>
      <c r="G3025">
        <v>20000</v>
      </c>
      <c r="H3025">
        <v>1975</v>
      </c>
      <c r="I3025" t="s">
        <v>58</v>
      </c>
      <c r="J3025" t="s">
        <v>58</v>
      </c>
      <c r="K3025" t="s">
        <v>58</v>
      </c>
      <c r="L3025" t="s">
        <v>58</v>
      </c>
      <c r="M3025" t="s">
        <v>58</v>
      </c>
      <c r="N3025" t="s">
        <v>61</v>
      </c>
      <c r="Q3025" t="s">
        <v>58</v>
      </c>
      <c r="R3025" s="11" t="str">
        <f>HYPERLINK("\\imagefiles.bcgov\imagery\scanned_maps\moe_terrain_maps\Scanned_T_maps_all\R20\R20-237","\\imagefiles.bcgov\imagery\scanned_maps\moe_terrain_maps\Scanned_T_maps_all\R20\R20-237")</f>
        <v>\\imagefiles.bcgov\imagery\scanned_maps\moe_terrain_maps\Scanned_T_maps_all\R20\R20-237</v>
      </c>
      <c r="S3025" t="s">
        <v>62</v>
      </c>
      <c r="T3025" s="11" t="str">
        <f>HYPERLINK("http://www.env.gov.bc.ca/esd/distdata/ecosystems/TEI_Scanned_Maps/R20/R20-237","http://www.env.gov.bc.ca/esd/distdata/ecosystems/TEI_Scanned_Maps/R20/R20-237")</f>
        <v>http://www.env.gov.bc.ca/esd/distdata/ecosystems/TEI_Scanned_Maps/R20/R20-237</v>
      </c>
      <c r="U3025" t="s">
        <v>3353</v>
      </c>
      <c r="V3025" s="11" t="str">
        <f t="shared" si="178"/>
        <v>http://www.env.gov.bc.ca/esd/distdata/ecosystems/Soil_Data/CAPAMP/</v>
      </c>
      <c r="W3025" t="s">
        <v>58</v>
      </c>
      <c r="X3025" t="s">
        <v>58</v>
      </c>
      <c r="Y3025" t="s">
        <v>58</v>
      </c>
      <c r="Z3025" t="s">
        <v>58</v>
      </c>
      <c r="AA3025" t="s">
        <v>58</v>
      </c>
      <c r="AC3025" t="s">
        <v>58</v>
      </c>
      <c r="AE3025" t="s">
        <v>58</v>
      </c>
      <c r="AG3025" t="s">
        <v>63</v>
      </c>
      <c r="AH3025" s="11" t="str">
        <f t="shared" si="179"/>
        <v>mailto: soilterrain@victoria1.gov.bc.ca</v>
      </c>
    </row>
    <row r="3026" spans="1:34">
      <c r="A3026" t="s">
        <v>6421</v>
      </c>
      <c r="B3026" t="s">
        <v>56</v>
      </c>
      <c r="C3026" s="10" t="s">
        <v>5413</v>
      </c>
      <c r="D3026" t="s">
        <v>58</v>
      </c>
      <c r="E3026" t="s">
        <v>497</v>
      </c>
      <c r="F3026" t="s">
        <v>6364</v>
      </c>
      <c r="G3026">
        <v>20000</v>
      </c>
      <c r="H3026">
        <v>1975</v>
      </c>
      <c r="I3026" t="s">
        <v>58</v>
      </c>
      <c r="J3026" t="s">
        <v>58</v>
      </c>
      <c r="K3026" t="s">
        <v>58</v>
      </c>
      <c r="L3026" t="s">
        <v>58</v>
      </c>
      <c r="M3026" t="s">
        <v>58</v>
      </c>
      <c r="N3026" t="s">
        <v>61</v>
      </c>
      <c r="Q3026" t="s">
        <v>58</v>
      </c>
      <c r="R3026" s="11" t="str">
        <f>HYPERLINK("\\imagefiles.bcgov\imagery\scanned_maps\moe_terrain_maps\Scanned_T_maps_all\R20\R20-244","\\imagefiles.bcgov\imagery\scanned_maps\moe_terrain_maps\Scanned_T_maps_all\R20\R20-244")</f>
        <v>\\imagefiles.bcgov\imagery\scanned_maps\moe_terrain_maps\Scanned_T_maps_all\R20\R20-244</v>
      </c>
      <c r="S3026" t="s">
        <v>62</v>
      </c>
      <c r="T3026" s="11" t="str">
        <f>HYPERLINK("http://www.env.gov.bc.ca/esd/distdata/ecosystems/TEI_Scanned_Maps/R20/R20-244","http://www.env.gov.bc.ca/esd/distdata/ecosystems/TEI_Scanned_Maps/R20/R20-244")</f>
        <v>http://www.env.gov.bc.ca/esd/distdata/ecosystems/TEI_Scanned_Maps/R20/R20-244</v>
      </c>
      <c r="U3026" t="s">
        <v>3353</v>
      </c>
      <c r="V3026" s="11" t="str">
        <f t="shared" si="178"/>
        <v>http://www.env.gov.bc.ca/esd/distdata/ecosystems/Soil_Data/CAPAMP/</v>
      </c>
      <c r="W3026" t="s">
        <v>58</v>
      </c>
      <c r="X3026" t="s">
        <v>58</v>
      </c>
      <c r="Y3026" t="s">
        <v>58</v>
      </c>
      <c r="Z3026" t="s">
        <v>58</v>
      </c>
      <c r="AA3026" t="s">
        <v>58</v>
      </c>
      <c r="AC3026" t="s">
        <v>58</v>
      </c>
      <c r="AE3026" t="s">
        <v>58</v>
      </c>
      <c r="AG3026" t="s">
        <v>63</v>
      </c>
      <c r="AH3026" s="11" t="str">
        <f t="shared" si="179"/>
        <v>mailto: soilterrain@victoria1.gov.bc.ca</v>
      </c>
    </row>
    <row r="3027" spans="1:34">
      <c r="A3027" t="s">
        <v>6422</v>
      </c>
      <c r="B3027" t="s">
        <v>56</v>
      </c>
      <c r="C3027" s="10" t="s">
        <v>5415</v>
      </c>
      <c r="D3027" t="s">
        <v>58</v>
      </c>
      <c r="E3027" t="s">
        <v>497</v>
      </c>
      <c r="F3027" t="s">
        <v>6364</v>
      </c>
      <c r="G3027">
        <v>20000</v>
      </c>
      <c r="H3027">
        <v>1975</v>
      </c>
      <c r="I3027" t="s">
        <v>58</v>
      </c>
      <c r="J3027" t="s">
        <v>58</v>
      </c>
      <c r="K3027" t="s">
        <v>58</v>
      </c>
      <c r="L3027" t="s">
        <v>58</v>
      </c>
      <c r="M3027" t="s">
        <v>58</v>
      </c>
      <c r="N3027" t="s">
        <v>61</v>
      </c>
      <c r="Q3027" t="s">
        <v>58</v>
      </c>
      <c r="R3027" s="11" t="str">
        <f>HYPERLINK("\\imagefiles.bcgov\imagery\scanned_maps\moe_terrain_maps\Scanned_T_maps_all\R20\R20-251","\\imagefiles.bcgov\imagery\scanned_maps\moe_terrain_maps\Scanned_T_maps_all\R20\R20-251")</f>
        <v>\\imagefiles.bcgov\imagery\scanned_maps\moe_terrain_maps\Scanned_T_maps_all\R20\R20-251</v>
      </c>
      <c r="S3027" t="s">
        <v>62</v>
      </c>
      <c r="T3027" s="11" t="str">
        <f>HYPERLINK("http://www.env.gov.bc.ca/esd/distdata/ecosystems/TEI_Scanned_Maps/R20/R20-251","http://www.env.gov.bc.ca/esd/distdata/ecosystems/TEI_Scanned_Maps/R20/R20-251")</f>
        <v>http://www.env.gov.bc.ca/esd/distdata/ecosystems/TEI_Scanned_Maps/R20/R20-251</v>
      </c>
      <c r="U3027" t="s">
        <v>3353</v>
      </c>
      <c r="V3027" s="11" t="str">
        <f t="shared" si="178"/>
        <v>http://www.env.gov.bc.ca/esd/distdata/ecosystems/Soil_Data/CAPAMP/</v>
      </c>
      <c r="W3027" t="s">
        <v>58</v>
      </c>
      <c r="X3027" t="s">
        <v>58</v>
      </c>
      <c r="Y3027" t="s">
        <v>58</v>
      </c>
      <c r="Z3027" t="s">
        <v>58</v>
      </c>
      <c r="AA3027" t="s">
        <v>58</v>
      </c>
      <c r="AC3027" t="s">
        <v>58</v>
      </c>
      <c r="AE3027" t="s">
        <v>58</v>
      </c>
      <c r="AG3027" t="s">
        <v>63</v>
      </c>
      <c r="AH3027" s="11" t="str">
        <f t="shared" si="179"/>
        <v>mailto: soilterrain@victoria1.gov.bc.ca</v>
      </c>
    </row>
    <row r="3028" spans="1:34">
      <c r="A3028" t="s">
        <v>6423</v>
      </c>
      <c r="B3028" t="s">
        <v>56</v>
      </c>
      <c r="C3028" s="10" t="s">
        <v>5417</v>
      </c>
      <c r="D3028" t="s">
        <v>58</v>
      </c>
      <c r="E3028" t="s">
        <v>497</v>
      </c>
      <c r="F3028" t="s">
        <v>6364</v>
      </c>
      <c r="G3028">
        <v>20000</v>
      </c>
      <c r="H3028">
        <v>1975</v>
      </c>
      <c r="I3028" t="s">
        <v>58</v>
      </c>
      <c r="J3028" t="s">
        <v>58</v>
      </c>
      <c r="K3028" t="s">
        <v>58</v>
      </c>
      <c r="L3028" t="s">
        <v>58</v>
      </c>
      <c r="M3028" t="s">
        <v>58</v>
      </c>
      <c r="N3028" t="s">
        <v>61</v>
      </c>
      <c r="Q3028" t="s">
        <v>58</v>
      </c>
      <c r="R3028" s="11" t="str">
        <f>HYPERLINK("\\imagefiles.bcgov\imagery\scanned_maps\moe_terrain_maps\Scanned_T_maps_all\R20\R20-258","\\imagefiles.bcgov\imagery\scanned_maps\moe_terrain_maps\Scanned_T_maps_all\R20\R20-258")</f>
        <v>\\imagefiles.bcgov\imagery\scanned_maps\moe_terrain_maps\Scanned_T_maps_all\R20\R20-258</v>
      </c>
      <c r="S3028" t="s">
        <v>62</v>
      </c>
      <c r="T3028" s="11" t="str">
        <f>HYPERLINK("http://www.env.gov.bc.ca/esd/distdata/ecosystems/TEI_Scanned_Maps/R20/R20-258","http://www.env.gov.bc.ca/esd/distdata/ecosystems/TEI_Scanned_Maps/R20/R20-258")</f>
        <v>http://www.env.gov.bc.ca/esd/distdata/ecosystems/TEI_Scanned_Maps/R20/R20-258</v>
      </c>
      <c r="U3028" t="s">
        <v>3353</v>
      </c>
      <c r="V3028" s="11" t="str">
        <f t="shared" si="178"/>
        <v>http://www.env.gov.bc.ca/esd/distdata/ecosystems/Soil_Data/CAPAMP/</v>
      </c>
      <c r="W3028" t="s">
        <v>58</v>
      </c>
      <c r="X3028" t="s">
        <v>58</v>
      </c>
      <c r="Y3028" t="s">
        <v>58</v>
      </c>
      <c r="Z3028" t="s">
        <v>58</v>
      </c>
      <c r="AA3028" t="s">
        <v>58</v>
      </c>
      <c r="AC3028" t="s">
        <v>58</v>
      </c>
      <c r="AE3028" t="s">
        <v>58</v>
      </c>
      <c r="AG3028" t="s">
        <v>63</v>
      </c>
      <c r="AH3028" s="11" t="str">
        <f t="shared" si="179"/>
        <v>mailto: soilterrain@victoria1.gov.bc.ca</v>
      </c>
    </row>
    <row r="3029" spans="1:34">
      <c r="A3029" t="s">
        <v>6424</v>
      </c>
      <c r="B3029" t="s">
        <v>56</v>
      </c>
      <c r="C3029" s="10" t="s">
        <v>5419</v>
      </c>
      <c r="D3029" t="s">
        <v>58</v>
      </c>
      <c r="E3029" t="s">
        <v>497</v>
      </c>
      <c r="F3029" t="s">
        <v>6364</v>
      </c>
      <c r="G3029">
        <v>20000</v>
      </c>
      <c r="H3029">
        <v>1975</v>
      </c>
      <c r="I3029" t="s">
        <v>58</v>
      </c>
      <c r="J3029" t="s">
        <v>58</v>
      </c>
      <c r="K3029" t="s">
        <v>58</v>
      </c>
      <c r="L3029" t="s">
        <v>58</v>
      </c>
      <c r="M3029" t="s">
        <v>58</v>
      </c>
      <c r="N3029" t="s">
        <v>61</v>
      </c>
      <c r="Q3029" t="s">
        <v>58</v>
      </c>
      <c r="R3029" s="11" t="str">
        <f>HYPERLINK("\\imagefiles.bcgov\imagery\scanned_maps\moe_terrain_maps\Scanned_T_maps_all\R20\R20-265","\\imagefiles.bcgov\imagery\scanned_maps\moe_terrain_maps\Scanned_T_maps_all\R20\R20-265")</f>
        <v>\\imagefiles.bcgov\imagery\scanned_maps\moe_terrain_maps\Scanned_T_maps_all\R20\R20-265</v>
      </c>
      <c r="S3029" t="s">
        <v>62</v>
      </c>
      <c r="T3029" s="11" t="str">
        <f>HYPERLINK("http://www.env.gov.bc.ca/esd/distdata/ecosystems/TEI_Scanned_Maps/R20/R20-265","http://www.env.gov.bc.ca/esd/distdata/ecosystems/TEI_Scanned_Maps/R20/R20-265")</f>
        <v>http://www.env.gov.bc.ca/esd/distdata/ecosystems/TEI_Scanned_Maps/R20/R20-265</v>
      </c>
      <c r="U3029" t="s">
        <v>3353</v>
      </c>
      <c r="V3029" s="11" t="str">
        <f t="shared" si="178"/>
        <v>http://www.env.gov.bc.ca/esd/distdata/ecosystems/Soil_Data/CAPAMP/</v>
      </c>
      <c r="W3029" t="s">
        <v>58</v>
      </c>
      <c r="X3029" t="s">
        <v>58</v>
      </c>
      <c r="Y3029" t="s">
        <v>58</v>
      </c>
      <c r="Z3029" t="s">
        <v>58</v>
      </c>
      <c r="AA3029" t="s">
        <v>58</v>
      </c>
      <c r="AC3029" t="s">
        <v>58</v>
      </c>
      <c r="AE3029" t="s">
        <v>58</v>
      </c>
      <c r="AG3029" t="s">
        <v>63</v>
      </c>
      <c r="AH3029" s="11" t="str">
        <f t="shared" si="179"/>
        <v>mailto: soilterrain@victoria1.gov.bc.ca</v>
      </c>
    </row>
    <row r="3030" spans="1:34">
      <c r="A3030" t="s">
        <v>6425</v>
      </c>
      <c r="B3030" t="s">
        <v>56</v>
      </c>
      <c r="C3030" s="10" t="s">
        <v>5421</v>
      </c>
      <c r="D3030" t="s">
        <v>58</v>
      </c>
      <c r="E3030" t="s">
        <v>497</v>
      </c>
      <c r="F3030" t="s">
        <v>6364</v>
      </c>
      <c r="G3030">
        <v>20000</v>
      </c>
      <c r="H3030">
        <v>1972</v>
      </c>
      <c r="I3030" t="s">
        <v>58</v>
      </c>
      <c r="J3030" t="s">
        <v>58</v>
      </c>
      <c r="K3030" t="s">
        <v>58</v>
      </c>
      <c r="L3030" t="s">
        <v>58</v>
      </c>
      <c r="M3030" t="s">
        <v>58</v>
      </c>
      <c r="N3030" t="s">
        <v>61</v>
      </c>
      <c r="Q3030" t="s">
        <v>58</v>
      </c>
      <c r="R3030" s="11" t="str">
        <f>HYPERLINK("\\imagefiles.bcgov\imagery\scanned_maps\moe_terrain_maps\Scanned_T_maps_all\R20\R20-272","\\imagefiles.bcgov\imagery\scanned_maps\moe_terrain_maps\Scanned_T_maps_all\R20\R20-272")</f>
        <v>\\imagefiles.bcgov\imagery\scanned_maps\moe_terrain_maps\Scanned_T_maps_all\R20\R20-272</v>
      </c>
      <c r="S3030" t="s">
        <v>62</v>
      </c>
      <c r="T3030" s="11" t="str">
        <f>HYPERLINK("http://www.env.gov.bc.ca/esd/distdata/ecosystems/TEI_Scanned_Maps/R20/R20-272","http://www.env.gov.bc.ca/esd/distdata/ecosystems/TEI_Scanned_Maps/R20/R20-272")</f>
        <v>http://www.env.gov.bc.ca/esd/distdata/ecosystems/TEI_Scanned_Maps/R20/R20-272</v>
      </c>
      <c r="U3030" t="s">
        <v>3353</v>
      </c>
      <c r="V3030" s="11" t="str">
        <f t="shared" si="178"/>
        <v>http://www.env.gov.bc.ca/esd/distdata/ecosystems/Soil_Data/CAPAMP/</v>
      </c>
      <c r="W3030" t="s">
        <v>58</v>
      </c>
      <c r="X3030" t="s">
        <v>58</v>
      </c>
      <c r="Y3030" t="s">
        <v>58</v>
      </c>
      <c r="Z3030" t="s">
        <v>58</v>
      </c>
      <c r="AA3030" t="s">
        <v>58</v>
      </c>
      <c r="AC3030" t="s">
        <v>58</v>
      </c>
      <c r="AE3030" t="s">
        <v>58</v>
      </c>
      <c r="AG3030" t="s">
        <v>63</v>
      </c>
      <c r="AH3030" s="11" t="str">
        <f t="shared" si="179"/>
        <v>mailto: soilterrain@victoria1.gov.bc.ca</v>
      </c>
    </row>
    <row r="3031" spans="1:34">
      <c r="A3031" t="s">
        <v>6426</v>
      </c>
      <c r="B3031" t="s">
        <v>56</v>
      </c>
      <c r="C3031" s="10" t="s">
        <v>5423</v>
      </c>
      <c r="D3031" t="s">
        <v>58</v>
      </c>
      <c r="E3031" t="s">
        <v>497</v>
      </c>
      <c r="F3031" t="s">
        <v>6364</v>
      </c>
      <c r="G3031">
        <v>20000</v>
      </c>
      <c r="H3031">
        <v>1970</v>
      </c>
      <c r="I3031" t="s">
        <v>58</v>
      </c>
      <c r="J3031" t="s">
        <v>58</v>
      </c>
      <c r="K3031" t="s">
        <v>58</v>
      </c>
      <c r="L3031" t="s">
        <v>58</v>
      </c>
      <c r="M3031" t="s">
        <v>58</v>
      </c>
      <c r="N3031" t="s">
        <v>61</v>
      </c>
      <c r="Q3031" t="s">
        <v>58</v>
      </c>
      <c r="R3031" s="11" t="str">
        <f>HYPERLINK("\\imagefiles.bcgov\imagery\scanned_maps\moe_terrain_maps\Scanned_T_maps_all\R20\R20-279","\\imagefiles.bcgov\imagery\scanned_maps\moe_terrain_maps\Scanned_T_maps_all\R20\R20-279")</f>
        <v>\\imagefiles.bcgov\imagery\scanned_maps\moe_terrain_maps\Scanned_T_maps_all\R20\R20-279</v>
      </c>
      <c r="S3031" t="s">
        <v>62</v>
      </c>
      <c r="T3031" s="11" t="str">
        <f>HYPERLINK("http://www.env.gov.bc.ca/esd/distdata/ecosystems/TEI_Scanned_Maps/R20/R20-279","http://www.env.gov.bc.ca/esd/distdata/ecosystems/TEI_Scanned_Maps/R20/R20-279")</f>
        <v>http://www.env.gov.bc.ca/esd/distdata/ecosystems/TEI_Scanned_Maps/R20/R20-279</v>
      </c>
      <c r="U3031" t="s">
        <v>3353</v>
      </c>
      <c r="V3031" s="11" t="str">
        <f t="shared" si="178"/>
        <v>http://www.env.gov.bc.ca/esd/distdata/ecosystems/Soil_Data/CAPAMP/</v>
      </c>
      <c r="W3031" t="s">
        <v>58</v>
      </c>
      <c r="X3031" t="s">
        <v>58</v>
      </c>
      <c r="Y3031" t="s">
        <v>58</v>
      </c>
      <c r="Z3031" t="s">
        <v>58</v>
      </c>
      <c r="AA3031" t="s">
        <v>58</v>
      </c>
      <c r="AC3031" t="s">
        <v>58</v>
      </c>
      <c r="AE3031" t="s">
        <v>58</v>
      </c>
      <c r="AG3031" t="s">
        <v>63</v>
      </c>
      <c r="AH3031" s="11" t="str">
        <f t="shared" si="179"/>
        <v>mailto: soilterrain@victoria1.gov.bc.ca</v>
      </c>
    </row>
    <row r="3032" spans="1:34">
      <c r="A3032" t="s">
        <v>6427</v>
      </c>
      <c r="B3032" t="s">
        <v>56</v>
      </c>
      <c r="C3032" s="10" t="s">
        <v>5425</v>
      </c>
      <c r="D3032" t="s">
        <v>58</v>
      </c>
      <c r="E3032" t="s">
        <v>497</v>
      </c>
      <c r="F3032" t="s">
        <v>6364</v>
      </c>
      <c r="G3032">
        <v>20000</v>
      </c>
      <c r="H3032">
        <v>1972</v>
      </c>
      <c r="I3032" t="s">
        <v>58</v>
      </c>
      <c r="J3032" t="s">
        <v>58</v>
      </c>
      <c r="K3032" t="s">
        <v>58</v>
      </c>
      <c r="L3032" t="s">
        <v>58</v>
      </c>
      <c r="M3032" t="s">
        <v>58</v>
      </c>
      <c r="N3032" t="s">
        <v>61</v>
      </c>
      <c r="Q3032" t="s">
        <v>58</v>
      </c>
      <c r="R3032" s="11" t="str">
        <f>HYPERLINK("\\imagefiles.bcgov\imagery\scanned_maps\moe_terrain_maps\Scanned_T_maps_all\R20\R20-286","\\imagefiles.bcgov\imagery\scanned_maps\moe_terrain_maps\Scanned_T_maps_all\R20\R20-286")</f>
        <v>\\imagefiles.bcgov\imagery\scanned_maps\moe_terrain_maps\Scanned_T_maps_all\R20\R20-286</v>
      </c>
      <c r="S3032" t="s">
        <v>62</v>
      </c>
      <c r="T3032" s="11" t="str">
        <f>HYPERLINK("http://www.env.gov.bc.ca/esd/distdata/ecosystems/TEI_Scanned_Maps/R20/R20-286","http://www.env.gov.bc.ca/esd/distdata/ecosystems/TEI_Scanned_Maps/R20/R20-286")</f>
        <v>http://www.env.gov.bc.ca/esd/distdata/ecosystems/TEI_Scanned_Maps/R20/R20-286</v>
      </c>
      <c r="U3032" t="s">
        <v>3353</v>
      </c>
      <c r="V3032" s="11" t="str">
        <f t="shared" si="178"/>
        <v>http://www.env.gov.bc.ca/esd/distdata/ecosystems/Soil_Data/CAPAMP/</v>
      </c>
      <c r="W3032" t="s">
        <v>58</v>
      </c>
      <c r="X3032" t="s">
        <v>58</v>
      </c>
      <c r="Y3032" t="s">
        <v>58</v>
      </c>
      <c r="Z3032" t="s">
        <v>58</v>
      </c>
      <c r="AA3032" t="s">
        <v>58</v>
      </c>
      <c r="AC3032" t="s">
        <v>58</v>
      </c>
      <c r="AE3032" t="s">
        <v>58</v>
      </c>
      <c r="AG3032" t="s">
        <v>63</v>
      </c>
      <c r="AH3032" s="11" t="str">
        <f t="shared" si="179"/>
        <v>mailto: soilterrain@victoria1.gov.bc.ca</v>
      </c>
    </row>
    <row r="3033" spans="1:34">
      <c r="A3033" t="s">
        <v>6428</v>
      </c>
      <c r="B3033" t="s">
        <v>56</v>
      </c>
      <c r="C3033" s="10" t="s">
        <v>5427</v>
      </c>
      <c r="D3033" t="s">
        <v>58</v>
      </c>
      <c r="E3033" t="s">
        <v>497</v>
      </c>
      <c r="F3033" t="s">
        <v>6364</v>
      </c>
      <c r="G3033">
        <v>20000</v>
      </c>
      <c r="H3033" t="s">
        <v>187</v>
      </c>
      <c r="I3033" t="s">
        <v>58</v>
      </c>
      <c r="J3033" t="s">
        <v>58</v>
      </c>
      <c r="K3033" t="s">
        <v>58</v>
      </c>
      <c r="L3033" t="s">
        <v>58</v>
      </c>
      <c r="M3033" t="s">
        <v>58</v>
      </c>
      <c r="N3033" t="s">
        <v>61</v>
      </c>
      <c r="Q3033" t="s">
        <v>58</v>
      </c>
      <c r="R3033" s="11" t="str">
        <f>HYPERLINK("\\imagefiles.bcgov\imagery\scanned_maps\moe_terrain_maps\Scanned_T_maps_all\R20\R20-294","\\imagefiles.bcgov\imagery\scanned_maps\moe_terrain_maps\Scanned_T_maps_all\R20\R20-294")</f>
        <v>\\imagefiles.bcgov\imagery\scanned_maps\moe_terrain_maps\Scanned_T_maps_all\R20\R20-294</v>
      </c>
      <c r="S3033" t="s">
        <v>62</v>
      </c>
      <c r="T3033" s="11" t="str">
        <f>HYPERLINK("http://www.env.gov.bc.ca/esd/distdata/ecosystems/TEI_Scanned_Maps/R20/R20-294","http://www.env.gov.bc.ca/esd/distdata/ecosystems/TEI_Scanned_Maps/R20/R20-294")</f>
        <v>http://www.env.gov.bc.ca/esd/distdata/ecosystems/TEI_Scanned_Maps/R20/R20-294</v>
      </c>
      <c r="U3033" t="s">
        <v>3353</v>
      </c>
      <c r="V3033" s="11" t="str">
        <f t="shared" si="178"/>
        <v>http://www.env.gov.bc.ca/esd/distdata/ecosystems/Soil_Data/CAPAMP/</v>
      </c>
      <c r="W3033" t="s">
        <v>58</v>
      </c>
      <c r="X3033" t="s">
        <v>58</v>
      </c>
      <c r="Y3033" t="s">
        <v>58</v>
      </c>
      <c r="Z3033" t="s">
        <v>58</v>
      </c>
      <c r="AA3033" t="s">
        <v>58</v>
      </c>
      <c r="AC3033" t="s">
        <v>58</v>
      </c>
      <c r="AE3033" t="s">
        <v>58</v>
      </c>
      <c r="AG3033" t="s">
        <v>63</v>
      </c>
      <c r="AH3033" s="11" t="str">
        <f t="shared" si="179"/>
        <v>mailto: soilterrain@victoria1.gov.bc.ca</v>
      </c>
    </row>
    <row r="3034" spans="1:34">
      <c r="A3034" t="s">
        <v>6429</v>
      </c>
      <c r="B3034" t="s">
        <v>56</v>
      </c>
      <c r="C3034" s="10" t="s">
        <v>4613</v>
      </c>
      <c r="D3034" t="s">
        <v>58</v>
      </c>
      <c r="E3034" t="s">
        <v>497</v>
      </c>
      <c r="F3034" t="s">
        <v>6364</v>
      </c>
      <c r="G3034">
        <v>20000</v>
      </c>
      <c r="H3034">
        <v>1983</v>
      </c>
      <c r="I3034" t="s">
        <v>58</v>
      </c>
      <c r="J3034" t="s">
        <v>58</v>
      </c>
      <c r="K3034" t="s">
        <v>58</v>
      </c>
      <c r="L3034" t="s">
        <v>58</v>
      </c>
      <c r="M3034" t="s">
        <v>58</v>
      </c>
      <c r="N3034" t="s">
        <v>61</v>
      </c>
      <c r="Q3034" t="s">
        <v>58</v>
      </c>
      <c r="R3034" s="11" t="str">
        <f>HYPERLINK("\\imagefiles.bcgov\imagery\scanned_maps\moe_terrain_maps\Scanned_T_maps_all\R20\R20-301","\\imagefiles.bcgov\imagery\scanned_maps\moe_terrain_maps\Scanned_T_maps_all\R20\R20-301")</f>
        <v>\\imagefiles.bcgov\imagery\scanned_maps\moe_terrain_maps\Scanned_T_maps_all\R20\R20-301</v>
      </c>
      <c r="S3034" t="s">
        <v>62</v>
      </c>
      <c r="T3034" s="11" t="str">
        <f>HYPERLINK("http://www.env.gov.bc.ca/esd/distdata/ecosystems/TEI_Scanned_Maps/R20/R20-301","http://www.env.gov.bc.ca/esd/distdata/ecosystems/TEI_Scanned_Maps/R20/R20-301")</f>
        <v>http://www.env.gov.bc.ca/esd/distdata/ecosystems/TEI_Scanned_Maps/R20/R20-301</v>
      </c>
      <c r="U3034" t="s">
        <v>3353</v>
      </c>
      <c r="V3034" s="11" t="str">
        <f t="shared" si="178"/>
        <v>http://www.env.gov.bc.ca/esd/distdata/ecosystems/Soil_Data/CAPAMP/</v>
      </c>
      <c r="W3034" t="s">
        <v>58</v>
      </c>
      <c r="X3034" t="s">
        <v>58</v>
      </c>
      <c r="Y3034" t="s">
        <v>58</v>
      </c>
      <c r="Z3034" t="s">
        <v>58</v>
      </c>
      <c r="AA3034" t="s">
        <v>58</v>
      </c>
      <c r="AC3034" t="s">
        <v>58</v>
      </c>
      <c r="AE3034" t="s">
        <v>58</v>
      </c>
      <c r="AG3034" t="s">
        <v>63</v>
      </c>
      <c r="AH3034" s="11" t="str">
        <f t="shared" si="179"/>
        <v>mailto: soilterrain@victoria1.gov.bc.ca</v>
      </c>
    </row>
    <row r="3035" spans="1:34">
      <c r="A3035" t="s">
        <v>6430</v>
      </c>
      <c r="B3035" t="s">
        <v>56</v>
      </c>
      <c r="C3035" s="10" t="s">
        <v>5430</v>
      </c>
      <c r="D3035" t="s">
        <v>58</v>
      </c>
      <c r="E3035" t="s">
        <v>497</v>
      </c>
      <c r="F3035" t="s">
        <v>6364</v>
      </c>
      <c r="G3035">
        <v>20000</v>
      </c>
      <c r="H3035">
        <v>1975</v>
      </c>
      <c r="I3035" t="s">
        <v>58</v>
      </c>
      <c r="J3035" t="s">
        <v>58</v>
      </c>
      <c r="K3035" t="s">
        <v>58</v>
      </c>
      <c r="L3035" t="s">
        <v>58</v>
      </c>
      <c r="M3035" t="s">
        <v>58</v>
      </c>
      <c r="N3035" t="s">
        <v>61</v>
      </c>
      <c r="Q3035" t="s">
        <v>58</v>
      </c>
      <c r="R3035" s="11" t="str">
        <f>HYPERLINK("\\imagefiles.bcgov\imagery\scanned_maps\moe_terrain_maps\Scanned_T_maps_all\R20\R20-308","\\imagefiles.bcgov\imagery\scanned_maps\moe_terrain_maps\Scanned_T_maps_all\R20\R20-308")</f>
        <v>\\imagefiles.bcgov\imagery\scanned_maps\moe_terrain_maps\Scanned_T_maps_all\R20\R20-308</v>
      </c>
      <c r="S3035" t="s">
        <v>62</v>
      </c>
      <c r="T3035" s="11" t="str">
        <f>HYPERLINK("http://www.env.gov.bc.ca/esd/distdata/ecosystems/TEI_Scanned_Maps/R20/R20-308","http://www.env.gov.bc.ca/esd/distdata/ecosystems/TEI_Scanned_Maps/R20/R20-308")</f>
        <v>http://www.env.gov.bc.ca/esd/distdata/ecosystems/TEI_Scanned_Maps/R20/R20-308</v>
      </c>
      <c r="U3035" t="s">
        <v>3353</v>
      </c>
      <c r="V3035" s="11" t="str">
        <f t="shared" ref="V3035:V3058" si="180">HYPERLINK("http://www.env.gov.bc.ca/esd/distdata/ecosystems/Soil_Data/CAPAMP/","http://www.env.gov.bc.ca/esd/distdata/ecosystems/Soil_Data/CAPAMP/")</f>
        <v>http://www.env.gov.bc.ca/esd/distdata/ecosystems/Soil_Data/CAPAMP/</v>
      </c>
      <c r="W3035" t="s">
        <v>58</v>
      </c>
      <c r="X3035" t="s">
        <v>58</v>
      </c>
      <c r="Y3035" t="s">
        <v>58</v>
      </c>
      <c r="Z3035" t="s">
        <v>58</v>
      </c>
      <c r="AA3035" t="s">
        <v>58</v>
      </c>
      <c r="AC3035" t="s">
        <v>58</v>
      </c>
      <c r="AE3035" t="s">
        <v>58</v>
      </c>
      <c r="AG3035" t="s">
        <v>63</v>
      </c>
      <c r="AH3035" s="11" t="str">
        <f t="shared" si="179"/>
        <v>mailto: soilterrain@victoria1.gov.bc.ca</v>
      </c>
    </row>
    <row r="3036" spans="1:34">
      <c r="A3036" t="s">
        <v>6431</v>
      </c>
      <c r="B3036" t="s">
        <v>56</v>
      </c>
      <c r="C3036" s="10" t="s">
        <v>5432</v>
      </c>
      <c r="D3036" t="s">
        <v>58</v>
      </c>
      <c r="E3036" t="s">
        <v>497</v>
      </c>
      <c r="F3036" t="s">
        <v>6364</v>
      </c>
      <c r="G3036">
        <v>20000</v>
      </c>
      <c r="H3036">
        <v>1975</v>
      </c>
      <c r="I3036" t="s">
        <v>58</v>
      </c>
      <c r="J3036" t="s">
        <v>58</v>
      </c>
      <c r="K3036" t="s">
        <v>58</v>
      </c>
      <c r="L3036" t="s">
        <v>58</v>
      </c>
      <c r="M3036" t="s">
        <v>58</v>
      </c>
      <c r="N3036" t="s">
        <v>61</v>
      </c>
      <c r="Q3036" t="s">
        <v>58</v>
      </c>
      <c r="R3036" s="11" t="str">
        <f>HYPERLINK("\\imagefiles.bcgov\imagery\scanned_maps\moe_terrain_maps\Scanned_T_maps_all\R20\R20-651","\\imagefiles.bcgov\imagery\scanned_maps\moe_terrain_maps\Scanned_T_maps_all\R20\R20-651")</f>
        <v>\\imagefiles.bcgov\imagery\scanned_maps\moe_terrain_maps\Scanned_T_maps_all\R20\R20-651</v>
      </c>
      <c r="S3036" t="s">
        <v>62</v>
      </c>
      <c r="T3036" s="11" t="str">
        <f>HYPERLINK("http://www.env.gov.bc.ca/esd/distdata/ecosystems/TEI_Scanned_Maps/R20/R20-651","http://www.env.gov.bc.ca/esd/distdata/ecosystems/TEI_Scanned_Maps/R20/R20-651")</f>
        <v>http://www.env.gov.bc.ca/esd/distdata/ecosystems/TEI_Scanned_Maps/R20/R20-651</v>
      </c>
      <c r="U3036" t="s">
        <v>3353</v>
      </c>
      <c r="V3036" s="11" t="str">
        <f t="shared" si="180"/>
        <v>http://www.env.gov.bc.ca/esd/distdata/ecosystems/Soil_Data/CAPAMP/</v>
      </c>
      <c r="W3036" t="s">
        <v>58</v>
      </c>
      <c r="X3036" t="s">
        <v>58</v>
      </c>
      <c r="Y3036" t="s">
        <v>58</v>
      </c>
      <c r="Z3036" t="s">
        <v>58</v>
      </c>
      <c r="AA3036" t="s">
        <v>58</v>
      </c>
      <c r="AC3036" t="s">
        <v>58</v>
      </c>
      <c r="AE3036" t="s">
        <v>58</v>
      </c>
      <c r="AG3036" t="s">
        <v>63</v>
      </c>
      <c r="AH3036" s="11" t="str">
        <f t="shared" si="179"/>
        <v>mailto: soilterrain@victoria1.gov.bc.ca</v>
      </c>
    </row>
    <row r="3037" spans="1:34">
      <c r="A3037" t="s">
        <v>6432</v>
      </c>
      <c r="B3037" t="s">
        <v>56</v>
      </c>
      <c r="C3037" s="10" t="s">
        <v>5434</v>
      </c>
      <c r="D3037" t="s">
        <v>58</v>
      </c>
      <c r="E3037" t="s">
        <v>497</v>
      </c>
      <c r="F3037" t="s">
        <v>6364</v>
      </c>
      <c r="G3037">
        <v>20000</v>
      </c>
      <c r="H3037">
        <v>1975</v>
      </c>
      <c r="I3037" t="s">
        <v>58</v>
      </c>
      <c r="J3037" t="s">
        <v>58</v>
      </c>
      <c r="K3037" t="s">
        <v>58</v>
      </c>
      <c r="L3037" t="s">
        <v>58</v>
      </c>
      <c r="M3037" t="s">
        <v>58</v>
      </c>
      <c r="N3037" t="s">
        <v>61</v>
      </c>
      <c r="Q3037" t="s">
        <v>58</v>
      </c>
      <c r="R3037" s="11" t="str">
        <f>HYPERLINK("\\imagefiles.bcgov\imagery\scanned_maps\moe_terrain_maps\Scanned_T_maps_all\R20\R20-658","\\imagefiles.bcgov\imagery\scanned_maps\moe_terrain_maps\Scanned_T_maps_all\R20\R20-658")</f>
        <v>\\imagefiles.bcgov\imagery\scanned_maps\moe_terrain_maps\Scanned_T_maps_all\R20\R20-658</v>
      </c>
      <c r="S3037" t="s">
        <v>62</v>
      </c>
      <c r="T3037" s="11" t="str">
        <f>HYPERLINK("http://www.env.gov.bc.ca/esd/distdata/ecosystems/TEI_Scanned_Maps/R20/R20-658","http://www.env.gov.bc.ca/esd/distdata/ecosystems/TEI_Scanned_Maps/R20/R20-658")</f>
        <v>http://www.env.gov.bc.ca/esd/distdata/ecosystems/TEI_Scanned_Maps/R20/R20-658</v>
      </c>
      <c r="U3037" t="s">
        <v>3353</v>
      </c>
      <c r="V3037" s="11" t="str">
        <f t="shared" si="180"/>
        <v>http://www.env.gov.bc.ca/esd/distdata/ecosystems/Soil_Data/CAPAMP/</v>
      </c>
      <c r="W3037" t="s">
        <v>58</v>
      </c>
      <c r="X3037" t="s">
        <v>58</v>
      </c>
      <c r="Y3037" t="s">
        <v>58</v>
      </c>
      <c r="Z3037" t="s">
        <v>58</v>
      </c>
      <c r="AA3037" t="s">
        <v>58</v>
      </c>
      <c r="AC3037" t="s">
        <v>58</v>
      </c>
      <c r="AE3037" t="s">
        <v>58</v>
      </c>
      <c r="AG3037" t="s">
        <v>63</v>
      </c>
      <c r="AH3037" s="11" t="str">
        <f t="shared" si="179"/>
        <v>mailto: soilterrain@victoria1.gov.bc.ca</v>
      </c>
    </row>
    <row r="3038" spans="1:34">
      <c r="A3038" t="s">
        <v>6433</v>
      </c>
      <c r="B3038" t="s">
        <v>56</v>
      </c>
      <c r="C3038" s="10" t="s">
        <v>5436</v>
      </c>
      <c r="D3038" t="s">
        <v>58</v>
      </c>
      <c r="E3038" t="s">
        <v>497</v>
      </c>
      <c r="F3038" t="s">
        <v>6364</v>
      </c>
      <c r="G3038">
        <v>20000</v>
      </c>
      <c r="H3038">
        <v>1975</v>
      </c>
      <c r="I3038" t="s">
        <v>58</v>
      </c>
      <c r="J3038" t="s">
        <v>58</v>
      </c>
      <c r="K3038" t="s">
        <v>58</v>
      </c>
      <c r="L3038" t="s">
        <v>58</v>
      </c>
      <c r="M3038" t="s">
        <v>58</v>
      </c>
      <c r="N3038" t="s">
        <v>61</v>
      </c>
      <c r="Q3038" t="s">
        <v>58</v>
      </c>
      <c r="R3038" s="11" t="str">
        <f>HYPERLINK("\\imagefiles.bcgov\imagery\scanned_maps\moe_terrain_maps\Scanned_T_maps_all\R20\R20-665","\\imagefiles.bcgov\imagery\scanned_maps\moe_terrain_maps\Scanned_T_maps_all\R20\R20-665")</f>
        <v>\\imagefiles.bcgov\imagery\scanned_maps\moe_terrain_maps\Scanned_T_maps_all\R20\R20-665</v>
      </c>
      <c r="S3038" t="s">
        <v>62</v>
      </c>
      <c r="T3038" s="11" t="str">
        <f>HYPERLINK("http://www.env.gov.bc.ca/esd/distdata/ecosystems/TEI_Scanned_Maps/R20/R20-665","http://www.env.gov.bc.ca/esd/distdata/ecosystems/TEI_Scanned_Maps/R20/R20-665")</f>
        <v>http://www.env.gov.bc.ca/esd/distdata/ecosystems/TEI_Scanned_Maps/R20/R20-665</v>
      </c>
      <c r="U3038" t="s">
        <v>3353</v>
      </c>
      <c r="V3038" s="11" t="str">
        <f t="shared" si="180"/>
        <v>http://www.env.gov.bc.ca/esd/distdata/ecosystems/Soil_Data/CAPAMP/</v>
      </c>
      <c r="W3038" t="s">
        <v>58</v>
      </c>
      <c r="X3038" t="s">
        <v>58</v>
      </c>
      <c r="Y3038" t="s">
        <v>58</v>
      </c>
      <c r="Z3038" t="s">
        <v>58</v>
      </c>
      <c r="AA3038" t="s">
        <v>58</v>
      </c>
      <c r="AC3038" t="s">
        <v>58</v>
      </c>
      <c r="AE3038" t="s">
        <v>58</v>
      </c>
      <c r="AG3038" t="s">
        <v>63</v>
      </c>
      <c r="AH3038" s="11" t="str">
        <f t="shared" si="179"/>
        <v>mailto: soilterrain@victoria1.gov.bc.ca</v>
      </c>
    </row>
    <row r="3039" spans="1:34">
      <c r="A3039" t="s">
        <v>6434</v>
      </c>
      <c r="B3039" t="s">
        <v>56</v>
      </c>
      <c r="C3039" s="10" t="s">
        <v>5438</v>
      </c>
      <c r="D3039" t="s">
        <v>58</v>
      </c>
      <c r="E3039" t="s">
        <v>497</v>
      </c>
      <c r="F3039" t="s">
        <v>6364</v>
      </c>
      <c r="G3039">
        <v>20000</v>
      </c>
      <c r="H3039">
        <v>1975</v>
      </c>
      <c r="I3039" t="s">
        <v>58</v>
      </c>
      <c r="J3039" t="s">
        <v>58</v>
      </c>
      <c r="K3039" t="s">
        <v>58</v>
      </c>
      <c r="L3039" t="s">
        <v>58</v>
      </c>
      <c r="M3039" t="s">
        <v>58</v>
      </c>
      <c r="N3039" t="s">
        <v>61</v>
      </c>
      <c r="Q3039" t="s">
        <v>58</v>
      </c>
      <c r="R3039" s="11" t="str">
        <f>HYPERLINK("\\imagefiles.bcgov\imagery\scanned_maps\moe_terrain_maps\Scanned_T_maps_all\R20\R20-672","\\imagefiles.bcgov\imagery\scanned_maps\moe_terrain_maps\Scanned_T_maps_all\R20\R20-672")</f>
        <v>\\imagefiles.bcgov\imagery\scanned_maps\moe_terrain_maps\Scanned_T_maps_all\R20\R20-672</v>
      </c>
      <c r="S3039" t="s">
        <v>62</v>
      </c>
      <c r="T3039" s="11" t="str">
        <f>HYPERLINK("http://www.env.gov.bc.ca/esd/distdata/ecosystems/TEI_Scanned_Maps/R20/R20-672","http://www.env.gov.bc.ca/esd/distdata/ecosystems/TEI_Scanned_Maps/R20/R20-672")</f>
        <v>http://www.env.gov.bc.ca/esd/distdata/ecosystems/TEI_Scanned_Maps/R20/R20-672</v>
      </c>
      <c r="U3039" t="s">
        <v>3353</v>
      </c>
      <c r="V3039" s="11" t="str">
        <f t="shared" si="180"/>
        <v>http://www.env.gov.bc.ca/esd/distdata/ecosystems/Soil_Data/CAPAMP/</v>
      </c>
      <c r="W3039" t="s">
        <v>58</v>
      </c>
      <c r="X3039" t="s">
        <v>58</v>
      </c>
      <c r="Y3039" t="s">
        <v>58</v>
      </c>
      <c r="Z3039" t="s">
        <v>58</v>
      </c>
      <c r="AA3039" t="s">
        <v>58</v>
      </c>
      <c r="AC3039" t="s">
        <v>58</v>
      </c>
      <c r="AE3039" t="s">
        <v>58</v>
      </c>
      <c r="AG3039" t="s">
        <v>63</v>
      </c>
      <c r="AH3039" s="11" t="str">
        <f t="shared" si="179"/>
        <v>mailto: soilterrain@victoria1.gov.bc.ca</v>
      </c>
    </row>
    <row r="3040" spans="1:34">
      <c r="A3040" t="s">
        <v>6435</v>
      </c>
      <c r="B3040" t="s">
        <v>56</v>
      </c>
      <c r="C3040" s="10" t="s">
        <v>5440</v>
      </c>
      <c r="D3040" t="s">
        <v>58</v>
      </c>
      <c r="E3040" t="s">
        <v>497</v>
      </c>
      <c r="F3040" t="s">
        <v>6364</v>
      </c>
      <c r="G3040">
        <v>20000</v>
      </c>
      <c r="H3040">
        <v>1975</v>
      </c>
      <c r="I3040" t="s">
        <v>58</v>
      </c>
      <c r="J3040" t="s">
        <v>58</v>
      </c>
      <c r="K3040" t="s">
        <v>58</v>
      </c>
      <c r="L3040" t="s">
        <v>58</v>
      </c>
      <c r="M3040" t="s">
        <v>58</v>
      </c>
      <c r="N3040" t="s">
        <v>61</v>
      </c>
      <c r="Q3040" t="s">
        <v>58</v>
      </c>
      <c r="R3040" s="11" t="str">
        <f>HYPERLINK("\\imagefiles.bcgov\imagery\scanned_maps\moe_terrain_maps\Scanned_T_maps_all\R20\R20-679","\\imagefiles.bcgov\imagery\scanned_maps\moe_terrain_maps\Scanned_T_maps_all\R20\R20-679")</f>
        <v>\\imagefiles.bcgov\imagery\scanned_maps\moe_terrain_maps\Scanned_T_maps_all\R20\R20-679</v>
      </c>
      <c r="S3040" t="s">
        <v>62</v>
      </c>
      <c r="T3040" s="11" t="str">
        <f>HYPERLINK("http://www.env.gov.bc.ca/esd/distdata/ecosystems/TEI_Scanned_Maps/R20/R20-679","http://www.env.gov.bc.ca/esd/distdata/ecosystems/TEI_Scanned_Maps/R20/R20-679")</f>
        <v>http://www.env.gov.bc.ca/esd/distdata/ecosystems/TEI_Scanned_Maps/R20/R20-679</v>
      </c>
      <c r="U3040" t="s">
        <v>3353</v>
      </c>
      <c r="V3040" s="11" t="str">
        <f t="shared" si="180"/>
        <v>http://www.env.gov.bc.ca/esd/distdata/ecosystems/Soil_Data/CAPAMP/</v>
      </c>
      <c r="W3040" t="s">
        <v>58</v>
      </c>
      <c r="X3040" t="s">
        <v>58</v>
      </c>
      <c r="Y3040" t="s">
        <v>58</v>
      </c>
      <c r="Z3040" t="s">
        <v>58</v>
      </c>
      <c r="AA3040" t="s">
        <v>58</v>
      </c>
      <c r="AC3040" t="s">
        <v>58</v>
      </c>
      <c r="AE3040" t="s">
        <v>58</v>
      </c>
      <c r="AG3040" t="s">
        <v>63</v>
      </c>
      <c r="AH3040" s="11" t="str">
        <f t="shared" si="179"/>
        <v>mailto: soilterrain@victoria1.gov.bc.ca</v>
      </c>
    </row>
    <row r="3041" spans="1:34">
      <c r="A3041" t="s">
        <v>6436</v>
      </c>
      <c r="B3041" t="s">
        <v>56</v>
      </c>
      <c r="C3041" s="10" t="s">
        <v>5442</v>
      </c>
      <c r="D3041" t="s">
        <v>58</v>
      </c>
      <c r="E3041" t="s">
        <v>497</v>
      </c>
      <c r="F3041" t="s">
        <v>6364</v>
      </c>
      <c r="G3041">
        <v>20000</v>
      </c>
      <c r="H3041">
        <v>1975</v>
      </c>
      <c r="I3041" t="s">
        <v>58</v>
      </c>
      <c r="J3041" t="s">
        <v>58</v>
      </c>
      <c r="K3041" t="s">
        <v>58</v>
      </c>
      <c r="L3041" t="s">
        <v>58</v>
      </c>
      <c r="M3041" t="s">
        <v>58</v>
      </c>
      <c r="N3041" t="s">
        <v>61</v>
      </c>
      <c r="Q3041" t="s">
        <v>58</v>
      </c>
      <c r="R3041" s="11" t="str">
        <f>HYPERLINK("\\imagefiles.bcgov\imagery\scanned_maps\moe_terrain_maps\Scanned_T_maps_all\R20\R20-686","\\imagefiles.bcgov\imagery\scanned_maps\moe_terrain_maps\Scanned_T_maps_all\R20\R20-686")</f>
        <v>\\imagefiles.bcgov\imagery\scanned_maps\moe_terrain_maps\Scanned_T_maps_all\R20\R20-686</v>
      </c>
      <c r="S3041" t="s">
        <v>62</v>
      </c>
      <c r="T3041" s="11" t="str">
        <f>HYPERLINK("http://www.env.gov.bc.ca/esd/distdata/ecosystems/TEI_Scanned_Maps/R20/R20-686","http://www.env.gov.bc.ca/esd/distdata/ecosystems/TEI_Scanned_Maps/R20/R20-686")</f>
        <v>http://www.env.gov.bc.ca/esd/distdata/ecosystems/TEI_Scanned_Maps/R20/R20-686</v>
      </c>
      <c r="U3041" t="s">
        <v>3353</v>
      </c>
      <c r="V3041" s="11" t="str">
        <f t="shared" si="180"/>
        <v>http://www.env.gov.bc.ca/esd/distdata/ecosystems/Soil_Data/CAPAMP/</v>
      </c>
      <c r="W3041" t="s">
        <v>58</v>
      </c>
      <c r="X3041" t="s">
        <v>58</v>
      </c>
      <c r="Y3041" t="s">
        <v>58</v>
      </c>
      <c r="Z3041" t="s">
        <v>58</v>
      </c>
      <c r="AA3041" t="s">
        <v>58</v>
      </c>
      <c r="AC3041" t="s">
        <v>58</v>
      </c>
      <c r="AE3041" t="s">
        <v>58</v>
      </c>
      <c r="AG3041" t="s">
        <v>63</v>
      </c>
      <c r="AH3041" s="11" t="str">
        <f t="shared" si="179"/>
        <v>mailto: soilterrain@victoria1.gov.bc.ca</v>
      </c>
    </row>
    <row r="3042" spans="1:34">
      <c r="A3042" t="s">
        <v>6437</v>
      </c>
      <c r="B3042" t="s">
        <v>56</v>
      </c>
      <c r="C3042" s="10" t="s">
        <v>5444</v>
      </c>
      <c r="D3042" t="s">
        <v>58</v>
      </c>
      <c r="E3042" t="s">
        <v>497</v>
      </c>
      <c r="F3042" t="s">
        <v>6364</v>
      </c>
      <c r="G3042">
        <v>20000</v>
      </c>
      <c r="H3042">
        <v>1972</v>
      </c>
      <c r="I3042" t="s">
        <v>58</v>
      </c>
      <c r="J3042" t="s">
        <v>58</v>
      </c>
      <c r="K3042" t="s">
        <v>58</v>
      </c>
      <c r="L3042" t="s">
        <v>58</v>
      </c>
      <c r="M3042" t="s">
        <v>58</v>
      </c>
      <c r="N3042" t="s">
        <v>61</v>
      </c>
      <c r="Q3042" t="s">
        <v>58</v>
      </c>
      <c r="R3042" s="11" t="str">
        <f>HYPERLINK("\\imagefiles.bcgov\imagery\scanned_maps\moe_terrain_maps\Scanned_T_maps_all\R20\R20-693","\\imagefiles.bcgov\imagery\scanned_maps\moe_terrain_maps\Scanned_T_maps_all\R20\R20-693")</f>
        <v>\\imagefiles.bcgov\imagery\scanned_maps\moe_terrain_maps\Scanned_T_maps_all\R20\R20-693</v>
      </c>
      <c r="S3042" t="s">
        <v>62</v>
      </c>
      <c r="T3042" s="11" t="str">
        <f>HYPERLINK("http://www.env.gov.bc.ca/esd/distdata/ecosystems/TEI_Scanned_Maps/R20/R20-693","http://www.env.gov.bc.ca/esd/distdata/ecosystems/TEI_Scanned_Maps/R20/R20-693")</f>
        <v>http://www.env.gov.bc.ca/esd/distdata/ecosystems/TEI_Scanned_Maps/R20/R20-693</v>
      </c>
      <c r="U3042" t="s">
        <v>3353</v>
      </c>
      <c r="V3042" s="11" t="str">
        <f t="shared" si="180"/>
        <v>http://www.env.gov.bc.ca/esd/distdata/ecosystems/Soil_Data/CAPAMP/</v>
      </c>
      <c r="W3042" t="s">
        <v>58</v>
      </c>
      <c r="X3042" t="s">
        <v>58</v>
      </c>
      <c r="Y3042" t="s">
        <v>58</v>
      </c>
      <c r="Z3042" t="s">
        <v>58</v>
      </c>
      <c r="AA3042" t="s">
        <v>58</v>
      </c>
      <c r="AC3042" t="s">
        <v>58</v>
      </c>
      <c r="AE3042" t="s">
        <v>58</v>
      </c>
      <c r="AG3042" t="s">
        <v>63</v>
      </c>
      <c r="AH3042" s="11" t="str">
        <f t="shared" si="179"/>
        <v>mailto: soilterrain@victoria1.gov.bc.ca</v>
      </c>
    </row>
    <row r="3043" spans="1:34">
      <c r="A3043" t="s">
        <v>6438</v>
      </c>
      <c r="B3043" t="s">
        <v>56</v>
      </c>
      <c r="C3043" s="10" t="s">
        <v>4653</v>
      </c>
      <c r="D3043" t="s">
        <v>58</v>
      </c>
      <c r="E3043" t="s">
        <v>497</v>
      </c>
      <c r="F3043" t="s">
        <v>6364</v>
      </c>
      <c r="G3043">
        <v>20000</v>
      </c>
      <c r="H3043">
        <v>1975</v>
      </c>
      <c r="I3043" t="s">
        <v>58</v>
      </c>
      <c r="J3043" t="s">
        <v>58</v>
      </c>
      <c r="K3043" t="s">
        <v>58</v>
      </c>
      <c r="L3043" t="s">
        <v>58</v>
      </c>
      <c r="M3043" t="s">
        <v>58</v>
      </c>
      <c r="N3043" t="s">
        <v>61</v>
      </c>
      <c r="Q3043" t="s">
        <v>58</v>
      </c>
      <c r="R3043" s="11" t="str">
        <f>HYPERLINK("\\imagefiles.bcgov\imagery\scanned_maps\moe_terrain_maps\Scanned_T_maps_all\R20\R20-700","\\imagefiles.bcgov\imagery\scanned_maps\moe_terrain_maps\Scanned_T_maps_all\R20\R20-700")</f>
        <v>\\imagefiles.bcgov\imagery\scanned_maps\moe_terrain_maps\Scanned_T_maps_all\R20\R20-700</v>
      </c>
      <c r="S3043" t="s">
        <v>62</v>
      </c>
      <c r="T3043" s="11" t="str">
        <f>HYPERLINK("http://www.env.gov.bc.ca/esd/distdata/ecosystems/TEI_Scanned_Maps/R20/R20-700","http://www.env.gov.bc.ca/esd/distdata/ecosystems/TEI_Scanned_Maps/R20/R20-700")</f>
        <v>http://www.env.gov.bc.ca/esd/distdata/ecosystems/TEI_Scanned_Maps/R20/R20-700</v>
      </c>
      <c r="U3043" t="s">
        <v>3353</v>
      </c>
      <c r="V3043" s="11" t="str">
        <f t="shared" si="180"/>
        <v>http://www.env.gov.bc.ca/esd/distdata/ecosystems/Soil_Data/CAPAMP/</v>
      </c>
      <c r="W3043" t="s">
        <v>58</v>
      </c>
      <c r="X3043" t="s">
        <v>58</v>
      </c>
      <c r="Y3043" t="s">
        <v>58</v>
      </c>
      <c r="Z3043" t="s">
        <v>58</v>
      </c>
      <c r="AA3043" t="s">
        <v>58</v>
      </c>
      <c r="AC3043" t="s">
        <v>58</v>
      </c>
      <c r="AE3043" t="s">
        <v>58</v>
      </c>
      <c r="AG3043" t="s">
        <v>63</v>
      </c>
      <c r="AH3043" s="11" t="str">
        <f t="shared" si="179"/>
        <v>mailto: soilterrain@victoria1.gov.bc.ca</v>
      </c>
    </row>
    <row r="3044" spans="1:34">
      <c r="A3044" t="s">
        <v>6439</v>
      </c>
      <c r="B3044" t="s">
        <v>56</v>
      </c>
      <c r="C3044" s="10" t="s">
        <v>5447</v>
      </c>
      <c r="D3044" t="s">
        <v>58</v>
      </c>
      <c r="E3044" t="s">
        <v>497</v>
      </c>
      <c r="F3044" t="s">
        <v>6364</v>
      </c>
      <c r="G3044">
        <v>20000</v>
      </c>
      <c r="H3044">
        <v>1971</v>
      </c>
      <c r="I3044" t="s">
        <v>58</v>
      </c>
      <c r="J3044" t="s">
        <v>58</v>
      </c>
      <c r="K3044" t="s">
        <v>58</v>
      </c>
      <c r="L3044" t="s">
        <v>58</v>
      </c>
      <c r="M3044" t="s">
        <v>58</v>
      </c>
      <c r="N3044" t="s">
        <v>61</v>
      </c>
      <c r="Q3044" t="s">
        <v>58</v>
      </c>
      <c r="R3044" s="11" t="str">
        <f>HYPERLINK("\\imagefiles.bcgov\imagery\scanned_maps\moe_terrain_maps\Scanned_T_maps_all\R20\R20-707","\\imagefiles.bcgov\imagery\scanned_maps\moe_terrain_maps\Scanned_T_maps_all\R20\R20-707")</f>
        <v>\\imagefiles.bcgov\imagery\scanned_maps\moe_terrain_maps\Scanned_T_maps_all\R20\R20-707</v>
      </c>
      <c r="S3044" t="s">
        <v>62</v>
      </c>
      <c r="T3044" s="11" t="str">
        <f>HYPERLINK("http://www.env.gov.bc.ca/esd/distdata/ecosystems/TEI_Scanned_Maps/R20/R20-707","http://www.env.gov.bc.ca/esd/distdata/ecosystems/TEI_Scanned_Maps/R20/R20-707")</f>
        <v>http://www.env.gov.bc.ca/esd/distdata/ecosystems/TEI_Scanned_Maps/R20/R20-707</v>
      </c>
      <c r="U3044" t="s">
        <v>3353</v>
      </c>
      <c r="V3044" s="11" t="str">
        <f t="shared" si="180"/>
        <v>http://www.env.gov.bc.ca/esd/distdata/ecosystems/Soil_Data/CAPAMP/</v>
      </c>
      <c r="W3044" t="s">
        <v>58</v>
      </c>
      <c r="X3044" t="s">
        <v>58</v>
      </c>
      <c r="Y3044" t="s">
        <v>58</v>
      </c>
      <c r="Z3044" t="s">
        <v>58</v>
      </c>
      <c r="AA3044" t="s">
        <v>58</v>
      </c>
      <c r="AC3044" t="s">
        <v>58</v>
      </c>
      <c r="AE3044" t="s">
        <v>58</v>
      </c>
      <c r="AG3044" t="s">
        <v>63</v>
      </c>
      <c r="AH3044" s="11" t="str">
        <f t="shared" si="179"/>
        <v>mailto: soilterrain@victoria1.gov.bc.ca</v>
      </c>
    </row>
    <row r="3045" spans="1:34">
      <c r="A3045" t="s">
        <v>6440</v>
      </c>
      <c r="B3045" t="s">
        <v>56</v>
      </c>
      <c r="C3045" s="10" t="s">
        <v>5449</v>
      </c>
      <c r="D3045" t="s">
        <v>58</v>
      </c>
      <c r="E3045" t="s">
        <v>497</v>
      </c>
      <c r="F3045" t="s">
        <v>6364</v>
      </c>
      <c r="G3045">
        <v>20000</v>
      </c>
      <c r="H3045">
        <v>1975</v>
      </c>
      <c r="I3045" t="s">
        <v>58</v>
      </c>
      <c r="J3045" t="s">
        <v>58</v>
      </c>
      <c r="K3045" t="s">
        <v>58</v>
      </c>
      <c r="L3045" t="s">
        <v>58</v>
      </c>
      <c r="M3045" t="s">
        <v>58</v>
      </c>
      <c r="N3045" t="s">
        <v>61</v>
      </c>
      <c r="Q3045" t="s">
        <v>58</v>
      </c>
      <c r="R3045" s="11" t="str">
        <f>HYPERLINK("\\imagefiles.bcgov\imagery\scanned_maps\moe_terrain_maps\Scanned_T_maps_all\R20\R20-715","\\imagefiles.bcgov\imagery\scanned_maps\moe_terrain_maps\Scanned_T_maps_all\R20\R20-715")</f>
        <v>\\imagefiles.bcgov\imagery\scanned_maps\moe_terrain_maps\Scanned_T_maps_all\R20\R20-715</v>
      </c>
      <c r="S3045" t="s">
        <v>62</v>
      </c>
      <c r="T3045" s="11" t="str">
        <f>HYPERLINK("http://www.env.gov.bc.ca/esd/distdata/ecosystems/TEI_Scanned_Maps/R20/R20-715","http://www.env.gov.bc.ca/esd/distdata/ecosystems/TEI_Scanned_Maps/R20/R20-715")</f>
        <v>http://www.env.gov.bc.ca/esd/distdata/ecosystems/TEI_Scanned_Maps/R20/R20-715</v>
      </c>
      <c r="U3045" t="s">
        <v>3353</v>
      </c>
      <c r="V3045" s="11" t="str">
        <f t="shared" si="180"/>
        <v>http://www.env.gov.bc.ca/esd/distdata/ecosystems/Soil_Data/CAPAMP/</v>
      </c>
      <c r="W3045" t="s">
        <v>58</v>
      </c>
      <c r="X3045" t="s">
        <v>58</v>
      </c>
      <c r="Y3045" t="s">
        <v>58</v>
      </c>
      <c r="Z3045" t="s">
        <v>58</v>
      </c>
      <c r="AA3045" t="s">
        <v>58</v>
      </c>
      <c r="AC3045" t="s">
        <v>58</v>
      </c>
      <c r="AE3045" t="s">
        <v>58</v>
      </c>
      <c r="AG3045" t="s">
        <v>63</v>
      </c>
      <c r="AH3045" s="11" t="str">
        <f t="shared" si="179"/>
        <v>mailto: soilterrain@victoria1.gov.bc.ca</v>
      </c>
    </row>
    <row r="3046" spans="1:34">
      <c r="A3046" t="s">
        <v>6441</v>
      </c>
      <c r="B3046" t="s">
        <v>56</v>
      </c>
      <c r="C3046" s="10" t="s">
        <v>4904</v>
      </c>
      <c r="D3046" t="s">
        <v>58</v>
      </c>
      <c r="E3046" t="s">
        <v>497</v>
      </c>
      <c r="F3046" t="s">
        <v>6364</v>
      </c>
      <c r="G3046">
        <v>20000</v>
      </c>
      <c r="H3046">
        <v>1974</v>
      </c>
      <c r="I3046" t="s">
        <v>58</v>
      </c>
      <c r="J3046" t="s">
        <v>58</v>
      </c>
      <c r="K3046" t="s">
        <v>58</v>
      </c>
      <c r="L3046" t="s">
        <v>58</v>
      </c>
      <c r="M3046" t="s">
        <v>58</v>
      </c>
      <c r="N3046" t="s">
        <v>61</v>
      </c>
      <c r="Q3046" t="s">
        <v>58</v>
      </c>
      <c r="R3046" s="11" t="str">
        <f>HYPERLINK("\\imagefiles.bcgov\imagery\scanned_maps\moe_terrain_maps\Scanned_T_maps_all\R20\R20-723","\\imagefiles.bcgov\imagery\scanned_maps\moe_terrain_maps\Scanned_T_maps_all\R20\R20-723")</f>
        <v>\\imagefiles.bcgov\imagery\scanned_maps\moe_terrain_maps\Scanned_T_maps_all\R20\R20-723</v>
      </c>
      <c r="S3046" t="s">
        <v>62</v>
      </c>
      <c r="T3046" s="11" t="str">
        <f>HYPERLINK("http://www.env.gov.bc.ca/esd/distdata/ecosystems/TEI_Scanned_Maps/R20/R20-723","http://www.env.gov.bc.ca/esd/distdata/ecosystems/TEI_Scanned_Maps/R20/R20-723")</f>
        <v>http://www.env.gov.bc.ca/esd/distdata/ecosystems/TEI_Scanned_Maps/R20/R20-723</v>
      </c>
      <c r="U3046" t="s">
        <v>3353</v>
      </c>
      <c r="V3046" s="11" t="str">
        <f t="shared" si="180"/>
        <v>http://www.env.gov.bc.ca/esd/distdata/ecosystems/Soil_Data/CAPAMP/</v>
      </c>
      <c r="W3046" t="s">
        <v>58</v>
      </c>
      <c r="X3046" t="s">
        <v>58</v>
      </c>
      <c r="Y3046" t="s">
        <v>58</v>
      </c>
      <c r="Z3046" t="s">
        <v>58</v>
      </c>
      <c r="AA3046" t="s">
        <v>58</v>
      </c>
      <c r="AC3046" t="s">
        <v>58</v>
      </c>
      <c r="AE3046" t="s">
        <v>58</v>
      </c>
      <c r="AG3046" t="s">
        <v>63</v>
      </c>
      <c r="AH3046" s="11" t="str">
        <f t="shared" si="179"/>
        <v>mailto: soilterrain@victoria1.gov.bc.ca</v>
      </c>
    </row>
    <row r="3047" spans="1:34">
      <c r="A3047" t="s">
        <v>6442</v>
      </c>
      <c r="B3047" t="s">
        <v>56</v>
      </c>
      <c r="C3047" s="10" t="s">
        <v>5452</v>
      </c>
      <c r="D3047" t="s">
        <v>58</v>
      </c>
      <c r="E3047" t="s">
        <v>497</v>
      </c>
      <c r="F3047" t="s">
        <v>6364</v>
      </c>
      <c r="G3047">
        <v>20000</v>
      </c>
      <c r="H3047">
        <v>1982</v>
      </c>
      <c r="I3047" t="s">
        <v>58</v>
      </c>
      <c r="J3047" t="s">
        <v>58</v>
      </c>
      <c r="K3047" t="s">
        <v>58</v>
      </c>
      <c r="L3047" t="s">
        <v>58</v>
      </c>
      <c r="M3047" t="s">
        <v>58</v>
      </c>
      <c r="N3047" t="s">
        <v>61</v>
      </c>
      <c r="Q3047" t="s">
        <v>58</v>
      </c>
      <c r="R3047" s="11" t="str">
        <f>HYPERLINK("\\imagefiles.bcgov\imagery\scanned_maps\moe_terrain_maps\Scanned_T_maps_all\R20\R20-730","\\imagefiles.bcgov\imagery\scanned_maps\moe_terrain_maps\Scanned_T_maps_all\R20\R20-730")</f>
        <v>\\imagefiles.bcgov\imagery\scanned_maps\moe_terrain_maps\Scanned_T_maps_all\R20\R20-730</v>
      </c>
      <c r="S3047" t="s">
        <v>62</v>
      </c>
      <c r="T3047" s="11" t="str">
        <f>HYPERLINK("http://www.env.gov.bc.ca/esd/distdata/ecosystems/TEI_Scanned_Maps/R20/R20-730","http://www.env.gov.bc.ca/esd/distdata/ecosystems/TEI_Scanned_Maps/R20/R20-730")</f>
        <v>http://www.env.gov.bc.ca/esd/distdata/ecosystems/TEI_Scanned_Maps/R20/R20-730</v>
      </c>
      <c r="U3047" t="s">
        <v>3353</v>
      </c>
      <c r="V3047" s="11" t="str">
        <f t="shared" si="180"/>
        <v>http://www.env.gov.bc.ca/esd/distdata/ecosystems/Soil_Data/CAPAMP/</v>
      </c>
      <c r="W3047" t="s">
        <v>58</v>
      </c>
      <c r="X3047" t="s">
        <v>58</v>
      </c>
      <c r="Y3047" t="s">
        <v>58</v>
      </c>
      <c r="Z3047" t="s">
        <v>58</v>
      </c>
      <c r="AA3047" t="s">
        <v>58</v>
      </c>
      <c r="AC3047" t="s">
        <v>58</v>
      </c>
      <c r="AE3047" t="s">
        <v>58</v>
      </c>
      <c r="AG3047" t="s">
        <v>63</v>
      </c>
      <c r="AH3047" s="11" t="str">
        <f t="shared" si="179"/>
        <v>mailto: soilterrain@victoria1.gov.bc.ca</v>
      </c>
    </row>
    <row r="3048" spans="1:34">
      <c r="A3048" t="s">
        <v>6443</v>
      </c>
      <c r="B3048" t="s">
        <v>56</v>
      </c>
      <c r="C3048" s="10" t="s">
        <v>5454</v>
      </c>
      <c r="D3048" t="s">
        <v>58</v>
      </c>
      <c r="E3048" t="s">
        <v>497</v>
      </c>
      <c r="F3048" t="s">
        <v>6364</v>
      </c>
      <c r="G3048">
        <v>20000</v>
      </c>
      <c r="H3048">
        <v>1982</v>
      </c>
      <c r="I3048" t="s">
        <v>58</v>
      </c>
      <c r="J3048" t="s">
        <v>58</v>
      </c>
      <c r="K3048" t="s">
        <v>58</v>
      </c>
      <c r="L3048" t="s">
        <v>58</v>
      </c>
      <c r="M3048" t="s">
        <v>58</v>
      </c>
      <c r="N3048" t="s">
        <v>61</v>
      </c>
      <c r="Q3048" t="s">
        <v>58</v>
      </c>
      <c r="R3048" s="11" t="str">
        <f>HYPERLINK("\\imagefiles.bcgov\imagery\scanned_maps\moe_terrain_maps\Scanned_T_maps_all\R20\R20-737","\\imagefiles.bcgov\imagery\scanned_maps\moe_terrain_maps\Scanned_T_maps_all\R20\R20-737")</f>
        <v>\\imagefiles.bcgov\imagery\scanned_maps\moe_terrain_maps\Scanned_T_maps_all\R20\R20-737</v>
      </c>
      <c r="S3048" t="s">
        <v>62</v>
      </c>
      <c r="T3048" s="11" t="str">
        <f>HYPERLINK("http://www.env.gov.bc.ca/esd/distdata/ecosystems/TEI_Scanned_Maps/R20/R20-737","http://www.env.gov.bc.ca/esd/distdata/ecosystems/TEI_Scanned_Maps/R20/R20-737")</f>
        <v>http://www.env.gov.bc.ca/esd/distdata/ecosystems/TEI_Scanned_Maps/R20/R20-737</v>
      </c>
      <c r="U3048" t="s">
        <v>3353</v>
      </c>
      <c r="V3048" s="11" t="str">
        <f t="shared" si="180"/>
        <v>http://www.env.gov.bc.ca/esd/distdata/ecosystems/Soil_Data/CAPAMP/</v>
      </c>
      <c r="W3048" t="s">
        <v>58</v>
      </c>
      <c r="X3048" t="s">
        <v>58</v>
      </c>
      <c r="Y3048" t="s">
        <v>58</v>
      </c>
      <c r="Z3048" t="s">
        <v>58</v>
      </c>
      <c r="AA3048" t="s">
        <v>58</v>
      </c>
      <c r="AC3048" t="s">
        <v>58</v>
      </c>
      <c r="AE3048" t="s">
        <v>58</v>
      </c>
      <c r="AG3048" t="s">
        <v>63</v>
      </c>
      <c r="AH3048" s="11" t="str">
        <f t="shared" si="179"/>
        <v>mailto: soilterrain@victoria1.gov.bc.ca</v>
      </c>
    </row>
    <row r="3049" spans="1:34">
      <c r="A3049" t="s">
        <v>6444</v>
      </c>
      <c r="B3049" t="s">
        <v>56</v>
      </c>
      <c r="C3049" s="10" t="s">
        <v>5456</v>
      </c>
      <c r="D3049" t="s">
        <v>58</v>
      </c>
      <c r="E3049" t="s">
        <v>497</v>
      </c>
      <c r="F3049" t="s">
        <v>6364</v>
      </c>
      <c r="G3049">
        <v>20000</v>
      </c>
      <c r="H3049">
        <v>1970</v>
      </c>
      <c r="I3049" t="s">
        <v>58</v>
      </c>
      <c r="J3049" t="s">
        <v>58</v>
      </c>
      <c r="K3049" t="s">
        <v>58</v>
      </c>
      <c r="L3049" t="s">
        <v>58</v>
      </c>
      <c r="M3049" t="s">
        <v>58</v>
      </c>
      <c r="N3049" t="s">
        <v>61</v>
      </c>
      <c r="Q3049" t="s">
        <v>58</v>
      </c>
      <c r="R3049" s="11" t="str">
        <f>HYPERLINK("\\imagefiles.bcgov\imagery\scanned_maps\moe_terrain_maps\Scanned_T_maps_all\R20\R20-744","\\imagefiles.bcgov\imagery\scanned_maps\moe_terrain_maps\Scanned_T_maps_all\R20\R20-744")</f>
        <v>\\imagefiles.bcgov\imagery\scanned_maps\moe_terrain_maps\Scanned_T_maps_all\R20\R20-744</v>
      </c>
      <c r="S3049" t="s">
        <v>62</v>
      </c>
      <c r="T3049" s="11" t="str">
        <f>HYPERLINK("http://www.env.gov.bc.ca/esd/distdata/ecosystems/TEI_Scanned_Maps/R20/R20-744","http://www.env.gov.bc.ca/esd/distdata/ecosystems/TEI_Scanned_Maps/R20/R20-744")</f>
        <v>http://www.env.gov.bc.ca/esd/distdata/ecosystems/TEI_Scanned_Maps/R20/R20-744</v>
      </c>
      <c r="U3049" t="s">
        <v>3353</v>
      </c>
      <c r="V3049" s="11" t="str">
        <f t="shared" si="180"/>
        <v>http://www.env.gov.bc.ca/esd/distdata/ecosystems/Soil_Data/CAPAMP/</v>
      </c>
      <c r="W3049" t="s">
        <v>58</v>
      </c>
      <c r="X3049" t="s">
        <v>58</v>
      </c>
      <c r="Y3049" t="s">
        <v>58</v>
      </c>
      <c r="Z3049" t="s">
        <v>58</v>
      </c>
      <c r="AA3049" t="s">
        <v>58</v>
      </c>
      <c r="AC3049" t="s">
        <v>58</v>
      </c>
      <c r="AE3049" t="s">
        <v>58</v>
      </c>
      <c r="AG3049" t="s">
        <v>63</v>
      </c>
      <c r="AH3049" s="11" t="str">
        <f t="shared" si="179"/>
        <v>mailto: soilterrain@victoria1.gov.bc.ca</v>
      </c>
    </row>
    <row r="3050" spans="1:34">
      <c r="A3050" t="s">
        <v>6445</v>
      </c>
      <c r="B3050" t="s">
        <v>56</v>
      </c>
      <c r="C3050" s="10" t="s">
        <v>5473</v>
      </c>
      <c r="D3050" t="s">
        <v>58</v>
      </c>
      <c r="E3050" t="s">
        <v>497</v>
      </c>
      <c r="F3050" t="s">
        <v>6446</v>
      </c>
      <c r="G3050">
        <v>25000</v>
      </c>
      <c r="H3050">
        <v>1972</v>
      </c>
      <c r="I3050" t="s">
        <v>58</v>
      </c>
      <c r="J3050" t="s">
        <v>58</v>
      </c>
      <c r="K3050" t="s">
        <v>58</v>
      </c>
      <c r="L3050" t="s">
        <v>58</v>
      </c>
      <c r="M3050" t="s">
        <v>58</v>
      </c>
      <c r="N3050" t="s">
        <v>61</v>
      </c>
      <c r="Q3050" t="s">
        <v>58</v>
      </c>
      <c r="R3050" s="11" t="str">
        <f>HYPERLINK("\\imagefiles.bcgov\imagery\scanned_maps\moe_terrain_maps\Scanned_T_maps_all\R21\R21-1500","\\imagefiles.bcgov\imagery\scanned_maps\moe_terrain_maps\Scanned_T_maps_all\R21\R21-1500")</f>
        <v>\\imagefiles.bcgov\imagery\scanned_maps\moe_terrain_maps\Scanned_T_maps_all\R21\R21-1500</v>
      </c>
      <c r="S3050" t="s">
        <v>62</v>
      </c>
      <c r="T3050" s="11" t="str">
        <f>HYPERLINK("http://www.env.gov.bc.ca/esd/distdata/ecosystems/TEI_Scanned_Maps/R21/R21-1500","http://www.env.gov.bc.ca/esd/distdata/ecosystems/TEI_Scanned_Maps/R21/R21-1500")</f>
        <v>http://www.env.gov.bc.ca/esd/distdata/ecosystems/TEI_Scanned_Maps/R21/R21-1500</v>
      </c>
      <c r="U3050" t="s">
        <v>3353</v>
      </c>
      <c r="V3050" s="11" t="str">
        <f t="shared" si="180"/>
        <v>http://www.env.gov.bc.ca/esd/distdata/ecosystems/Soil_Data/CAPAMP/</v>
      </c>
      <c r="W3050" t="s">
        <v>58</v>
      </c>
      <c r="X3050" t="s">
        <v>58</v>
      </c>
      <c r="Y3050" t="s">
        <v>58</v>
      </c>
      <c r="Z3050" t="s">
        <v>58</v>
      </c>
      <c r="AA3050" t="s">
        <v>58</v>
      </c>
      <c r="AC3050" t="s">
        <v>58</v>
      </c>
      <c r="AE3050" t="s">
        <v>58</v>
      </c>
      <c r="AG3050" t="s">
        <v>63</v>
      </c>
      <c r="AH3050" s="11" t="str">
        <f t="shared" si="179"/>
        <v>mailto: soilterrain@victoria1.gov.bc.ca</v>
      </c>
    </row>
    <row r="3051" spans="1:34">
      <c r="A3051" t="s">
        <v>6447</v>
      </c>
      <c r="B3051" t="s">
        <v>56</v>
      </c>
      <c r="C3051" s="10" t="s">
        <v>5476</v>
      </c>
      <c r="D3051" t="s">
        <v>58</v>
      </c>
      <c r="E3051" t="s">
        <v>497</v>
      </c>
      <c r="F3051" t="s">
        <v>6448</v>
      </c>
      <c r="G3051">
        <v>25000</v>
      </c>
      <c r="H3051">
        <v>1970</v>
      </c>
      <c r="I3051" t="s">
        <v>58</v>
      </c>
      <c r="J3051" t="s">
        <v>58</v>
      </c>
      <c r="K3051" t="s">
        <v>58</v>
      </c>
      <c r="L3051" t="s">
        <v>58</v>
      </c>
      <c r="M3051" t="s">
        <v>58</v>
      </c>
      <c r="N3051" t="s">
        <v>61</v>
      </c>
      <c r="Q3051" t="s">
        <v>58</v>
      </c>
      <c r="R3051" s="11" t="str">
        <f>HYPERLINK("\\imagefiles.bcgov\imagery\scanned_maps\moe_terrain_maps\Scanned_T_maps_all\R21\R21-1505","\\imagefiles.bcgov\imagery\scanned_maps\moe_terrain_maps\Scanned_T_maps_all\R21\R21-1505")</f>
        <v>\\imagefiles.bcgov\imagery\scanned_maps\moe_terrain_maps\Scanned_T_maps_all\R21\R21-1505</v>
      </c>
      <c r="S3051" t="s">
        <v>62</v>
      </c>
      <c r="T3051" s="11" t="str">
        <f>HYPERLINK("http://www.env.gov.bc.ca/esd/distdata/ecosystems/TEI_Scanned_Maps/R21/R21-1505","http://www.env.gov.bc.ca/esd/distdata/ecosystems/TEI_Scanned_Maps/R21/R21-1505")</f>
        <v>http://www.env.gov.bc.ca/esd/distdata/ecosystems/TEI_Scanned_Maps/R21/R21-1505</v>
      </c>
      <c r="U3051" t="s">
        <v>3353</v>
      </c>
      <c r="V3051" s="11" t="str">
        <f t="shared" si="180"/>
        <v>http://www.env.gov.bc.ca/esd/distdata/ecosystems/Soil_Data/CAPAMP/</v>
      </c>
      <c r="W3051" t="s">
        <v>58</v>
      </c>
      <c r="X3051" t="s">
        <v>58</v>
      </c>
      <c r="Y3051" t="s">
        <v>58</v>
      </c>
      <c r="Z3051" t="s">
        <v>58</v>
      </c>
      <c r="AA3051" t="s">
        <v>58</v>
      </c>
      <c r="AC3051" t="s">
        <v>58</v>
      </c>
      <c r="AE3051" t="s">
        <v>58</v>
      </c>
      <c r="AG3051" t="s">
        <v>63</v>
      </c>
      <c r="AH3051" s="11" t="str">
        <f t="shared" si="179"/>
        <v>mailto: soilterrain@victoria1.gov.bc.ca</v>
      </c>
    </row>
    <row r="3052" spans="1:34">
      <c r="A3052" t="s">
        <v>6449</v>
      </c>
      <c r="B3052" t="s">
        <v>56</v>
      </c>
      <c r="C3052" s="10" t="s">
        <v>5479</v>
      </c>
      <c r="D3052" t="s">
        <v>58</v>
      </c>
      <c r="E3052" t="s">
        <v>497</v>
      </c>
      <c r="F3052" t="s">
        <v>6450</v>
      </c>
      <c r="G3052">
        <v>25000</v>
      </c>
      <c r="H3052">
        <v>1972</v>
      </c>
      <c r="I3052" t="s">
        <v>58</v>
      </c>
      <c r="J3052" t="s">
        <v>58</v>
      </c>
      <c r="K3052" t="s">
        <v>58</v>
      </c>
      <c r="L3052" t="s">
        <v>58</v>
      </c>
      <c r="M3052" t="s">
        <v>58</v>
      </c>
      <c r="N3052" t="s">
        <v>61</v>
      </c>
      <c r="Q3052" t="s">
        <v>58</v>
      </c>
      <c r="R3052" s="11" t="str">
        <f>HYPERLINK("\\imagefiles.bcgov\imagery\scanned_maps\moe_terrain_maps\Scanned_T_maps_all\R21\R21-1510","\\imagefiles.bcgov\imagery\scanned_maps\moe_terrain_maps\Scanned_T_maps_all\R21\R21-1510")</f>
        <v>\\imagefiles.bcgov\imagery\scanned_maps\moe_terrain_maps\Scanned_T_maps_all\R21\R21-1510</v>
      </c>
      <c r="S3052" t="s">
        <v>62</v>
      </c>
      <c r="T3052" s="11" t="str">
        <f>HYPERLINK("http://www.env.gov.bc.ca/esd/distdata/ecosystems/TEI_Scanned_Maps/R21/R21-1510","http://www.env.gov.bc.ca/esd/distdata/ecosystems/TEI_Scanned_Maps/R21/R21-1510")</f>
        <v>http://www.env.gov.bc.ca/esd/distdata/ecosystems/TEI_Scanned_Maps/R21/R21-1510</v>
      </c>
      <c r="U3052" t="s">
        <v>3353</v>
      </c>
      <c r="V3052" s="11" t="str">
        <f t="shared" si="180"/>
        <v>http://www.env.gov.bc.ca/esd/distdata/ecosystems/Soil_Data/CAPAMP/</v>
      </c>
      <c r="W3052" t="s">
        <v>58</v>
      </c>
      <c r="X3052" t="s">
        <v>58</v>
      </c>
      <c r="Y3052" t="s">
        <v>58</v>
      </c>
      <c r="Z3052" t="s">
        <v>58</v>
      </c>
      <c r="AA3052" t="s">
        <v>58</v>
      </c>
      <c r="AC3052" t="s">
        <v>58</v>
      </c>
      <c r="AE3052" t="s">
        <v>58</v>
      </c>
      <c r="AG3052" t="s">
        <v>63</v>
      </c>
      <c r="AH3052" s="11" t="str">
        <f t="shared" si="179"/>
        <v>mailto: soilterrain@victoria1.gov.bc.ca</v>
      </c>
    </row>
    <row r="3053" spans="1:34">
      <c r="A3053" t="s">
        <v>6451</v>
      </c>
      <c r="B3053" t="s">
        <v>56</v>
      </c>
      <c r="C3053" s="10" t="s">
        <v>5482</v>
      </c>
      <c r="D3053" t="s">
        <v>58</v>
      </c>
      <c r="E3053" t="s">
        <v>497</v>
      </c>
      <c r="F3053" t="s">
        <v>6452</v>
      </c>
      <c r="G3053">
        <v>25000</v>
      </c>
      <c r="H3053">
        <v>1970</v>
      </c>
      <c r="I3053" t="s">
        <v>58</v>
      </c>
      <c r="J3053" t="s">
        <v>58</v>
      </c>
      <c r="K3053" t="s">
        <v>58</v>
      </c>
      <c r="L3053" t="s">
        <v>58</v>
      </c>
      <c r="M3053" t="s">
        <v>58</v>
      </c>
      <c r="N3053" t="s">
        <v>61</v>
      </c>
      <c r="Q3053" t="s">
        <v>58</v>
      </c>
      <c r="R3053" s="11" t="str">
        <f>HYPERLINK("\\imagefiles.bcgov\imagery\scanned_maps\moe_terrain_maps\Scanned_T_maps_all\R21\R21-1515","\\imagefiles.bcgov\imagery\scanned_maps\moe_terrain_maps\Scanned_T_maps_all\R21\R21-1515")</f>
        <v>\\imagefiles.bcgov\imagery\scanned_maps\moe_terrain_maps\Scanned_T_maps_all\R21\R21-1515</v>
      </c>
      <c r="S3053" t="s">
        <v>62</v>
      </c>
      <c r="T3053" s="11" t="str">
        <f>HYPERLINK("http://www.env.gov.bc.ca/esd/distdata/ecosystems/TEI_Scanned_Maps/R21/R21-1515","http://www.env.gov.bc.ca/esd/distdata/ecosystems/TEI_Scanned_Maps/R21/R21-1515")</f>
        <v>http://www.env.gov.bc.ca/esd/distdata/ecosystems/TEI_Scanned_Maps/R21/R21-1515</v>
      </c>
      <c r="U3053" t="s">
        <v>3353</v>
      </c>
      <c r="V3053" s="11" t="str">
        <f t="shared" si="180"/>
        <v>http://www.env.gov.bc.ca/esd/distdata/ecosystems/Soil_Data/CAPAMP/</v>
      </c>
      <c r="W3053" t="s">
        <v>58</v>
      </c>
      <c r="X3053" t="s">
        <v>58</v>
      </c>
      <c r="Y3053" t="s">
        <v>58</v>
      </c>
      <c r="Z3053" t="s">
        <v>58</v>
      </c>
      <c r="AA3053" t="s">
        <v>58</v>
      </c>
      <c r="AC3053" t="s">
        <v>58</v>
      </c>
      <c r="AE3053" t="s">
        <v>58</v>
      </c>
      <c r="AG3053" t="s">
        <v>63</v>
      </c>
      <c r="AH3053" s="11" t="str">
        <f t="shared" si="179"/>
        <v>mailto: soilterrain@victoria1.gov.bc.ca</v>
      </c>
    </row>
    <row r="3054" spans="1:34">
      <c r="A3054" t="s">
        <v>6453</v>
      </c>
      <c r="B3054" t="s">
        <v>56</v>
      </c>
      <c r="C3054" s="10" t="s">
        <v>5485</v>
      </c>
      <c r="D3054" t="s">
        <v>58</v>
      </c>
      <c r="E3054" t="s">
        <v>497</v>
      </c>
      <c r="F3054" t="s">
        <v>6454</v>
      </c>
      <c r="G3054">
        <v>25000</v>
      </c>
      <c r="H3054">
        <v>1972</v>
      </c>
      <c r="I3054" t="s">
        <v>58</v>
      </c>
      <c r="J3054" t="s">
        <v>58</v>
      </c>
      <c r="K3054" t="s">
        <v>58</v>
      </c>
      <c r="L3054" t="s">
        <v>58</v>
      </c>
      <c r="M3054" t="s">
        <v>58</v>
      </c>
      <c r="N3054" t="s">
        <v>61</v>
      </c>
      <c r="Q3054" t="s">
        <v>58</v>
      </c>
      <c r="R3054" s="11" t="str">
        <f>HYPERLINK("\\imagefiles.bcgov\imagery\scanned_maps\moe_terrain_maps\Scanned_T_maps_all\R21\R21-1520","\\imagefiles.bcgov\imagery\scanned_maps\moe_terrain_maps\Scanned_T_maps_all\R21\R21-1520")</f>
        <v>\\imagefiles.bcgov\imagery\scanned_maps\moe_terrain_maps\Scanned_T_maps_all\R21\R21-1520</v>
      </c>
      <c r="S3054" t="s">
        <v>62</v>
      </c>
      <c r="T3054" s="11" t="str">
        <f>HYPERLINK("http://www.env.gov.bc.ca/esd/distdata/ecosystems/TEI_Scanned_Maps/R21/R21-1520","http://www.env.gov.bc.ca/esd/distdata/ecosystems/TEI_Scanned_Maps/R21/R21-1520")</f>
        <v>http://www.env.gov.bc.ca/esd/distdata/ecosystems/TEI_Scanned_Maps/R21/R21-1520</v>
      </c>
      <c r="U3054" t="s">
        <v>3353</v>
      </c>
      <c r="V3054" s="11" t="str">
        <f t="shared" si="180"/>
        <v>http://www.env.gov.bc.ca/esd/distdata/ecosystems/Soil_Data/CAPAMP/</v>
      </c>
      <c r="W3054" t="s">
        <v>58</v>
      </c>
      <c r="X3054" t="s">
        <v>58</v>
      </c>
      <c r="Y3054" t="s">
        <v>58</v>
      </c>
      <c r="Z3054" t="s">
        <v>58</v>
      </c>
      <c r="AA3054" t="s">
        <v>58</v>
      </c>
      <c r="AC3054" t="s">
        <v>58</v>
      </c>
      <c r="AE3054" t="s">
        <v>58</v>
      </c>
      <c r="AG3054" t="s">
        <v>63</v>
      </c>
      <c r="AH3054" s="11" t="str">
        <f t="shared" si="179"/>
        <v>mailto: soilterrain@victoria1.gov.bc.ca</v>
      </c>
    </row>
    <row r="3055" spans="1:34">
      <c r="A3055" t="s">
        <v>6455</v>
      </c>
      <c r="B3055" t="s">
        <v>56</v>
      </c>
      <c r="C3055" s="10" t="s">
        <v>5488</v>
      </c>
      <c r="D3055" t="s">
        <v>58</v>
      </c>
      <c r="E3055" t="s">
        <v>497</v>
      </c>
      <c r="F3055" t="s">
        <v>6456</v>
      </c>
      <c r="G3055">
        <v>25000</v>
      </c>
      <c r="H3055">
        <v>1970</v>
      </c>
      <c r="I3055" t="s">
        <v>58</v>
      </c>
      <c r="J3055" t="s">
        <v>58</v>
      </c>
      <c r="K3055" t="s">
        <v>58</v>
      </c>
      <c r="L3055" t="s">
        <v>58</v>
      </c>
      <c r="M3055" t="s">
        <v>58</v>
      </c>
      <c r="N3055" t="s">
        <v>61</v>
      </c>
      <c r="Q3055" t="s">
        <v>58</v>
      </c>
      <c r="R3055" s="11" t="str">
        <f>HYPERLINK("\\imagefiles.bcgov\imagery\scanned_maps\moe_terrain_maps\Scanned_T_maps_all\R21\R21-1525","\\imagefiles.bcgov\imagery\scanned_maps\moe_terrain_maps\Scanned_T_maps_all\R21\R21-1525")</f>
        <v>\\imagefiles.bcgov\imagery\scanned_maps\moe_terrain_maps\Scanned_T_maps_all\R21\R21-1525</v>
      </c>
      <c r="S3055" t="s">
        <v>62</v>
      </c>
      <c r="T3055" s="11" t="str">
        <f>HYPERLINK("http://www.env.gov.bc.ca/esd/distdata/ecosystems/TEI_Scanned_Maps/R21/R21-1525","http://www.env.gov.bc.ca/esd/distdata/ecosystems/TEI_Scanned_Maps/R21/R21-1525")</f>
        <v>http://www.env.gov.bc.ca/esd/distdata/ecosystems/TEI_Scanned_Maps/R21/R21-1525</v>
      </c>
      <c r="U3055" t="s">
        <v>3353</v>
      </c>
      <c r="V3055" s="11" t="str">
        <f t="shared" si="180"/>
        <v>http://www.env.gov.bc.ca/esd/distdata/ecosystems/Soil_Data/CAPAMP/</v>
      </c>
      <c r="W3055" t="s">
        <v>58</v>
      </c>
      <c r="X3055" t="s">
        <v>58</v>
      </c>
      <c r="Y3055" t="s">
        <v>58</v>
      </c>
      <c r="Z3055" t="s">
        <v>58</v>
      </c>
      <c r="AA3055" t="s">
        <v>58</v>
      </c>
      <c r="AC3055" t="s">
        <v>58</v>
      </c>
      <c r="AE3055" t="s">
        <v>58</v>
      </c>
      <c r="AG3055" t="s">
        <v>63</v>
      </c>
      <c r="AH3055" s="11" t="str">
        <f t="shared" si="179"/>
        <v>mailto: soilterrain@victoria1.gov.bc.ca</v>
      </c>
    </row>
    <row r="3056" spans="1:34">
      <c r="A3056" t="s">
        <v>6457</v>
      </c>
      <c r="B3056" t="s">
        <v>56</v>
      </c>
      <c r="C3056" s="10" t="s">
        <v>5491</v>
      </c>
      <c r="D3056" t="s">
        <v>58</v>
      </c>
      <c r="E3056" t="s">
        <v>497</v>
      </c>
      <c r="F3056" t="s">
        <v>6458</v>
      </c>
      <c r="G3056">
        <v>25000</v>
      </c>
      <c r="H3056">
        <v>1972</v>
      </c>
      <c r="I3056" t="s">
        <v>58</v>
      </c>
      <c r="J3056" t="s">
        <v>58</v>
      </c>
      <c r="K3056" t="s">
        <v>58</v>
      </c>
      <c r="L3056" t="s">
        <v>58</v>
      </c>
      <c r="M3056" t="s">
        <v>58</v>
      </c>
      <c r="N3056" t="s">
        <v>61</v>
      </c>
      <c r="Q3056" t="s">
        <v>58</v>
      </c>
      <c r="R3056" s="11" t="str">
        <f>HYPERLINK("\\imagefiles.bcgov\imagery\scanned_maps\moe_terrain_maps\Scanned_T_maps_all\R21\R21-1530","\\imagefiles.bcgov\imagery\scanned_maps\moe_terrain_maps\Scanned_T_maps_all\R21\R21-1530")</f>
        <v>\\imagefiles.bcgov\imagery\scanned_maps\moe_terrain_maps\Scanned_T_maps_all\R21\R21-1530</v>
      </c>
      <c r="S3056" t="s">
        <v>62</v>
      </c>
      <c r="T3056" s="11" t="str">
        <f>HYPERLINK("http://www.env.gov.bc.ca/esd/distdata/ecosystems/TEI_Scanned_Maps/R21/R21-1530","http://www.env.gov.bc.ca/esd/distdata/ecosystems/TEI_Scanned_Maps/R21/R21-1530")</f>
        <v>http://www.env.gov.bc.ca/esd/distdata/ecosystems/TEI_Scanned_Maps/R21/R21-1530</v>
      </c>
      <c r="U3056" t="s">
        <v>3353</v>
      </c>
      <c r="V3056" s="11" t="str">
        <f t="shared" si="180"/>
        <v>http://www.env.gov.bc.ca/esd/distdata/ecosystems/Soil_Data/CAPAMP/</v>
      </c>
      <c r="W3056" t="s">
        <v>58</v>
      </c>
      <c r="X3056" t="s">
        <v>58</v>
      </c>
      <c r="Y3056" t="s">
        <v>58</v>
      </c>
      <c r="Z3056" t="s">
        <v>58</v>
      </c>
      <c r="AA3056" t="s">
        <v>58</v>
      </c>
      <c r="AC3056" t="s">
        <v>58</v>
      </c>
      <c r="AE3056" t="s">
        <v>58</v>
      </c>
      <c r="AG3056" t="s">
        <v>63</v>
      </c>
      <c r="AH3056" s="11" t="str">
        <f t="shared" si="179"/>
        <v>mailto: soilterrain@victoria1.gov.bc.ca</v>
      </c>
    </row>
    <row r="3057" spans="1:34">
      <c r="A3057" t="s">
        <v>6459</v>
      </c>
      <c r="B3057" t="s">
        <v>56</v>
      </c>
      <c r="C3057" s="10" t="s">
        <v>5494</v>
      </c>
      <c r="D3057" t="s">
        <v>58</v>
      </c>
      <c r="E3057" t="s">
        <v>497</v>
      </c>
      <c r="F3057" t="s">
        <v>6460</v>
      </c>
      <c r="G3057">
        <v>25000</v>
      </c>
      <c r="H3057">
        <v>1982</v>
      </c>
      <c r="I3057" t="s">
        <v>58</v>
      </c>
      <c r="J3057" t="s">
        <v>58</v>
      </c>
      <c r="K3057" t="s">
        <v>58</v>
      </c>
      <c r="L3057" t="s">
        <v>58</v>
      </c>
      <c r="M3057" t="s">
        <v>58</v>
      </c>
      <c r="N3057" t="s">
        <v>61</v>
      </c>
      <c r="Q3057" t="s">
        <v>58</v>
      </c>
      <c r="R3057" s="11" t="str">
        <f>HYPERLINK("\\imagefiles.bcgov\imagery\scanned_maps\moe_terrain_maps\Scanned_T_maps_all\R21\R21-1535","\\imagefiles.bcgov\imagery\scanned_maps\moe_terrain_maps\Scanned_T_maps_all\R21\R21-1535")</f>
        <v>\\imagefiles.bcgov\imagery\scanned_maps\moe_terrain_maps\Scanned_T_maps_all\R21\R21-1535</v>
      </c>
      <c r="S3057" t="s">
        <v>62</v>
      </c>
      <c r="T3057" s="11" t="str">
        <f>HYPERLINK("http://www.env.gov.bc.ca/esd/distdata/ecosystems/TEI_Scanned_Maps/R21/R21-1535","http://www.env.gov.bc.ca/esd/distdata/ecosystems/TEI_Scanned_Maps/R21/R21-1535")</f>
        <v>http://www.env.gov.bc.ca/esd/distdata/ecosystems/TEI_Scanned_Maps/R21/R21-1535</v>
      </c>
      <c r="U3057" t="s">
        <v>3353</v>
      </c>
      <c r="V3057" s="11" t="str">
        <f t="shared" si="180"/>
        <v>http://www.env.gov.bc.ca/esd/distdata/ecosystems/Soil_Data/CAPAMP/</v>
      </c>
      <c r="W3057" t="s">
        <v>58</v>
      </c>
      <c r="X3057" t="s">
        <v>58</v>
      </c>
      <c r="Y3057" t="s">
        <v>58</v>
      </c>
      <c r="Z3057" t="s">
        <v>58</v>
      </c>
      <c r="AA3057" t="s">
        <v>58</v>
      </c>
      <c r="AC3057" t="s">
        <v>58</v>
      </c>
      <c r="AE3057" t="s">
        <v>58</v>
      </c>
      <c r="AG3057" t="s">
        <v>63</v>
      </c>
      <c r="AH3057" s="11" t="str">
        <f t="shared" si="179"/>
        <v>mailto: soilterrain@victoria1.gov.bc.ca</v>
      </c>
    </row>
    <row r="3058" spans="1:34">
      <c r="A3058" t="s">
        <v>6461</v>
      </c>
      <c r="B3058" t="s">
        <v>56</v>
      </c>
      <c r="C3058" s="10" t="s">
        <v>5497</v>
      </c>
      <c r="D3058" t="s">
        <v>58</v>
      </c>
      <c r="E3058" t="s">
        <v>497</v>
      </c>
      <c r="F3058" t="s">
        <v>6462</v>
      </c>
      <c r="G3058">
        <v>25000</v>
      </c>
      <c r="H3058">
        <v>1982</v>
      </c>
      <c r="I3058" t="s">
        <v>58</v>
      </c>
      <c r="J3058" t="s">
        <v>58</v>
      </c>
      <c r="K3058" t="s">
        <v>58</v>
      </c>
      <c r="L3058" t="s">
        <v>58</v>
      </c>
      <c r="M3058" t="s">
        <v>58</v>
      </c>
      <c r="N3058" t="s">
        <v>61</v>
      </c>
      <c r="Q3058" t="s">
        <v>58</v>
      </c>
      <c r="R3058" s="11" t="str">
        <f>HYPERLINK("\\imagefiles.bcgov\imagery\scanned_maps\moe_terrain_maps\Scanned_T_maps_all\R21\R21-1540","\\imagefiles.bcgov\imagery\scanned_maps\moe_terrain_maps\Scanned_T_maps_all\R21\R21-1540")</f>
        <v>\\imagefiles.bcgov\imagery\scanned_maps\moe_terrain_maps\Scanned_T_maps_all\R21\R21-1540</v>
      </c>
      <c r="S3058" t="s">
        <v>62</v>
      </c>
      <c r="T3058" s="11" t="str">
        <f>HYPERLINK("http://www.env.gov.bc.ca/esd/distdata/ecosystems/TEI_Scanned_Maps/R21/R21-1540","http://www.env.gov.bc.ca/esd/distdata/ecosystems/TEI_Scanned_Maps/R21/R21-1540")</f>
        <v>http://www.env.gov.bc.ca/esd/distdata/ecosystems/TEI_Scanned_Maps/R21/R21-1540</v>
      </c>
      <c r="U3058" t="s">
        <v>3353</v>
      </c>
      <c r="V3058" s="11" t="str">
        <f t="shared" si="180"/>
        <v>http://www.env.gov.bc.ca/esd/distdata/ecosystems/Soil_Data/CAPAMP/</v>
      </c>
      <c r="W3058" t="s">
        <v>58</v>
      </c>
      <c r="X3058" t="s">
        <v>58</v>
      </c>
      <c r="Y3058" t="s">
        <v>58</v>
      </c>
      <c r="Z3058" t="s">
        <v>58</v>
      </c>
      <c r="AA3058" t="s">
        <v>58</v>
      </c>
      <c r="AC3058" t="s">
        <v>58</v>
      </c>
      <c r="AE3058" t="s">
        <v>58</v>
      </c>
      <c r="AG3058" t="s">
        <v>63</v>
      </c>
      <c r="AH3058" s="11" t="str">
        <f t="shared" si="179"/>
        <v>mailto: soilterrain@victoria1.gov.bc.ca</v>
      </c>
    </row>
    <row r="3059" spans="1:34">
      <c r="A3059" t="s">
        <v>6463</v>
      </c>
      <c r="B3059" t="s">
        <v>56</v>
      </c>
      <c r="C3059" s="10" t="s">
        <v>977</v>
      </c>
      <c r="D3059" t="s">
        <v>61</v>
      </c>
      <c r="E3059" t="s">
        <v>6464</v>
      </c>
      <c r="F3059" t="s">
        <v>6465</v>
      </c>
      <c r="G3059">
        <v>125000</v>
      </c>
      <c r="H3059">
        <v>1975</v>
      </c>
      <c r="I3059" t="s">
        <v>58</v>
      </c>
      <c r="J3059" t="s">
        <v>61</v>
      </c>
      <c r="K3059" t="s">
        <v>58</v>
      </c>
      <c r="L3059" t="s">
        <v>58</v>
      </c>
      <c r="M3059" t="s">
        <v>58</v>
      </c>
      <c r="P3059" t="s">
        <v>61</v>
      </c>
      <c r="Q3059" t="s">
        <v>58</v>
      </c>
      <c r="R3059" s="11" t="str">
        <f>HYPERLINK("\\imagefiles.bcgov\imagery\scanned_maps\moe_terrain_maps\Scanned_T_maps_all\T07\T07-2467","\\imagefiles.bcgov\imagery\scanned_maps\moe_terrain_maps\Scanned_T_maps_all\T07\T07-2467")</f>
        <v>\\imagefiles.bcgov\imagery\scanned_maps\moe_terrain_maps\Scanned_T_maps_all\T07\T07-2467</v>
      </c>
      <c r="S3059" t="s">
        <v>62</v>
      </c>
      <c r="T3059" s="11" t="str">
        <f>HYPERLINK("http://www.env.gov.bc.ca/esd/distdata/ecosystems/TEI_Scanned_Maps/T07/T07-2467","http://www.env.gov.bc.ca/esd/distdata/ecosystems/TEI_Scanned_Maps/T07/T07-2467")</f>
        <v>http://www.env.gov.bc.ca/esd/distdata/ecosystems/TEI_Scanned_Maps/T07/T07-2467</v>
      </c>
      <c r="U3059" t="s">
        <v>58</v>
      </c>
      <c r="V3059" t="s">
        <v>58</v>
      </c>
      <c r="W3059" t="s">
        <v>58</v>
      </c>
      <c r="X3059" t="s">
        <v>58</v>
      </c>
      <c r="Y3059" t="s">
        <v>58</v>
      </c>
      <c r="Z3059" t="s">
        <v>58</v>
      </c>
      <c r="AA3059" t="s">
        <v>58</v>
      </c>
      <c r="AC3059" t="s">
        <v>58</v>
      </c>
      <c r="AE3059" t="s">
        <v>58</v>
      </c>
      <c r="AG3059" t="s">
        <v>63</v>
      </c>
      <c r="AH3059" s="11" t="str">
        <f t="shared" si="179"/>
        <v>mailto: soilterrain@victoria1.gov.bc.ca</v>
      </c>
    </row>
    <row r="3060" spans="1:34">
      <c r="A3060" t="s">
        <v>6466</v>
      </c>
      <c r="B3060" t="s">
        <v>56</v>
      </c>
      <c r="C3060" s="10" t="s">
        <v>6467</v>
      </c>
      <c r="D3060" t="s">
        <v>61</v>
      </c>
      <c r="E3060" t="s">
        <v>6468</v>
      </c>
      <c r="F3060" t="s">
        <v>6469</v>
      </c>
      <c r="G3060">
        <v>50000</v>
      </c>
      <c r="H3060">
        <v>1979</v>
      </c>
      <c r="I3060" t="s">
        <v>58</v>
      </c>
      <c r="J3060" t="s">
        <v>61</v>
      </c>
      <c r="K3060" t="s">
        <v>58</v>
      </c>
      <c r="L3060" t="s">
        <v>58</v>
      </c>
      <c r="M3060" t="s">
        <v>61</v>
      </c>
      <c r="Q3060" t="s">
        <v>58</v>
      </c>
      <c r="R3060" s="11" t="str">
        <f>HYPERLINK("\\imagefiles.bcgov\imagery\scanned_maps\moe_terrain_maps\Scanned_T_maps_all\T15\T15-4631","\\imagefiles.bcgov\imagery\scanned_maps\moe_terrain_maps\Scanned_T_maps_all\T15\T15-4631")</f>
        <v>\\imagefiles.bcgov\imagery\scanned_maps\moe_terrain_maps\Scanned_T_maps_all\T15\T15-4631</v>
      </c>
      <c r="S3060" t="s">
        <v>62</v>
      </c>
      <c r="T3060" s="11" t="str">
        <f>HYPERLINK("http://www.env.gov.bc.ca/esd/distdata/ecosystems/TEI_Scanned_Maps/T15/T15-4631","http://www.env.gov.bc.ca/esd/distdata/ecosystems/TEI_Scanned_Maps/T15/T15-4631")</f>
        <v>http://www.env.gov.bc.ca/esd/distdata/ecosystems/TEI_Scanned_Maps/T15/T15-4631</v>
      </c>
      <c r="U3060" t="s">
        <v>58</v>
      </c>
      <c r="V3060" t="s">
        <v>58</v>
      </c>
      <c r="W3060" t="s">
        <v>58</v>
      </c>
      <c r="X3060" t="s">
        <v>58</v>
      </c>
      <c r="Y3060" t="s">
        <v>58</v>
      </c>
      <c r="Z3060" t="s">
        <v>58</v>
      </c>
      <c r="AA3060" t="s">
        <v>58</v>
      </c>
      <c r="AC3060" t="s">
        <v>58</v>
      </c>
      <c r="AE3060" t="s">
        <v>58</v>
      </c>
      <c r="AG3060" t="s">
        <v>63</v>
      </c>
      <c r="AH3060" s="11" t="str">
        <f t="shared" si="179"/>
        <v>mailto: soilterrain@victoria1.gov.bc.ca</v>
      </c>
    </row>
    <row r="3061" spans="1:34">
      <c r="A3061" t="s">
        <v>6470</v>
      </c>
      <c r="B3061" t="s">
        <v>56</v>
      </c>
      <c r="C3061" s="10" t="s">
        <v>6471</v>
      </c>
      <c r="D3061" t="s">
        <v>61</v>
      </c>
      <c r="E3061" t="s">
        <v>6468</v>
      </c>
      <c r="F3061" t="s">
        <v>6472</v>
      </c>
      <c r="G3061">
        <v>50000</v>
      </c>
      <c r="H3061">
        <v>1979</v>
      </c>
      <c r="I3061" t="s">
        <v>58</v>
      </c>
      <c r="J3061" t="s">
        <v>61</v>
      </c>
      <c r="K3061" t="s">
        <v>58</v>
      </c>
      <c r="L3061" t="s">
        <v>58</v>
      </c>
      <c r="M3061" t="s">
        <v>61</v>
      </c>
      <c r="Q3061" t="s">
        <v>58</v>
      </c>
      <c r="R3061" s="11" t="str">
        <f>HYPERLINK("\\imagefiles.bcgov\imagery\scanned_maps\moe_terrain_maps\Scanned_T_maps_all\T15\T15-4632","\\imagefiles.bcgov\imagery\scanned_maps\moe_terrain_maps\Scanned_T_maps_all\T15\T15-4632")</f>
        <v>\\imagefiles.bcgov\imagery\scanned_maps\moe_terrain_maps\Scanned_T_maps_all\T15\T15-4632</v>
      </c>
      <c r="S3061" t="s">
        <v>62</v>
      </c>
      <c r="T3061" s="11" t="str">
        <f>HYPERLINK("http://www.env.gov.bc.ca/esd/distdata/ecosystems/TEI_Scanned_Maps/T15/T15-4632","http://www.env.gov.bc.ca/esd/distdata/ecosystems/TEI_Scanned_Maps/T15/T15-4632")</f>
        <v>http://www.env.gov.bc.ca/esd/distdata/ecosystems/TEI_Scanned_Maps/T15/T15-4632</v>
      </c>
      <c r="U3061" t="s">
        <v>58</v>
      </c>
      <c r="V3061" t="s">
        <v>58</v>
      </c>
      <c r="W3061" t="s">
        <v>58</v>
      </c>
      <c r="X3061" t="s">
        <v>58</v>
      </c>
      <c r="Y3061" t="s">
        <v>58</v>
      </c>
      <c r="Z3061" t="s">
        <v>58</v>
      </c>
      <c r="AA3061" t="s">
        <v>58</v>
      </c>
      <c r="AC3061" t="s">
        <v>58</v>
      </c>
      <c r="AE3061" t="s">
        <v>58</v>
      </c>
      <c r="AG3061" t="s">
        <v>63</v>
      </c>
      <c r="AH3061" s="11" t="str">
        <f t="shared" si="179"/>
        <v>mailto: soilterrain@victoria1.gov.bc.ca</v>
      </c>
    </row>
    <row r="3062" spans="1:34">
      <c r="A3062" t="s">
        <v>6473</v>
      </c>
      <c r="B3062" t="s">
        <v>56</v>
      </c>
      <c r="C3062" s="10" t="s">
        <v>5500</v>
      </c>
      <c r="D3062" t="s">
        <v>58</v>
      </c>
      <c r="E3062" t="s">
        <v>497</v>
      </c>
      <c r="F3062" t="s">
        <v>6474</v>
      </c>
      <c r="G3062">
        <v>25000</v>
      </c>
      <c r="H3062">
        <v>1982</v>
      </c>
      <c r="I3062" t="s">
        <v>58</v>
      </c>
      <c r="J3062" t="s">
        <v>58</v>
      </c>
      <c r="K3062" t="s">
        <v>58</v>
      </c>
      <c r="L3062" t="s">
        <v>58</v>
      </c>
      <c r="M3062" t="s">
        <v>58</v>
      </c>
      <c r="N3062" t="s">
        <v>61</v>
      </c>
      <c r="Q3062" t="s">
        <v>58</v>
      </c>
      <c r="R3062" s="11" t="str">
        <f>HYPERLINK("\\imagefiles.bcgov\imagery\scanned_maps\moe_terrain_maps\Scanned_T_maps_all\R21\R21-1545","\\imagefiles.bcgov\imagery\scanned_maps\moe_terrain_maps\Scanned_T_maps_all\R21\R21-1545")</f>
        <v>\\imagefiles.bcgov\imagery\scanned_maps\moe_terrain_maps\Scanned_T_maps_all\R21\R21-1545</v>
      </c>
      <c r="S3062" t="s">
        <v>62</v>
      </c>
      <c r="T3062" s="11" t="str">
        <f>HYPERLINK("http://www.env.gov.bc.ca/esd/distdata/ecosystems/TEI_Scanned_Maps/R21/R21-1545","http://www.env.gov.bc.ca/esd/distdata/ecosystems/TEI_Scanned_Maps/R21/R21-1545")</f>
        <v>http://www.env.gov.bc.ca/esd/distdata/ecosystems/TEI_Scanned_Maps/R21/R21-1545</v>
      </c>
      <c r="U3062" t="s">
        <v>3353</v>
      </c>
      <c r="V3062" s="11" t="str">
        <f t="shared" ref="V3062:V3093" si="181">HYPERLINK("http://www.env.gov.bc.ca/esd/distdata/ecosystems/Soil_Data/CAPAMP/","http://www.env.gov.bc.ca/esd/distdata/ecosystems/Soil_Data/CAPAMP/")</f>
        <v>http://www.env.gov.bc.ca/esd/distdata/ecosystems/Soil_Data/CAPAMP/</v>
      </c>
      <c r="W3062" t="s">
        <v>58</v>
      </c>
      <c r="X3062" t="s">
        <v>58</v>
      </c>
      <c r="Y3062" t="s">
        <v>58</v>
      </c>
      <c r="Z3062" t="s">
        <v>58</v>
      </c>
      <c r="AA3062" t="s">
        <v>58</v>
      </c>
      <c r="AC3062" t="s">
        <v>58</v>
      </c>
      <c r="AE3062" t="s">
        <v>58</v>
      </c>
      <c r="AG3062" t="s">
        <v>63</v>
      </c>
      <c r="AH3062" s="11" t="str">
        <f t="shared" si="179"/>
        <v>mailto: soilterrain@victoria1.gov.bc.ca</v>
      </c>
    </row>
    <row r="3063" spans="1:34">
      <c r="A3063" t="s">
        <v>6475</v>
      </c>
      <c r="B3063" t="s">
        <v>56</v>
      </c>
      <c r="C3063" s="10" t="s">
        <v>5503</v>
      </c>
      <c r="D3063" t="s">
        <v>58</v>
      </c>
      <c r="E3063" t="s">
        <v>497</v>
      </c>
      <c r="F3063" t="s">
        <v>6476</v>
      </c>
      <c r="G3063">
        <v>25000</v>
      </c>
      <c r="H3063">
        <v>1982</v>
      </c>
      <c r="I3063" t="s">
        <v>58</v>
      </c>
      <c r="J3063" t="s">
        <v>58</v>
      </c>
      <c r="K3063" t="s">
        <v>58</v>
      </c>
      <c r="L3063" t="s">
        <v>58</v>
      </c>
      <c r="M3063" t="s">
        <v>58</v>
      </c>
      <c r="N3063" t="s">
        <v>61</v>
      </c>
      <c r="Q3063" t="s">
        <v>58</v>
      </c>
      <c r="R3063" s="11" t="str">
        <f>HYPERLINK("\\imagefiles.bcgov\imagery\scanned_maps\moe_terrain_maps\Scanned_T_maps_all\R21\R21-1550","\\imagefiles.bcgov\imagery\scanned_maps\moe_terrain_maps\Scanned_T_maps_all\R21\R21-1550")</f>
        <v>\\imagefiles.bcgov\imagery\scanned_maps\moe_terrain_maps\Scanned_T_maps_all\R21\R21-1550</v>
      </c>
      <c r="S3063" t="s">
        <v>62</v>
      </c>
      <c r="T3063" s="11" t="str">
        <f>HYPERLINK("http://www.env.gov.bc.ca/esd/distdata/ecosystems/TEI_Scanned_Maps/R21/R21-1550","http://www.env.gov.bc.ca/esd/distdata/ecosystems/TEI_Scanned_Maps/R21/R21-1550")</f>
        <v>http://www.env.gov.bc.ca/esd/distdata/ecosystems/TEI_Scanned_Maps/R21/R21-1550</v>
      </c>
      <c r="U3063" t="s">
        <v>3353</v>
      </c>
      <c r="V3063" s="11" t="str">
        <f t="shared" si="181"/>
        <v>http://www.env.gov.bc.ca/esd/distdata/ecosystems/Soil_Data/CAPAMP/</v>
      </c>
      <c r="W3063" t="s">
        <v>58</v>
      </c>
      <c r="X3063" t="s">
        <v>58</v>
      </c>
      <c r="Y3063" t="s">
        <v>58</v>
      </c>
      <c r="Z3063" t="s">
        <v>58</v>
      </c>
      <c r="AA3063" t="s">
        <v>58</v>
      </c>
      <c r="AC3063" t="s">
        <v>58</v>
      </c>
      <c r="AE3063" t="s">
        <v>58</v>
      </c>
      <c r="AG3063" t="s">
        <v>63</v>
      </c>
      <c r="AH3063" s="11" t="str">
        <f t="shared" si="179"/>
        <v>mailto: soilterrain@victoria1.gov.bc.ca</v>
      </c>
    </row>
    <row r="3064" spans="1:34">
      <c r="A3064" t="s">
        <v>6477</v>
      </c>
      <c r="B3064" t="s">
        <v>56</v>
      </c>
      <c r="C3064" s="10" t="s">
        <v>5506</v>
      </c>
      <c r="D3064" t="s">
        <v>58</v>
      </c>
      <c r="E3064" t="s">
        <v>497</v>
      </c>
      <c r="F3064" t="s">
        <v>6478</v>
      </c>
      <c r="G3064">
        <v>25000</v>
      </c>
      <c r="H3064">
        <v>1982</v>
      </c>
      <c r="I3064" t="s">
        <v>58</v>
      </c>
      <c r="J3064" t="s">
        <v>58</v>
      </c>
      <c r="K3064" t="s">
        <v>58</v>
      </c>
      <c r="L3064" t="s">
        <v>58</v>
      </c>
      <c r="M3064" t="s">
        <v>58</v>
      </c>
      <c r="N3064" t="s">
        <v>61</v>
      </c>
      <c r="Q3064" t="s">
        <v>58</v>
      </c>
      <c r="R3064" s="11" t="str">
        <f>HYPERLINK("\\imagefiles.bcgov\imagery\scanned_maps\moe_terrain_maps\Scanned_T_maps_all\R21\R21-1555","\\imagefiles.bcgov\imagery\scanned_maps\moe_terrain_maps\Scanned_T_maps_all\R21\R21-1555")</f>
        <v>\\imagefiles.bcgov\imagery\scanned_maps\moe_terrain_maps\Scanned_T_maps_all\R21\R21-1555</v>
      </c>
      <c r="S3064" t="s">
        <v>62</v>
      </c>
      <c r="T3064" s="11" t="str">
        <f>HYPERLINK("http://www.env.gov.bc.ca/esd/distdata/ecosystems/TEI_Scanned_Maps/R21/R21-1555","http://www.env.gov.bc.ca/esd/distdata/ecosystems/TEI_Scanned_Maps/R21/R21-1555")</f>
        <v>http://www.env.gov.bc.ca/esd/distdata/ecosystems/TEI_Scanned_Maps/R21/R21-1555</v>
      </c>
      <c r="U3064" t="s">
        <v>3353</v>
      </c>
      <c r="V3064" s="11" t="str">
        <f t="shared" si="181"/>
        <v>http://www.env.gov.bc.ca/esd/distdata/ecosystems/Soil_Data/CAPAMP/</v>
      </c>
      <c r="W3064" t="s">
        <v>58</v>
      </c>
      <c r="X3064" t="s">
        <v>58</v>
      </c>
      <c r="Y3064" t="s">
        <v>58</v>
      </c>
      <c r="Z3064" t="s">
        <v>58</v>
      </c>
      <c r="AA3064" t="s">
        <v>58</v>
      </c>
      <c r="AC3064" t="s">
        <v>58</v>
      </c>
      <c r="AE3064" t="s">
        <v>58</v>
      </c>
      <c r="AG3064" t="s">
        <v>63</v>
      </c>
      <c r="AH3064" s="11" t="str">
        <f t="shared" si="179"/>
        <v>mailto: soilterrain@victoria1.gov.bc.ca</v>
      </c>
    </row>
    <row r="3065" spans="1:34">
      <c r="A3065" t="s">
        <v>6479</v>
      </c>
      <c r="B3065" t="s">
        <v>56</v>
      </c>
      <c r="C3065" s="10" t="s">
        <v>5509</v>
      </c>
      <c r="D3065" t="s">
        <v>58</v>
      </c>
      <c r="E3065" t="s">
        <v>497</v>
      </c>
      <c r="F3065" t="s">
        <v>6480</v>
      </c>
      <c r="G3065">
        <v>25000</v>
      </c>
      <c r="H3065">
        <v>1982</v>
      </c>
      <c r="I3065" t="s">
        <v>58</v>
      </c>
      <c r="J3065" t="s">
        <v>58</v>
      </c>
      <c r="K3065" t="s">
        <v>58</v>
      </c>
      <c r="L3065" t="s">
        <v>58</v>
      </c>
      <c r="M3065" t="s">
        <v>58</v>
      </c>
      <c r="N3065" t="s">
        <v>61</v>
      </c>
      <c r="Q3065" t="s">
        <v>58</v>
      </c>
      <c r="R3065" s="11" t="str">
        <f>HYPERLINK("\\imagefiles.bcgov\imagery\scanned_maps\moe_terrain_maps\Scanned_T_maps_all\R21\R21-1560","\\imagefiles.bcgov\imagery\scanned_maps\moe_terrain_maps\Scanned_T_maps_all\R21\R21-1560")</f>
        <v>\\imagefiles.bcgov\imagery\scanned_maps\moe_terrain_maps\Scanned_T_maps_all\R21\R21-1560</v>
      </c>
      <c r="S3065" t="s">
        <v>62</v>
      </c>
      <c r="T3065" s="11" t="str">
        <f>HYPERLINK("http://www.env.gov.bc.ca/esd/distdata/ecosystems/TEI_Scanned_Maps/R21/R21-1560","http://www.env.gov.bc.ca/esd/distdata/ecosystems/TEI_Scanned_Maps/R21/R21-1560")</f>
        <v>http://www.env.gov.bc.ca/esd/distdata/ecosystems/TEI_Scanned_Maps/R21/R21-1560</v>
      </c>
      <c r="U3065" t="s">
        <v>3353</v>
      </c>
      <c r="V3065" s="11" t="str">
        <f t="shared" si="181"/>
        <v>http://www.env.gov.bc.ca/esd/distdata/ecosystems/Soil_Data/CAPAMP/</v>
      </c>
      <c r="W3065" t="s">
        <v>58</v>
      </c>
      <c r="X3065" t="s">
        <v>58</v>
      </c>
      <c r="Y3065" t="s">
        <v>58</v>
      </c>
      <c r="Z3065" t="s">
        <v>58</v>
      </c>
      <c r="AA3065" t="s">
        <v>58</v>
      </c>
      <c r="AC3065" t="s">
        <v>58</v>
      </c>
      <c r="AE3065" t="s">
        <v>58</v>
      </c>
      <c r="AG3065" t="s">
        <v>63</v>
      </c>
      <c r="AH3065" s="11" t="str">
        <f t="shared" si="179"/>
        <v>mailto: soilterrain@victoria1.gov.bc.ca</v>
      </c>
    </row>
    <row r="3066" spans="1:34">
      <c r="A3066" t="s">
        <v>6481</v>
      </c>
      <c r="B3066" t="s">
        <v>56</v>
      </c>
      <c r="C3066" s="10" t="s">
        <v>5512</v>
      </c>
      <c r="D3066" t="s">
        <v>58</v>
      </c>
      <c r="E3066" t="s">
        <v>497</v>
      </c>
      <c r="F3066" t="s">
        <v>6482</v>
      </c>
      <c r="G3066">
        <v>25000</v>
      </c>
      <c r="H3066">
        <v>1982</v>
      </c>
      <c r="I3066" t="s">
        <v>58</v>
      </c>
      <c r="J3066" t="s">
        <v>58</v>
      </c>
      <c r="K3066" t="s">
        <v>58</v>
      </c>
      <c r="L3066" t="s">
        <v>58</v>
      </c>
      <c r="M3066" t="s">
        <v>58</v>
      </c>
      <c r="N3066" t="s">
        <v>61</v>
      </c>
      <c r="Q3066" t="s">
        <v>58</v>
      </c>
      <c r="R3066" s="11" t="str">
        <f>HYPERLINK("\\imagefiles.bcgov\imagery\scanned_maps\moe_terrain_maps\Scanned_T_maps_all\R21\R21-1565","\\imagefiles.bcgov\imagery\scanned_maps\moe_terrain_maps\Scanned_T_maps_all\R21\R21-1565")</f>
        <v>\\imagefiles.bcgov\imagery\scanned_maps\moe_terrain_maps\Scanned_T_maps_all\R21\R21-1565</v>
      </c>
      <c r="S3066" t="s">
        <v>62</v>
      </c>
      <c r="T3066" s="11" t="str">
        <f>HYPERLINK("http://www.env.gov.bc.ca/esd/distdata/ecosystems/TEI_Scanned_Maps/R21/R21-1565","http://www.env.gov.bc.ca/esd/distdata/ecosystems/TEI_Scanned_Maps/R21/R21-1565")</f>
        <v>http://www.env.gov.bc.ca/esd/distdata/ecosystems/TEI_Scanned_Maps/R21/R21-1565</v>
      </c>
      <c r="U3066" t="s">
        <v>3353</v>
      </c>
      <c r="V3066" s="11" t="str">
        <f t="shared" si="181"/>
        <v>http://www.env.gov.bc.ca/esd/distdata/ecosystems/Soil_Data/CAPAMP/</v>
      </c>
      <c r="W3066" t="s">
        <v>58</v>
      </c>
      <c r="X3066" t="s">
        <v>58</v>
      </c>
      <c r="Y3066" t="s">
        <v>58</v>
      </c>
      <c r="Z3066" t="s">
        <v>58</v>
      </c>
      <c r="AA3066" t="s">
        <v>58</v>
      </c>
      <c r="AC3066" t="s">
        <v>58</v>
      </c>
      <c r="AE3066" t="s">
        <v>58</v>
      </c>
      <c r="AG3066" t="s">
        <v>63</v>
      </c>
      <c r="AH3066" s="11" t="str">
        <f t="shared" si="179"/>
        <v>mailto: soilterrain@victoria1.gov.bc.ca</v>
      </c>
    </row>
    <row r="3067" spans="1:34">
      <c r="A3067" t="s">
        <v>6483</v>
      </c>
      <c r="B3067" t="s">
        <v>56</v>
      </c>
      <c r="C3067" s="10" t="s">
        <v>5515</v>
      </c>
      <c r="D3067" t="s">
        <v>58</v>
      </c>
      <c r="E3067" t="s">
        <v>497</v>
      </c>
      <c r="F3067" t="s">
        <v>6484</v>
      </c>
      <c r="G3067">
        <v>25000</v>
      </c>
      <c r="H3067">
        <v>1982</v>
      </c>
      <c r="I3067" t="s">
        <v>58</v>
      </c>
      <c r="J3067" t="s">
        <v>58</v>
      </c>
      <c r="K3067" t="s">
        <v>58</v>
      </c>
      <c r="L3067" t="s">
        <v>58</v>
      </c>
      <c r="M3067" t="s">
        <v>58</v>
      </c>
      <c r="N3067" t="s">
        <v>61</v>
      </c>
      <c r="Q3067" t="s">
        <v>58</v>
      </c>
      <c r="R3067" s="11" t="str">
        <f>HYPERLINK("\\imagefiles.bcgov\imagery\scanned_maps\moe_terrain_maps\Scanned_T_maps_all\R21\R21-1570","\\imagefiles.bcgov\imagery\scanned_maps\moe_terrain_maps\Scanned_T_maps_all\R21\R21-1570")</f>
        <v>\\imagefiles.bcgov\imagery\scanned_maps\moe_terrain_maps\Scanned_T_maps_all\R21\R21-1570</v>
      </c>
      <c r="S3067" t="s">
        <v>62</v>
      </c>
      <c r="T3067" s="11" t="str">
        <f>HYPERLINK("http://www.env.gov.bc.ca/esd/distdata/ecosystems/TEI_Scanned_Maps/R21/R21-1570","http://www.env.gov.bc.ca/esd/distdata/ecosystems/TEI_Scanned_Maps/R21/R21-1570")</f>
        <v>http://www.env.gov.bc.ca/esd/distdata/ecosystems/TEI_Scanned_Maps/R21/R21-1570</v>
      </c>
      <c r="U3067" t="s">
        <v>3353</v>
      </c>
      <c r="V3067" s="11" t="str">
        <f t="shared" si="181"/>
        <v>http://www.env.gov.bc.ca/esd/distdata/ecosystems/Soil_Data/CAPAMP/</v>
      </c>
      <c r="W3067" t="s">
        <v>58</v>
      </c>
      <c r="X3067" t="s">
        <v>58</v>
      </c>
      <c r="Y3067" t="s">
        <v>58</v>
      </c>
      <c r="Z3067" t="s">
        <v>58</v>
      </c>
      <c r="AA3067" t="s">
        <v>58</v>
      </c>
      <c r="AC3067" t="s">
        <v>58</v>
      </c>
      <c r="AE3067" t="s">
        <v>58</v>
      </c>
      <c r="AG3067" t="s">
        <v>63</v>
      </c>
      <c r="AH3067" s="11" t="str">
        <f t="shared" si="179"/>
        <v>mailto: soilterrain@victoria1.gov.bc.ca</v>
      </c>
    </row>
    <row r="3068" spans="1:34">
      <c r="A3068" t="s">
        <v>6485</v>
      </c>
      <c r="B3068" t="s">
        <v>56</v>
      </c>
      <c r="C3068" s="10" t="s">
        <v>5518</v>
      </c>
      <c r="D3068" t="s">
        <v>58</v>
      </c>
      <c r="E3068" t="s">
        <v>497</v>
      </c>
      <c r="F3068" t="s">
        <v>6486</v>
      </c>
      <c r="G3068">
        <v>25000</v>
      </c>
      <c r="H3068">
        <v>1982</v>
      </c>
      <c r="I3068" t="s">
        <v>58</v>
      </c>
      <c r="J3068" t="s">
        <v>58</v>
      </c>
      <c r="K3068" t="s">
        <v>58</v>
      </c>
      <c r="L3068" t="s">
        <v>58</v>
      </c>
      <c r="M3068" t="s">
        <v>58</v>
      </c>
      <c r="N3068" t="s">
        <v>61</v>
      </c>
      <c r="Q3068" t="s">
        <v>58</v>
      </c>
      <c r="R3068" s="11" t="str">
        <f>HYPERLINK("\\imagefiles.bcgov\imagery\scanned_maps\moe_terrain_maps\Scanned_T_maps_all\R21\R21-1575","\\imagefiles.bcgov\imagery\scanned_maps\moe_terrain_maps\Scanned_T_maps_all\R21\R21-1575")</f>
        <v>\\imagefiles.bcgov\imagery\scanned_maps\moe_terrain_maps\Scanned_T_maps_all\R21\R21-1575</v>
      </c>
      <c r="S3068" t="s">
        <v>62</v>
      </c>
      <c r="T3068" s="11" t="str">
        <f>HYPERLINK("http://www.env.gov.bc.ca/esd/distdata/ecosystems/TEI_Scanned_Maps/R21/R21-1575","http://www.env.gov.bc.ca/esd/distdata/ecosystems/TEI_Scanned_Maps/R21/R21-1575")</f>
        <v>http://www.env.gov.bc.ca/esd/distdata/ecosystems/TEI_Scanned_Maps/R21/R21-1575</v>
      </c>
      <c r="U3068" t="s">
        <v>3353</v>
      </c>
      <c r="V3068" s="11" t="str">
        <f t="shared" si="181"/>
        <v>http://www.env.gov.bc.ca/esd/distdata/ecosystems/Soil_Data/CAPAMP/</v>
      </c>
      <c r="W3068" t="s">
        <v>58</v>
      </c>
      <c r="X3068" t="s">
        <v>58</v>
      </c>
      <c r="Y3068" t="s">
        <v>58</v>
      </c>
      <c r="Z3068" t="s">
        <v>58</v>
      </c>
      <c r="AA3068" t="s">
        <v>58</v>
      </c>
      <c r="AC3068" t="s">
        <v>58</v>
      </c>
      <c r="AE3068" t="s">
        <v>58</v>
      </c>
      <c r="AG3068" t="s">
        <v>63</v>
      </c>
      <c r="AH3068" s="11" t="str">
        <f t="shared" si="179"/>
        <v>mailto: soilterrain@victoria1.gov.bc.ca</v>
      </c>
    </row>
    <row r="3069" spans="1:34">
      <c r="A3069" t="s">
        <v>6487</v>
      </c>
      <c r="B3069" t="s">
        <v>56</v>
      </c>
      <c r="C3069" s="10" t="s">
        <v>5521</v>
      </c>
      <c r="D3069" t="s">
        <v>58</v>
      </c>
      <c r="E3069" t="s">
        <v>497</v>
      </c>
      <c r="F3069" t="s">
        <v>6488</v>
      </c>
      <c r="G3069">
        <v>25000</v>
      </c>
      <c r="H3069">
        <v>1982</v>
      </c>
      <c r="I3069" t="s">
        <v>58</v>
      </c>
      <c r="J3069" t="s">
        <v>58</v>
      </c>
      <c r="K3069" t="s">
        <v>58</v>
      </c>
      <c r="L3069" t="s">
        <v>58</v>
      </c>
      <c r="M3069" t="s">
        <v>58</v>
      </c>
      <c r="N3069" t="s">
        <v>61</v>
      </c>
      <c r="Q3069" t="s">
        <v>58</v>
      </c>
      <c r="R3069" s="11" t="str">
        <f>HYPERLINK("\\imagefiles.bcgov\imagery\scanned_maps\moe_terrain_maps\Scanned_T_maps_all\R21\R21-1580","\\imagefiles.bcgov\imagery\scanned_maps\moe_terrain_maps\Scanned_T_maps_all\R21\R21-1580")</f>
        <v>\\imagefiles.bcgov\imagery\scanned_maps\moe_terrain_maps\Scanned_T_maps_all\R21\R21-1580</v>
      </c>
      <c r="S3069" t="s">
        <v>62</v>
      </c>
      <c r="T3069" s="11" t="str">
        <f>HYPERLINK("http://www.env.gov.bc.ca/esd/distdata/ecosystems/TEI_Scanned_Maps/R21/R21-1580","http://www.env.gov.bc.ca/esd/distdata/ecosystems/TEI_Scanned_Maps/R21/R21-1580")</f>
        <v>http://www.env.gov.bc.ca/esd/distdata/ecosystems/TEI_Scanned_Maps/R21/R21-1580</v>
      </c>
      <c r="U3069" t="s">
        <v>3353</v>
      </c>
      <c r="V3069" s="11" t="str">
        <f t="shared" si="181"/>
        <v>http://www.env.gov.bc.ca/esd/distdata/ecosystems/Soil_Data/CAPAMP/</v>
      </c>
      <c r="W3069" t="s">
        <v>58</v>
      </c>
      <c r="X3069" t="s">
        <v>58</v>
      </c>
      <c r="Y3069" t="s">
        <v>58</v>
      </c>
      <c r="Z3069" t="s">
        <v>58</v>
      </c>
      <c r="AA3069" t="s">
        <v>58</v>
      </c>
      <c r="AC3069" t="s">
        <v>58</v>
      </c>
      <c r="AE3069" t="s">
        <v>58</v>
      </c>
      <c r="AG3069" t="s">
        <v>63</v>
      </c>
      <c r="AH3069" s="11" t="str">
        <f t="shared" si="179"/>
        <v>mailto: soilterrain@victoria1.gov.bc.ca</v>
      </c>
    </row>
    <row r="3070" spans="1:34">
      <c r="A3070" t="s">
        <v>6489</v>
      </c>
      <c r="B3070" t="s">
        <v>56</v>
      </c>
      <c r="C3070" s="10" t="s">
        <v>5524</v>
      </c>
      <c r="D3070" t="s">
        <v>58</v>
      </c>
      <c r="E3070" t="s">
        <v>497</v>
      </c>
      <c r="F3070" t="s">
        <v>6490</v>
      </c>
      <c r="G3070">
        <v>25000</v>
      </c>
      <c r="H3070">
        <v>1982</v>
      </c>
      <c r="I3070" t="s">
        <v>58</v>
      </c>
      <c r="J3070" t="s">
        <v>58</v>
      </c>
      <c r="K3070" t="s">
        <v>58</v>
      </c>
      <c r="L3070" t="s">
        <v>58</v>
      </c>
      <c r="M3070" t="s">
        <v>58</v>
      </c>
      <c r="N3070" t="s">
        <v>61</v>
      </c>
      <c r="Q3070" t="s">
        <v>58</v>
      </c>
      <c r="R3070" s="11" t="str">
        <f>HYPERLINK("\\imagefiles.bcgov\imagery\scanned_maps\moe_terrain_maps\Scanned_T_maps_all\R21\R21-1585","\\imagefiles.bcgov\imagery\scanned_maps\moe_terrain_maps\Scanned_T_maps_all\R21\R21-1585")</f>
        <v>\\imagefiles.bcgov\imagery\scanned_maps\moe_terrain_maps\Scanned_T_maps_all\R21\R21-1585</v>
      </c>
      <c r="S3070" t="s">
        <v>62</v>
      </c>
      <c r="T3070" s="11" t="str">
        <f>HYPERLINK("http://www.env.gov.bc.ca/esd/distdata/ecosystems/TEI_Scanned_Maps/R21/R21-1585","http://www.env.gov.bc.ca/esd/distdata/ecosystems/TEI_Scanned_Maps/R21/R21-1585")</f>
        <v>http://www.env.gov.bc.ca/esd/distdata/ecosystems/TEI_Scanned_Maps/R21/R21-1585</v>
      </c>
      <c r="U3070" t="s">
        <v>3353</v>
      </c>
      <c r="V3070" s="11" t="str">
        <f t="shared" si="181"/>
        <v>http://www.env.gov.bc.ca/esd/distdata/ecosystems/Soil_Data/CAPAMP/</v>
      </c>
      <c r="W3070" t="s">
        <v>58</v>
      </c>
      <c r="X3070" t="s">
        <v>58</v>
      </c>
      <c r="Y3070" t="s">
        <v>58</v>
      </c>
      <c r="Z3070" t="s">
        <v>58</v>
      </c>
      <c r="AA3070" t="s">
        <v>58</v>
      </c>
      <c r="AC3070" t="s">
        <v>58</v>
      </c>
      <c r="AE3070" t="s">
        <v>58</v>
      </c>
      <c r="AG3070" t="s">
        <v>63</v>
      </c>
      <c r="AH3070" s="11" t="str">
        <f t="shared" si="179"/>
        <v>mailto: soilterrain@victoria1.gov.bc.ca</v>
      </c>
    </row>
    <row r="3071" spans="1:34">
      <c r="A3071" t="s">
        <v>6491</v>
      </c>
      <c r="B3071" t="s">
        <v>56</v>
      </c>
      <c r="C3071" s="10" t="s">
        <v>5527</v>
      </c>
      <c r="D3071" t="s">
        <v>58</v>
      </c>
      <c r="E3071" t="s">
        <v>497</v>
      </c>
      <c r="F3071" t="s">
        <v>6492</v>
      </c>
      <c r="G3071">
        <v>25000</v>
      </c>
      <c r="H3071">
        <v>1983</v>
      </c>
      <c r="I3071" t="s">
        <v>58</v>
      </c>
      <c r="J3071" t="s">
        <v>58</v>
      </c>
      <c r="K3071" t="s">
        <v>58</v>
      </c>
      <c r="L3071" t="s">
        <v>58</v>
      </c>
      <c r="M3071" t="s">
        <v>58</v>
      </c>
      <c r="N3071" t="s">
        <v>61</v>
      </c>
      <c r="Q3071" t="s">
        <v>58</v>
      </c>
      <c r="R3071" s="11" t="str">
        <f>HYPERLINK("\\imagefiles.bcgov\imagery\scanned_maps\moe_terrain_maps\Scanned_T_maps_all\R21\R21-1590","\\imagefiles.bcgov\imagery\scanned_maps\moe_terrain_maps\Scanned_T_maps_all\R21\R21-1590")</f>
        <v>\\imagefiles.bcgov\imagery\scanned_maps\moe_terrain_maps\Scanned_T_maps_all\R21\R21-1590</v>
      </c>
      <c r="S3071" t="s">
        <v>62</v>
      </c>
      <c r="T3071" s="11" t="str">
        <f>HYPERLINK("http://www.env.gov.bc.ca/esd/distdata/ecosystems/TEI_Scanned_Maps/R21/R21-1590","http://www.env.gov.bc.ca/esd/distdata/ecosystems/TEI_Scanned_Maps/R21/R21-1590")</f>
        <v>http://www.env.gov.bc.ca/esd/distdata/ecosystems/TEI_Scanned_Maps/R21/R21-1590</v>
      </c>
      <c r="U3071" t="s">
        <v>3353</v>
      </c>
      <c r="V3071" s="11" t="str">
        <f t="shared" si="181"/>
        <v>http://www.env.gov.bc.ca/esd/distdata/ecosystems/Soil_Data/CAPAMP/</v>
      </c>
      <c r="W3071" t="s">
        <v>58</v>
      </c>
      <c r="X3071" t="s">
        <v>58</v>
      </c>
      <c r="Y3071" t="s">
        <v>58</v>
      </c>
      <c r="Z3071" t="s">
        <v>58</v>
      </c>
      <c r="AA3071" t="s">
        <v>58</v>
      </c>
      <c r="AC3071" t="s">
        <v>58</v>
      </c>
      <c r="AE3071" t="s">
        <v>58</v>
      </c>
      <c r="AG3071" t="s">
        <v>63</v>
      </c>
      <c r="AH3071" s="11" t="str">
        <f t="shared" si="179"/>
        <v>mailto: soilterrain@victoria1.gov.bc.ca</v>
      </c>
    </row>
    <row r="3072" spans="1:34">
      <c r="A3072" t="s">
        <v>6493</v>
      </c>
      <c r="B3072" t="s">
        <v>56</v>
      </c>
      <c r="C3072" s="10" t="s">
        <v>5530</v>
      </c>
      <c r="D3072" t="s">
        <v>58</v>
      </c>
      <c r="E3072" t="s">
        <v>497</v>
      </c>
      <c r="F3072" t="s">
        <v>6494</v>
      </c>
      <c r="G3072">
        <v>25000</v>
      </c>
      <c r="H3072">
        <v>1982</v>
      </c>
      <c r="I3072" t="s">
        <v>58</v>
      </c>
      <c r="J3072" t="s">
        <v>58</v>
      </c>
      <c r="K3072" t="s">
        <v>58</v>
      </c>
      <c r="L3072" t="s">
        <v>58</v>
      </c>
      <c r="M3072" t="s">
        <v>58</v>
      </c>
      <c r="N3072" t="s">
        <v>61</v>
      </c>
      <c r="Q3072" t="s">
        <v>58</v>
      </c>
      <c r="R3072" s="11" t="str">
        <f>HYPERLINK("\\imagefiles.bcgov\imagery\scanned_maps\moe_terrain_maps\Scanned_T_maps_all\R21\R21-1595","\\imagefiles.bcgov\imagery\scanned_maps\moe_terrain_maps\Scanned_T_maps_all\R21\R21-1595")</f>
        <v>\\imagefiles.bcgov\imagery\scanned_maps\moe_terrain_maps\Scanned_T_maps_all\R21\R21-1595</v>
      </c>
      <c r="S3072" t="s">
        <v>62</v>
      </c>
      <c r="T3072" s="11" t="str">
        <f>HYPERLINK("http://www.env.gov.bc.ca/esd/distdata/ecosystems/TEI_Scanned_Maps/R21/R21-1595","http://www.env.gov.bc.ca/esd/distdata/ecosystems/TEI_Scanned_Maps/R21/R21-1595")</f>
        <v>http://www.env.gov.bc.ca/esd/distdata/ecosystems/TEI_Scanned_Maps/R21/R21-1595</v>
      </c>
      <c r="U3072" t="s">
        <v>3353</v>
      </c>
      <c r="V3072" s="11" t="str">
        <f t="shared" si="181"/>
        <v>http://www.env.gov.bc.ca/esd/distdata/ecosystems/Soil_Data/CAPAMP/</v>
      </c>
      <c r="W3072" t="s">
        <v>58</v>
      </c>
      <c r="X3072" t="s">
        <v>58</v>
      </c>
      <c r="Y3072" t="s">
        <v>58</v>
      </c>
      <c r="Z3072" t="s">
        <v>58</v>
      </c>
      <c r="AA3072" t="s">
        <v>58</v>
      </c>
      <c r="AC3072" t="s">
        <v>58</v>
      </c>
      <c r="AE3072" t="s">
        <v>58</v>
      </c>
      <c r="AG3072" t="s">
        <v>63</v>
      </c>
      <c r="AH3072" s="11" t="str">
        <f t="shared" si="179"/>
        <v>mailto: soilterrain@victoria1.gov.bc.ca</v>
      </c>
    </row>
    <row r="3073" spans="1:34">
      <c r="A3073" t="s">
        <v>6495</v>
      </c>
      <c r="B3073" t="s">
        <v>56</v>
      </c>
      <c r="C3073" s="10" t="s">
        <v>170</v>
      </c>
      <c r="D3073" t="s">
        <v>58</v>
      </c>
      <c r="E3073" t="s">
        <v>497</v>
      </c>
      <c r="F3073" t="s">
        <v>6496</v>
      </c>
      <c r="G3073">
        <v>50000</v>
      </c>
      <c r="H3073">
        <v>1982</v>
      </c>
      <c r="I3073" t="s">
        <v>58</v>
      </c>
      <c r="J3073" t="s">
        <v>58</v>
      </c>
      <c r="K3073" t="s">
        <v>58</v>
      </c>
      <c r="L3073" t="s">
        <v>58</v>
      </c>
      <c r="M3073" t="s">
        <v>58</v>
      </c>
      <c r="N3073" t="s">
        <v>61</v>
      </c>
      <c r="Q3073" t="s">
        <v>58</v>
      </c>
      <c r="R3073" s="11" t="str">
        <f>HYPERLINK("\\imagefiles.bcgov\imagery\scanned_maps\moe_terrain_maps\Scanned_T_maps_all\R21\R21-1601","\\imagefiles.bcgov\imagery\scanned_maps\moe_terrain_maps\Scanned_T_maps_all\R21\R21-1601")</f>
        <v>\\imagefiles.bcgov\imagery\scanned_maps\moe_terrain_maps\Scanned_T_maps_all\R21\R21-1601</v>
      </c>
      <c r="S3073" t="s">
        <v>62</v>
      </c>
      <c r="T3073" s="11" t="str">
        <f>HYPERLINK("http://www.env.gov.bc.ca/esd/distdata/ecosystems/TEI_Scanned_Maps/R21/R21-1601","http://www.env.gov.bc.ca/esd/distdata/ecosystems/TEI_Scanned_Maps/R21/R21-1601")</f>
        <v>http://www.env.gov.bc.ca/esd/distdata/ecosystems/TEI_Scanned_Maps/R21/R21-1601</v>
      </c>
      <c r="U3073" t="s">
        <v>3353</v>
      </c>
      <c r="V3073" s="11" t="str">
        <f t="shared" si="181"/>
        <v>http://www.env.gov.bc.ca/esd/distdata/ecosystems/Soil_Data/CAPAMP/</v>
      </c>
      <c r="W3073" t="s">
        <v>58</v>
      </c>
      <c r="X3073" t="s">
        <v>58</v>
      </c>
      <c r="Y3073" t="s">
        <v>58</v>
      </c>
      <c r="Z3073" t="s">
        <v>58</v>
      </c>
      <c r="AA3073" t="s">
        <v>58</v>
      </c>
      <c r="AC3073" t="s">
        <v>58</v>
      </c>
      <c r="AE3073" t="s">
        <v>58</v>
      </c>
      <c r="AG3073" t="s">
        <v>63</v>
      </c>
      <c r="AH3073" s="11" t="str">
        <f t="shared" si="179"/>
        <v>mailto: soilterrain@victoria1.gov.bc.ca</v>
      </c>
    </row>
    <row r="3074" spans="1:34">
      <c r="A3074" t="s">
        <v>6497</v>
      </c>
      <c r="B3074" t="s">
        <v>56</v>
      </c>
      <c r="C3074" s="10" t="s">
        <v>635</v>
      </c>
      <c r="D3074" t="s">
        <v>58</v>
      </c>
      <c r="E3074" t="s">
        <v>497</v>
      </c>
      <c r="F3074" t="s">
        <v>6498</v>
      </c>
      <c r="G3074">
        <v>50000</v>
      </c>
      <c r="H3074">
        <v>1970</v>
      </c>
      <c r="I3074" t="s">
        <v>58</v>
      </c>
      <c r="J3074" t="s">
        <v>58</v>
      </c>
      <c r="K3074" t="s">
        <v>58</v>
      </c>
      <c r="L3074" t="s">
        <v>58</v>
      </c>
      <c r="M3074" t="s">
        <v>58</v>
      </c>
      <c r="N3074" t="s">
        <v>61</v>
      </c>
      <c r="Q3074" t="s">
        <v>58</v>
      </c>
      <c r="R3074" s="11" t="str">
        <f>HYPERLINK("\\imagefiles.bcgov\imagery\scanned_maps\moe_terrain_maps\Scanned_T_maps_all\R21\R21-1604","\\imagefiles.bcgov\imagery\scanned_maps\moe_terrain_maps\Scanned_T_maps_all\R21\R21-1604")</f>
        <v>\\imagefiles.bcgov\imagery\scanned_maps\moe_terrain_maps\Scanned_T_maps_all\R21\R21-1604</v>
      </c>
      <c r="S3074" t="s">
        <v>62</v>
      </c>
      <c r="T3074" s="11" t="str">
        <f>HYPERLINK("http://www.env.gov.bc.ca/esd/distdata/ecosystems/TEI_Scanned_Maps/R21/R21-1604","http://www.env.gov.bc.ca/esd/distdata/ecosystems/TEI_Scanned_Maps/R21/R21-1604")</f>
        <v>http://www.env.gov.bc.ca/esd/distdata/ecosystems/TEI_Scanned_Maps/R21/R21-1604</v>
      </c>
      <c r="U3074" t="s">
        <v>3353</v>
      </c>
      <c r="V3074" s="11" t="str">
        <f t="shared" si="181"/>
        <v>http://www.env.gov.bc.ca/esd/distdata/ecosystems/Soil_Data/CAPAMP/</v>
      </c>
      <c r="W3074" t="s">
        <v>58</v>
      </c>
      <c r="X3074" t="s">
        <v>58</v>
      </c>
      <c r="Y3074" t="s">
        <v>58</v>
      </c>
      <c r="Z3074" t="s">
        <v>58</v>
      </c>
      <c r="AA3074" t="s">
        <v>58</v>
      </c>
      <c r="AC3074" t="s">
        <v>58</v>
      </c>
      <c r="AE3074" t="s">
        <v>58</v>
      </c>
      <c r="AG3074" t="s">
        <v>63</v>
      </c>
      <c r="AH3074" s="11" t="str">
        <f t="shared" ref="AH3074:AH3137" si="182">HYPERLINK("mailto: soilterrain@victoria1.gov.bc.ca","mailto: soilterrain@victoria1.gov.bc.ca")</f>
        <v>mailto: soilterrain@victoria1.gov.bc.ca</v>
      </c>
    </row>
    <row r="3075" spans="1:34">
      <c r="A3075" t="s">
        <v>6499</v>
      </c>
      <c r="B3075" t="s">
        <v>56</v>
      </c>
      <c r="C3075" s="10" t="s">
        <v>185</v>
      </c>
      <c r="D3075" t="s">
        <v>58</v>
      </c>
      <c r="E3075" t="s">
        <v>497</v>
      </c>
      <c r="F3075" t="s">
        <v>6500</v>
      </c>
      <c r="G3075">
        <v>50000</v>
      </c>
      <c r="H3075">
        <v>1972</v>
      </c>
      <c r="I3075" t="s">
        <v>58</v>
      </c>
      <c r="J3075" t="s">
        <v>58</v>
      </c>
      <c r="K3075" t="s">
        <v>58</v>
      </c>
      <c r="L3075" t="s">
        <v>58</v>
      </c>
      <c r="M3075" t="s">
        <v>58</v>
      </c>
      <c r="N3075" t="s">
        <v>61</v>
      </c>
      <c r="Q3075" t="s">
        <v>58</v>
      </c>
      <c r="R3075" s="11" t="str">
        <f>HYPERLINK("\\imagefiles.bcgov\imagery\scanned_maps\moe_terrain_maps\Scanned_T_maps_all\R21\R21-1607","\\imagefiles.bcgov\imagery\scanned_maps\moe_terrain_maps\Scanned_T_maps_all\R21\R21-1607")</f>
        <v>\\imagefiles.bcgov\imagery\scanned_maps\moe_terrain_maps\Scanned_T_maps_all\R21\R21-1607</v>
      </c>
      <c r="S3075" t="s">
        <v>62</v>
      </c>
      <c r="T3075" s="11" t="str">
        <f>HYPERLINK("http://www.env.gov.bc.ca/esd/distdata/ecosystems/TEI_Scanned_Maps/R21/R21-1607","http://www.env.gov.bc.ca/esd/distdata/ecosystems/TEI_Scanned_Maps/R21/R21-1607")</f>
        <v>http://www.env.gov.bc.ca/esd/distdata/ecosystems/TEI_Scanned_Maps/R21/R21-1607</v>
      </c>
      <c r="U3075" t="s">
        <v>3353</v>
      </c>
      <c r="V3075" s="11" t="str">
        <f t="shared" si="181"/>
        <v>http://www.env.gov.bc.ca/esd/distdata/ecosystems/Soil_Data/CAPAMP/</v>
      </c>
      <c r="W3075" t="s">
        <v>58</v>
      </c>
      <c r="X3075" t="s">
        <v>58</v>
      </c>
      <c r="Y3075" t="s">
        <v>58</v>
      </c>
      <c r="Z3075" t="s">
        <v>58</v>
      </c>
      <c r="AA3075" t="s">
        <v>58</v>
      </c>
      <c r="AC3075" t="s">
        <v>58</v>
      </c>
      <c r="AE3075" t="s">
        <v>58</v>
      </c>
      <c r="AG3075" t="s">
        <v>63</v>
      </c>
      <c r="AH3075" s="11" t="str">
        <f t="shared" si="182"/>
        <v>mailto: soilterrain@victoria1.gov.bc.ca</v>
      </c>
    </row>
    <row r="3076" spans="1:34">
      <c r="A3076" t="s">
        <v>6501</v>
      </c>
      <c r="B3076" t="s">
        <v>56</v>
      </c>
      <c r="C3076" s="10" t="s">
        <v>5533</v>
      </c>
      <c r="D3076" t="s">
        <v>58</v>
      </c>
      <c r="E3076" t="s">
        <v>497</v>
      </c>
      <c r="F3076" t="s">
        <v>6502</v>
      </c>
      <c r="G3076">
        <v>25000</v>
      </c>
      <c r="H3076" t="s">
        <v>187</v>
      </c>
      <c r="I3076" t="s">
        <v>58</v>
      </c>
      <c r="J3076" t="s">
        <v>58</v>
      </c>
      <c r="K3076" t="s">
        <v>58</v>
      </c>
      <c r="L3076" t="s">
        <v>58</v>
      </c>
      <c r="M3076" t="s">
        <v>58</v>
      </c>
      <c r="N3076" t="s">
        <v>61</v>
      </c>
      <c r="Q3076" t="s">
        <v>58</v>
      </c>
      <c r="R3076" s="11" t="str">
        <f>HYPERLINK("\\imagefiles.bcgov\imagery\scanned_maps\moe_terrain_maps\Scanned_T_maps_all\R21\R21-1610","\\imagefiles.bcgov\imagery\scanned_maps\moe_terrain_maps\Scanned_T_maps_all\R21\R21-1610")</f>
        <v>\\imagefiles.bcgov\imagery\scanned_maps\moe_terrain_maps\Scanned_T_maps_all\R21\R21-1610</v>
      </c>
      <c r="S3076" t="s">
        <v>62</v>
      </c>
      <c r="T3076" s="11" t="str">
        <f>HYPERLINK("http://www.env.gov.bc.ca/esd/distdata/ecosystems/TEI_Scanned_Maps/R21/R21-1610","http://www.env.gov.bc.ca/esd/distdata/ecosystems/TEI_Scanned_Maps/R21/R21-1610")</f>
        <v>http://www.env.gov.bc.ca/esd/distdata/ecosystems/TEI_Scanned_Maps/R21/R21-1610</v>
      </c>
      <c r="U3076" t="s">
        <v>3353</v>
      </c>
      <c r="V3076" s="11" t="str">
        <f t="shared" si="181"/>
        <v>http://www.env.gov.bc.ca/esd/distdata/ecosystems/Soil_Data/CAPAMP/</v>
      </c>
      <c r="W3076" t="s">
        <v>58</v>
      </c>
      <c r="X3076" t="s">
        <v>58</v>
      </c>
      <c r="Y3076" t="s">
        <v>58</v>
      </c>
      <c r="Z3076" t="s">
        <v>58</v>
      </c>
      <c r="AA3076" t="s">
        <v>58</v>
      </c>
      <c r="AC3076" t="s">
        <v>58</v>
      </c>
      <c r="AE3076" t="s">
        <v>58</v>
      </c>
      <c r="AG3076" t="s">
        <v>63</v>
      </c>
      <c r="AH3076" s="11" t="str">
        <f t="shared" si="182"/>
        <v>mailto: soilterrain@victoria1.gov.bc.ca</v>
      </c>
    </row>
    <row r="3077" spans="1:34">
      <c r="A3077" t="s">
        <v>6503</v>
      </c>
      <c r="B3077" t="s">
        <v>56</v>
      </c>
      <c r="C3077" s="10" t="s">
        <v>5536</v>
      </c>
      <c r="D3077" t="s">
        <v>58</v>
      </c>
      <c r="E3077" t="s">
        <v>497</v>
      </c>
      <c r="F3077" t="s">
        <v>6504</v>
      </c>
      <c r="G3077">
        <v>25000</v>
      </c>
      <c r="H3077">
        <v>1983</v>
      </c>
      <c r="I3077" t="s">
        <v>58</v>
      </c>
      <c r="J3077" t="s">
        <v>58</v>
      </c>
      <c r="K3077" t="s">
        <v>58</v>
      </c>
      <c r="L3077" t="s">
        <v>58</v>
      </c>
      <c r="M3077" t="s">
        <v>58</v>
      </c>
      <c r="N3077" t="s">
        <v>61</v>
      </c>
      <c r="Q3077" t="s">
        <v>58</v>
      </c>
      <c r="R3077" s="11" t="str">
        <f>HYPERLINK("\\imagefiles.bcgov\imagery\scanned_maps\moe_terrain_maps\Scanned_T_maps_all\R21\R21-1615","\\imagefiles.bcgov\imagery\scanned_maps\moe_terrain_maps\Scanned_T_maps_all\R21\R21-1615")</f>
        <v>\\imagefiles.bcgov\imagery\scanned_maps\moe_terrain_maps\Scanned_T_maps_all\R21\R21-1615</v>
      </c>
      <c r="S3077" t="s">
        <v>62</v>
      </c>
      <c r="T3077" s="11" t="str">
        <f>HYPERLINK("http://www.env.gov.bc.ca/esd/distdata/ecosystems/TEI_Scanned_Maps/R21/R21-1615","http://www.env.gov.bc.ca/esd/distdata/ecosystems/TEI_Scanned_Maps/R21/R21-1615")</f>
        <v>http://www.env.gov.bc.ca/esd/distdata/ecosystems/TEI_Scanned_Maps/R21/R21-1615</v>
      </c>
      <c r="U3077" t="s">
        <v>3353</v>
      </c>
      <c r="V3077" s="11" t="str">
        <f t="shared" si="181"/>
        <v>http://www.env.gov.bc.ca/esd/distdata/ecosystems/Soil_Data/CAPAMP/</v>
      </c>
      <c r="W3077" t="s">
        <v>58</v>
      </c>
      <c r="X3077" t="s">
        <v>58</v>
      </c>
      <c r="Y3077" t="s">
        <v>58</v>
      </c>
      <c r="Z3077" t="s">
        <v>58</v>
      </c>
      <c r="AA3077" t="s">
        <v>58</v>
      </c>
      <c r="AC3077" t="s">
        <v>58</v>
      </c>
      <c r="AE3077" t="s">
        <v>58</v>
      </c>
      <c r="AG3077" t="s">
        <v>63</v>
      </c>
      <c r="AH3077" s="11" t="str">
        <f t="shared" si="182"/>
        <v>mailto: soilterrain@victoria1.gov.bc.ca</v>
      </c>
    </row>
    <row r="3078" spans="1:34">
      <c r="A3078" t="s">
        <v>6505</v>
      </c>
      <c r="B3078" t="s">
        <v>56</v>
      </c>
      <c r="C3078" s="10" t="s">
        <v>192</v>
      </c>
      <c r="D3078" t="s">
        <v>58</v>
      </c>
      <c r="E3078" t="s">
        <v>497</v>
      </c>
      <c r="F3078" t="s">
        <v>6506</v>
      </c>
      <c r="G3078">
        <v>50000</v>
      </c>
      <c r="H3078">
        <v>1975</v>
      </c>
      <c r="I3078" t="s">
        <v>58</v>
      </c>
      <c r="J3078" t="s">
        <v>58</v>
      </c>
      <c r="K3078" t="s">
        <v>58</v>
      </c>
      <c r="L3078" t="s">
        <v>58</v>
      </c>
      <c r="M3078" t="s">
        <v>58</v>
      </c>
      <c r="N3078" t="s">
        <v>61</v>
      </c>
      <c r="Q3078" t="s">
        <v>58</v>
      </c>
      <c r="R3078" s="11" t="str">
        <f>HYPERLINK("\\imagefiles.bcgov\imagery\scanned_maps\moe_terrain_maps\Scanned_T_maps_all\R21\R21-1620","\\imagefiles.bcgov\imagery\scanned_maps\moe_terrain_maps\Scanned_T_maps_all\R21\R21-1620")</f>
        <v>\\imagefiles.bcgov\imagery\scanned_maps\moe_terrain_maps\Scanned_T_maps_all\R21\R21-1620</v>
      </c>
      <c r="S3078" t="s">
        <v>62</v>
      </c>
      <c r="T3078" s="11" t="str">
        <f>HYPERLINK("http://www.env.gov.bc.ca/esd/distdata/ecosystems/TEI_Scanned_Maps/R21/R21-1620","http://www.env.gov.bc.ca/esd/distdata/ecosystems/TEI_Scanned_Maps/R21/R21-1620")</f>
        <v>http://www.env.gov.bc.ca/esd/distdata/ecosystems/TEI_Scanned_Maps/R21/R21-1620</v>
      </c>
      <c r="U3078" t="s">
        <v>3353</v>
      </c>
      <c r="V3078" s="11" t="str">
        <f t="shared" si="181"/>
        <v>http://www.env.gov.bc.ca/esd/distdata/ecosystems/Soil_Data/CAPAMP/</v>
      </c>
      <c r="W3078" t="s">
        <v>58</v>
      </c>
      <c r="X3078" t="s">
        <v>58</v>
      </c>
      <c r="Y3078" t="s">
        <v>58</v>
      </c>
      <c r="Z3078" t="s">
        <v>58</v>
      </c>
      <c r="AA3078" t="s">
        <v>58</v>
      </c>
      <c r="AC3078" t="s">
        <v>58</v>
      </c>
      <c r="AE3078" t="s">
        <v>58</v>
      </c>
      <c r="AG3078" t="s">
        <v>63</v>
      </c>
      <c r="AH3078" s="11" t="str">
        <f t="shared" si="182"/>
        <v>mailto: soilterrain@victoria1.gov.bc.ca</v>
      </c>
    </row>
    <row r="3079" spans="1:34">
      <c r="A3079" t="s">
        <v>6507</v>
      </c>
      <c r="B3079" t="s">
        <v>56</v>
      </c>
      <c r="C3079" s="10" t="s">
        <v>5567</v>
      </c>
      <c r="D3079" t="s">
        <v>58</v>
      </c>
      <c r="E3079" t="s">
        <v>497</v>
      </c>
      <c r="F3079" t="s">
        <v>6508</v>
      </c>
      <c r="G3079">
        <v>25000</v>
      </c>
      <c r="H3079">
        <v>1975</v>
      </c>
      <c r="I3079" t="s">
        <v>58</v>
      </c>
      <c r="J3079" t="s">
        <v>58</v>
      </c>
      <c r="K3079" t="s">
        <v>58</v>
      </c>
      <c r="L3079" t="s">
        <v>58</v>
      </c>
      <c r="M3079" t="s">
        <v>58</v>
      </c>
      <c r="N3079" t="s">
        <v>61</v>
      </c>
      <c r="Q3079" t="s">
        <v>58</v>
      </c>
      <c r="R3079" s="11" t="str">
        <f>HYPERLINK("\\imagefiles.bcgov\imagery\scanned_maps\moe_terrain_maps\Scanned_T_maps_all\R21\R21-1623","\\imagefiles.bcgov\imagery\scanned_maps\moe_terrain_maps\Scanned_T_maps_all\R21\R21-1623")</f>
        <v>\\imagefiles.bcgov\imagery\scanned_maps\moe_terrain_maps\Scanned_T_maps_all\R21\R21-1623</v>
      </c>
      <c r="S3079" t="s">
        <v>62</v>
      </c>
      <c r="T3079" s="11" t="str">
        <f>HYPERLINK("http://www.env.gov.bc.ca/esd/distdata/ecosystems/TEI_Scanned_Maps/R21/R21-1623","http://www.env.gov.bc.ca/esd/distdata/ecosystems/TEI_Scanned_Maps/R21/R21-1623")</f>
        <v>http://www.env.gov.bc.ca/esd/distdata/ecosystems/TEI_Scanned_Maps/R21/R21-1623</v>
      </c>
      <c r="U3079" t="s">
        <v>3353</v>
      </c>
      <c r="V3079" s="11" t="str">
        <f t="shared" si="181"/>
        <v>http://www.env.gov.bc.ca/esd/distdata/ecosystems/Soil_Data/CAPAMP/</v>
      </c>
      <c r="W3079" t="s">
        <v>58</v>
      </c>
      <c r="X3079" t="s">
        <v>58</v>
      </c>
      <c r="Y3079" t="s">
        <v>58</v>
      </c>
      <c r="Z3079" t="s">
        <v>58</v>
      </c>
      <c r="AA3079" t="s">
        <v>58</v>
      </c>
      <c r="AC3079" t="s">
        <v>58</v>
      </c>
      <c r="AE3079" t="s">
        <v>58</v>
      </c>
      <c r="AG3079" t="s">
        <v>63</v>
      </c>
      <c r="AH3079" s="11" t="str">
        <f t="shared" si="182"/>
        <v>mailto: soilterrain@victoria1.gov.bc.ca</v>
      </c>
    </row>
    <row r="3080" spans="1:34">
      <c r="A3080" t="s">
        <v>6509</v>
      </c>
      <c r="B3080" t="s">
        <v>56</v>
      </c>
      <c r="C3080" s="10" t="s">
        <v>5780</v>
      </c>
      <c r="D3080" t="s">
        <v>58</v>
      </c>
      <c r="E3080" t="s">
        <v>497</v>
      </c>
      <c r="F3080" t="s">
        <v>6510</v>
      </c>
      <c r="G3080">
        <v>25000</v>
      </c>
      <c r="H3080">
        <v>1975</v>
      </c>
      <c r="I3080" t="s">
        <v>58</v>
      </c>
      <c r="J3080" t="s">
        <v>58</v>
      </c>
      <c r="K3080" t="s">
        <v>58</v>
      </c>
      <c r="L3080" t="s">
        <v>58</v>
      </c>
      <c r="M3080" t="s">
        <v>58</v>
      </c>
      <c r="N3080" t="s">
        <v>61</v>
      </c>
      <c r="Q3080" t="s">
        <v>58</v>
      </c>
      <c r="R3080" s="11" t="str">
        <f>HYPERLINK("\\imagefiles.bcgov\imagery\scanned_maps\moe_terrain_maps\Scanned_T_maps_all\R21\R21-1669","\\imagefiles.bcgov\imagery\scanned_maps\moe_terrain_maps\Scanned_T_maps_all\R21\R21-1669")</f>
        <v>\\imagefiles.bcgov\imagery\scanned_maps\moe_terrain_maps\Scanned_T_maps_all\R21\R21-1669</v>
      </c>
      <c r="S3080" t="s">
        <v>62</v>
      </c>
      <c r="T3080" s="11" t="str">
        <f>HYPERLINK("http://www.env.gov.bc.ca/esd/distdata/ecosystems/TEI_Scanned_Maps/R21/R21-1669","http://www.env.gov.bc.ca/esd/distdata/ecosystems/TEI_Scanned_Maps/R21/R21-1669")</f>
        <v>http://www.env.gov.bc.ca/esd/distdata/ecosystems/TEI_Scanned_Maps/R21/R21-1669</v>
      </c>
      <c r="U3080" t="s">
        <v>3353</v>
      </c>
      <c r="V3080" s="11" t="str">
        <f t="shared" si="181"/>
        <v>http://www.env.gov.bc.ca/esd/distdata/ecosystems/Soil_Data/CAPAMP/</v>
      </c>
      <c r="W3080" t="s">
        <v>58</v>
      </c>
      <c r="X3080" t="s">
        <v>58</v>
      </c>
      <c r="Y3080" t="s">
        <v>58</v>
      </c>
      <c r="Z3080" t="s">
        <v>58</v>
      </c>
      <c r="AA3080" t="s">
        <v>58</v>
      </c>
      <c r="AC3080" t="s">
        <v>58</v>
      </c>
      <c r="AE3080" t="s">
        <v>58</v>
      </c>
      <c r="AG3080" t="s">
        <v>63</v>
      </c>
      <c r="AH3080" s="11" t="str">
        <f t="shared" si="182"/>
        <v>mailto: soilterrain@victoria1.gov.bc.ca</v>
      </c>
    </row>
    <row r="3081" spans="1:34">
      <c r="A3081" t="s">
        <v>6511</v>
      </c>
      <c r="B3081" t="s">
        <v>56</v>
      </c>
      <c r="C3081" s="10" t="s">
        <v>5539</v>
      </c>
      <c r="D3081" t="s">
        <v>58</v>
      </c>
      <c r="E3081" t="s">
        <v>497</v>
      </c>
      <c r="F3081" t="s">
        <v>6512</v>
      </c>
      <c r="G3081">
        <v>25000</v>
      </c>
      <c r="H3081">
        <v>1975</v>
      </c>
      <c r="I3081" t="s">
        <v>58</v>
      </c>
      <c r="J3081" t="s">
        <v>58</v>
      </c>
      <c r="K3081" t="s">
        <v>58</v>
      </c>
      <c r="L3081" t="s">
        <v>58</v>
      </c>
      <c r="M3081" t="s">
        <v>58</v>
      </c>
      <c r="N3081" t="s">
        <v>61</v>
      </c>
      <c r="Q3081" t="s">
        <v>58</v>
      </c>
      <c r="R3081" s="11" t="str">
        <f>HYPERLINK("\\imagefiles.bcgov\imagery\scanned_maps\moe_terrain_maps\Scanned_T_maps_all\R21\R21-1672","\\imagefiles.bcgov\imagery\scanned_maps\moe_terrain_maps\Scanned_T_maps_all\R21\R21-1672")</f>
        <v>\\imagefiles.bcgov\imagery\scanned_maps\moe_terrain_maps\Scanned_T_maps_all\R21\R21-1672</v>
      </c>
      <c r="S3081" t="s">
        <v>62</v>
      </c>
      <c r="T3081" s="11" t="str">
        <f>HYPERLINK("http://www.env.gov.bc.ca/esd/distdata/ecosystems/TEI_Scanned_Maps/R21/R21-1672","http://www.env.gov.bc.ca/esd/distdata/ecosystems/TEI_Scanned_Maps/R21/R21-1672")</f>
        <v>http://www.env.gov.bc.ca/esd/distdata/ecosystems/TEI_Scanned_Maps/R21/R21-1672</v>
      </c>
      <c r="U3081" t="s">
        <v>3353</v>
      </c>
      <c r="V3081" s="11" t="str">
        <f t="shared" si="181"/>
        <v>http://www.env.gov.bc.ca/esd/distdata/ecosystems/Soil_Data/CAPAMP/</v>
      </c>
      <c r="W3081" t="s">
        <v>58</v>
      </c>
      <c r="X3081" t="s">
        <v>58</v>
      </c>
      <c r="Y3081" t="s">
        <v>58</v>
      </c>
      <c r="Z3081" t="s">
        <v>58</v>
      </c>
      <c r="AA3081" t="s">
        <v>58</v>
      </c>
      <c r="AC3081" t="s">
        <v>58</v>
      </c>
      <c r="AE3081" t="s">
        <v>58</v>
      </c>
      <c r="AG3081" t="s">
        <v>63</v>
      </c>
      <c r="AH3081" s="11" t="str">
        <f t="shared" si="182"/>
        <v>mailto: soilterrain@victoria1.gov.bc.ca</v>
      </c>
    </row>
    <row r="3082" spans="1:34">
      <c r="A3082" t="s">
        <v>6513</v>
      </c>
      <c r="B3082" t="s">
        <v>56</v>
      </c>
      <c r="C3082" s="10" t="s">
        <v>5542</v>
      </c>
      <c r="D3082" t="s">
        <v>58</v>
      </c>
      <c r="E3082" t="s">
        <v>497</v>
      </c>
      <c r="F3082" t="s">
        <v>6514</v>
      </c>
      <c r="G3082">
        <v>25000</v>
      </c>
      <c r="H3082">
        <v>1975</v>
      </c>
      <c r="I3082" t="s">
        <v>58</v>
      </c>
      <c r="J3082" t="s">
        <v>58</v>
      </c>
      <c r="K3082" t="s">
        <v>58</v>
      </c>
      <c r="L3082" t="s">
        <v>58</v>
      </c>
      <c r="M3082" t="s">
        <v>58</v>
      </c>
      <c r="N3082" t="s">
        <v>61</v>
      </c>
      <c r="Q3082" t="s">
        <v>58</v>
      </c>
      <c r="R3082" s="11" t="str">
        <f>HYPERLINK("\\imagefiles.bcgov\imagery\scanned_maps\moe_terrain_maps\Scanned_T_maps_all\R21\R21-1676","\\imagefiles.bcgov\imagery\scanned_maps\moe_terrain_maps\Scanned_T_maps_all\R21\R21-1676")</f>
        <v>\\imagefiles.bcgov\imagery\scanned_maps\moe_terrain_maps\Scanned_T_maps_all\R21\R21-1676</v>
      </c>
      <c r="S3082" t="s">
        <v>62</v>
      </c>
      <c r="T3082" s="11" t="str">
        <f>HYPERLINK("http://www.env.gov.bc.ca/esd/distdata/ecosystems/TEI_Scanned_Maps/R21/R21-1676","http://www.env.gov.bc.ca/esd/distdata/ecosystems/TEI_Scanned_Maps/R21/R21-1676")</f>
        <v>http://www.env.gov.bc.ca/esd/distdata/ecosystems/TEI_Scanned_Maps/R21/R21-1676</v>
      </c>
      <c r="U3082" t="s">
        <v>3353</v>
      </c>
      <c r="V3082" s="11" t="str">
        <f t="shared" si="181"/>
        <v>http://www.env.gov.bc.ca/esd/distdata/ecosystems/Soil_Data/CAPAMP/</v>
      </c>
      <c r="W3082" t="s">
        <v>58</v>
      </c>
      <c r="X3082" t="s">
        <v>58</v>
      </c>
      <c r="Y3082" t="s">
        <v>58</v>
      </c>
      <c r="Z3082" t="s">
        <v>58</v>
      </c>
      <c r="AA3082" t="s">
        <v>58</v>
      </c>
      <c r="AC3082" t="s">
        <v>58</v>
      </c>
      <c r="AE3082" t="s">
        <v>58</v>
      </c>
      <c r="AG3082" t="s">
        <v>63</v>
      </c>
      <c r="AH3082" s="11" t="str">
        <f t="shared" si="182"/>
        <v>mailto: soilterrain@victoria1.gov.bc.ca</v>
      </c>
    </row>
    <row r="3083" spans="1:34">
      <c r="A3083" t="s">
        <v>6515</v>
      </c>
      <c r="B3083" t="s">
        <v>56</v>
      </c>
      <c r="C3083" s="10" t="s">
        <v>5545</v>
      </c>
      <c r="D3083" t="s">
        <v>58</v>
      </c>
      <c r="E3083" t="s">
        <v>497</v>
      </c>
      <c r="F3083" t="s">
        <v>6516</v>
      </c>
      <c r="G3083">
        <v>25000</v>
      </c>
      <c r="H3083">
        <v>1975</v>
      </c>
      <c r="I3083" t="s">
        <v>58</v>
      </c>
      <c r="J3083" t="s">
        <v>58</v>
      </c>
      <c r="K3083" t="s">
        <v>58</v>
      </c>
      <c r="L3083" t="s">
        <v>58</v>
      </c>
      <c r="M3083" t="s">
        <v>58</v>
      </c>
      <c r="N3083" t="s">
        <v>61</v>
      </c>
      <c r="Q3083" t="s">
        <v>58</v>
      </c>
      <c r="R3083" s="11" t="str">
        <f>HYPERLINK("\\imagefiles.bcgov\imagery\scanned_maps\moe_terrain_maps\Scanned_T_maps_all\R21\R21-1680","\\imagefiles.bcgov\imagery\scanned_maps\moe_terrain_maps\Scanned_T_maps_all\R21\R21-1680")</f>
        <v>\\imagefiles.bcgov\imagery\scanned_maps\moe_terrain_maps\Scanned_T_maps_all\R21\R21-1680</v>
      </c>
      <c r="S3083" t="s">
        <v>62</v>
      </c>
      <c r="T3083" s="11" t="str">
        <f>HYPERLINK("http://www.env.gov.bc.ca/esd/distdata/ecosystems/TEI_Scanned_Maps/R21/R21-1680","http://www.env.gov.bc.ca/esd/distdata/ecosystems/TEI_Scanned_Maps/R21/R21-1680")</f>
        <v>http://www.env.gov.bc.ca/esd/distdata/ecosystems/TEI_Scanned_Maps/R21/R21-1680</v>
      </c>
      <c r="U3083" t="s">
        <v>3353</v>
      </c>
      <c r="V3083" s="11" t="str">
        <f t="shared" si="181"/>
        <v>http://www.env.gov.bc.ca/esd/distdata/ecosystems/Soil_Data/CAPAMP/</v>
      </c>
      <c r="W3083" t="s">
        <v>58</v>
      </c>
      <c r="X3083" t="s">
        <v>58</v>
      </c>
      <c r="Y3083" t="s">
        <v>58</v>
      </c>
      <c r="Z3083" t="s">
        <v>58</v>
      </c>
      <c r="AA3083" t="s">
        <v>58</v>
      </c>
      <c r="AC3083" t="s">
        <v>58</v>
      </c>
      <c r="AE3083" t="s">
        <v>58</v>
      </c>
      <c r="AG3083" t="s">
        <v>63</v>
      </c>
      <c r="AH3083" s="11" t="str">
        <f t="shared" si="182"/>
        <v>mailto: soilterrain@victoria1.gov.bc.ca</v>
      </c>
    </row>
    <row r="3084" spans="1:34">
      <c r="A3084" t="s">
        <v>6517</v>
      </c>
      <c r="B3084" t="s">
        <v>56</v>
      </c>
      <c r="C3084" s="10" t="s">
        <v>5548</v>
      </c>
      <c r="D3084" t="s">
        <v>58</v>
      </c>
      <c r="E3084" t="s">
        <v>497</v>
      </c>
      <c r="F3084" t="s">
        <v>6518</v>
      </c>
      <c r="G3084">
        <v>25000</v>
      </c>
      <c r="H3084">
        <v>1972</v>
      </c>
      <c r="I3084" t="s">
        <v>58</v>
      </c>
      <c r="J3084" t="s">
        <v>58</v>
      </c>
      <c r="K3084" t="s">
        <v>58</v>
      </c>
      <c r="L3084" t="s">
        <v>58</v>
      </c>
      <c r="M3084" t="s">
        <v>58</v>
      </c>
      <c r="N3084" t="s">
        <v>61</v>
      </c>
      <c r="Q3084" t="s">
        <v>58</v>
      </c>
      <c r="R3084" s="11" t="str">
        <f>HYPERLINK("\\imagefiles.bcgov\imagery\scanned_maps\moe_terrain_maps\Scanned_T_maps_all\R21\R21-1684","\\imagefiles.bcgov\imagery\scanned_maps\moe_terrain_maps\Scanned_T_maps_all\R21\R21-1684")</f>
        <v>\\imagefiles.bcgov\imagery\scanned_maps\moe_terrain_maps\Scanned_T_maps_all\R21\R21-1684</v>
      </c>
      <c r="S3084" t="s">
        <v>62</v>
      </c>
      <c r="T3084" s="11" t="str">
        <f>HYPERLINK("http://www.env.gov.bc.ca/esd/distdata/ecosystems/TEI_Scanned_Maps/R21/R21-1684","http://www.env.gov.bc.ca/esd/distdata/ecosystems/TEI_Scanned_Maps/R21/R21-1684")</f>
        <v>http://www.env.gov.bc.ca/esd/distdata/ecosystems/TEI_Scanned_Maps/R21/R21-1684</v>
      </c>
      <c r="U3084" t="s">
        <v>3353</v>
      </c>
      <c r="V3084" s="11" t="str">
        <f t="shared" si="181"/>
        <v>http://www.env.gov.bc.ca/esd/distdata/ecosystems/Soil_Data/CAPAMP/</v>
      </c>
      <c r="W3084" t="s">
        <v>58</v>
      </c>
      <c r="X3084" t="s">
        <v>58</v>
      </c>
      <c r="Y3084" t="s">
        <v>58</v>
      </c>
      <c r="Z3084" t="s">
        <v>58</v>
      </c>
      <c r="AA3084" t="s">
        <v>58</v>
      </c>
      <c r="AC3084" t="s">
        <v>58</v>
      </c>
      <c r="AE3084" t="s">
        <v>58</v>
      </c>
      <c r="AG3084" t="s">
        <v>63</v>
      </c>
      <c r="AH3084" s="11" t="str">
        <f t="shared" si="182"/>
        <v>mailto: soilterrain@victoria1.gov.bc.ca</v>
      </c>
    </row>
    <row r="3085" spans="1:34">
      <c r="A3085" t="s">
        <v>6519</v>
      </c>
      <c r="B3085" t="s">
        <v>56</v>
      </c>
      <c r="C3085" s="10" t="s">
        <v>5551</v>
      </c>
      <c r="D3085" t="s">
        <v>58</v>
      </c>
      <c r="E3085" t="s">
        <v>497</v>
      </c>
      <c r="F3085" t="s">
        <v>6510</v>
      </c>
      <c r="G3085">
        <v>25000</v>
      </c>
      <c r="H3085">
        <v>1982</v>
      </c>
      <c r="I3085" t="s">
        <v>58</v>
      </c>
      <c r="J3085" t="s">
        <v>58</v>
      </c>
      <c r="K3085" t="s">
        <v>58</v>
      </c>
      <c r="L3085" t="s">
        <v>58</v>
      </c>
      <c r="M3085" t="s">
        <v>58</v>
      </c>
      <c r="N3085" t="s">
        <v>61</v>
      </c>
      <c r="Q3085" t="s">
        <v>58</v>
      </c>
      <c r="R3085" s="11" t="str">
        <f>HYPERLINK("\\imagefiles.bcgov\imagery\scanned_maps\moe_terrain_maps\Scanned_T_maps_all\R21\R21-1688","\\imagefiles.bcgov\imagery\scanned_maps\moe_terrain_maps\Scanned_T_maps_all\R21\R21-1688")</f>
        <v>\\imagefiles.bcgov\imagery\scanned_maps\moe_terrain_maps\Scanned_T_maps_all\R21\R21-1688</v>
      </c>
      <c r="S3085" t="s">
        <v>62</v>
      </c>
      <c r="T3085" s="11" t="str">
        <f>HYPERLINK("http://www.env.gov.bc.ca/esd/distdata/ecosystems/TEI_Scanned_Maps/R21/R21-1688","http://www.env.gov.bc.ca/esd/distdata/ecosystems/TEI_Scanned_Maps/R21/R21-1688")</f>
        <v>http://www.env.gov.bc.ca/esd/distdata/ecosystems/TEI_Scanned_Maps/R21/R21-1688</v>
      </c>
      <c r="U3085" t="s">
        <v>3353</v>
      </c>
      <c r="V3085" s="11" t="str">
        <f t="shared" si="181"/>
        <v>http://www.env.gov.bc.ca/esd/distdata/ecosystems/Soil_Data/CAPAMP/</v>
      </c>
      <c r="W3085" t="s">
        <v>58</v>
      </c>
      <c r="X3085" t="s">
        <v>58</v>
      </c>
      <c r="Y3085" t="s">
        <v>58</v>
      </c>
      <c r="Z3085" t="s">
        <v>58</v>
      </c>
      <c r="AA3085" t="s">
        <v>58</v>
      </c>
      <c r="AC3085" t="s">
        <v>58</v>
      </c>
      <c r="AE3085" t="s">
        <v>58</v>
      </c>
      <c r="AG3085" t="s">
        <v>63</v>
      </c>
      <c r="AH3085" s="11" t="str">
        <f t="shared" si="182"/>
        <v>mailto: soilterrain@victoria1.gov.bc.ca</v>
      </c>
    </row>
    <row r="3086" spans="1:34">
      <c r="A3086" t="s">
        <v>6520</v>
      </c>
      <c r="B3086" t="s">
        <v>56</v>
      </c>
      <c r="C3086" s="10" t="s">
        <v>5553</v>
      </c>
      <c r="D3086" t="s">
        <v>58</v>
      </c>
      <c r="E3086" t="s">
        <v>497</v>
      </c>
      <c r="F3086" t="s">
        <v>6510</v>
      </c>
      <c r="G3086">
        <v>25000</v>
      </c>
      <c r="H3086">
        <v>1982</v>
      </c>
      <c r="I3086" t="s">
        <v>58</v>
      </c>
      <c r="J3086" t="s">
        <v>58</v>
      </c>
      <c r="K3086" t="s">
        <v>58</v>
      </c>
      <c r="L3086" t="s">
        <v>58</v>
      </c>
      <c r="M3086" t="s">
        <v>58</v>
      </c>
      <c r="N3086" t="s">
        <v>61</v>
      </c>
      <c r="Q3086" t="s">
        <v>58</v>
      </c>
      <c r="R3086" s="11" t="str">
        <f>HYPERLINK("\\imagefiles.bcgov\imagery\scanned_maps\moe_terrain_maps\Scanned_T_maps_all\R21\R21-1692","\\imagefiles.bcgov\imagery\scanned_maps\moe_terrain_maps\Scanned_T_maps_all\R21\R21-1692")</f>
        <v>\\imagefiles.bcgov\imagery\scanned_maps\moe_terrain_maps\Scanned_T_maps_all\R21\R21-1692</v>
      </c>
      <c r="S3086" t="s">
        <v>62</v>
      </c>
      <c r="T3086" s="11" t="str">
        <f>HYPERLINK("http://www.env.gov.bc.ca/esd/distdata/ecosystems/TEI_Scanned_Maps/R21/R21-1692","http://www.env.gov.bc.ca/esd/distdata/ecosystems/TEI_Scanned_Maps/R21/R21-1692")</f>
        <v>http://www.env.gov.bc.ca/esd/distdata/ecosystems/TEI_Scanned_Maps/R21/R21-1692</v>
      </c>
      <c r="U3086" t="s">
        <v>3353</v>
      </c>
      <c r="V3086" s="11" t="str">
        <f t="shared" si="181"/>
        <v>http://www.env.gov.bc.ca/esd/distdata/ecosystems/Soil_Data/CAPAMP/</v>
      </c>
      <c r="W3086" t="s">
        <v>58</v>
      </c>
      <c r="X3086" t="s">
        <v>58</v>
      </c>
      <c r="Y3086" t="s">
        <v>58</v>
      </c>
      <c r="Z3086" t="s">
        <v>58</v>
      </c>
      <c r="AA3086" t="s">
        <v>58</v>
      </c>
      <c r="AC3086" t="s">
        <v>58</v>
      </c>
      <c r="AE3086" t="s">
        <v>58</v>
      </c>
      <c r="AG3086" t="s">
        <v>63</v>
      </c>
      <c r="AH3086" s="11" t="str">
        <f t="shared" si="182"/>
        <v>mailto: soilterrain@victoria1.gov.bc.ca</v>
      </c>
    </row>
    <row r="3087" spans="1:34">
      <c r="A3087" t="s">
        <v>6521</v>
      </c>
      <c r="B3087" t="s">
        <v>56</v>
      </c>
      <c r="C3087" s="10" t="s">
        <v>5555</v>
      </c>
      <c r="D3087" t="s">
        <v>58</v>
      </c>
      <c r="E3087" t="s">
        <v>497</v>
      </c>
      <c r="F3087" t="s">
        <v>6510</v>
      </c>
      <c r="G3087">
        <v>25000</v>
      </c>
      <c r="H3087">
        <v>1982</v>
      </c>
      <c r="I3087" t="s">
        <v>58</v>
      </c>
      <c r="J3087" t="s">
        <v>58</v>
      </c>
      <c r="K3087" t="s">
        <v>58</v>
      </c>
      <c r="L3087" t="s">
        <v>58</v>
      </c>
      <c r="M3087" t="s">
        <v>58</v>
      </c>
      <c r="N3087" t="s">
        <v>61</v>
      </c>
      <c r="Q3087" t="s">
        <v>58</v>
      </c>
      <c r="R3087" s="11" t="str">
        <f>HYPERLINK("\\imagefiles.bcgov\imagery\scanned_maps\moe_terrain_maps\Scanned_T_maps_all\R21\R21-1696","\\imagefiles.bcgov\imagery\scanned_maps\moe_terrain_maps\Scanned_T_maps_all\R21\R21-1696")</f>
        <v>\\imagefiles.bcgov\imagery\scanned_maps\moe_terrain_maps\Scanned_T_maps_all\R21\R21-1696</v>
      </c>
      <c r="S3087" t="s">
        <v>62</v>
      </c>
      <c r="T3087" s="11" t="str">
        <f>HYPERLINK("http://www.env.gov.bc.ca/esd/distdata/ecosystems/TEI_Scanned_Maps/R21/R21-1696","http://www.env.gov.bc.ca/esd/distdata/ecosystems/TEI_Scanned_Maps/R21/R21-1696")</f>
        <v>http://www.env.gov.bc.ca/esd/distdata/ecosystems/TEI_Scanned_Maps/R21/R21-1696</v>
      </c>
      <c r="U3087" t="s">
        <v>3353</v>
      </c>
      <c r="V3087" s="11" t="str">
        <f t="shared" si="181"/>
        <v>http://www.env.gov.bc.ca/esd/distdata/ecosystems/Soil_Data/CAPAMP/</v>
      </c>
      <c r="W3087" t="s">
        <v>58</v>
      </c>
      <c r="X3087" t="s">
        <v>58</v>
      </c>
      <c r="Y3087" t="s">
        <v>58</v>
      </c>
      <c r="Z3087" t="s">
        <v>58</v>
      </c>
      <c r="AA3087" t="s">
        <v>58</v>
      </c>
      <c r="AC3087" t="s">
        <v>58</v>
      </c>
      <c r="AE3087" t="s">
        <v>58</v>
      </c>
      <c r="AG3087" t="s">
        <v>63</v>
      </c>
      <c r="AH3087" s="11" t="str">
        <f t="shared" si="182"/>
        <v>mailto: soilterrain@victoria1.gov.bc.ca</v>
      </c>
    </row>
    <row r="3088" spans="1:34">
      <c r="A3088" t="s">
        <v>6522</v>
      </c>
      <c r="B3088" t="s">
        <v>56</v>
      </c>
      <c r="C3088" s="10" t="s">
        <v>5557</v>
      </c>
      <c r="D3088" t="s">
        <v>58</v>
      </c>
      <c r="E3088" t="s">
        <v>497</v>
      </c>
      <c r="F3088" t="s">
        <v>6510</v>
      </c>
      <c r="G3088">
        <v>25000</v>
      </c>
      <c r="H3088">
        <v>1982</v>
      </c>
      <c r="I3088" t="s">
        <v>58</v>
      </c>
      <c r="J3088" t="s">
        <v>58</v>
      </c>
      <c r="K3088" t="s">
        <v>58</v>
      </c>
      <c r="L3088" t="s">
        <v>58</v>
      </c>
      <c r="M3088" t="s">
        <v>58</v>
      </c>
      <c r="N3088" t="s">
        <v>61</v>
      </c>
      <c r="Q3088" t="s">
        <v>58</v>
      </c>
      <c r="R3088" s="11" t="str">
        <f>HYPERLINK("\\imagefiles.bcgov\imagery\scanned_maps\moe_terrain_maps\Scanned_T_maps_all\R21\R21-1700","\\imagefiles.bcgov\imagery\scanned_maps\moe_terrain_maps\Scanned_T_maps_all\R21\R21-1700")</f>
        <v>\\imagefiles.bcgov\imagery\scanned_maps\moe_terrain_maps\Scanned_T_maps_all\R21\R21-1700</v>
      </c>
      <c r="S3088" t="s">
        <v>62</v>
      </c>
      <c r="T3088" s="11" t="str">
        <f>HYPERLINK("http://www.env.gov.bc.ca/esd/distdata/ecosystems/TEI_Scanned_Maps/R21/R21-1700","http://www.env.gov.bc.ca/esd/distdata/ecosystems/TEI_Scanned_Maps/R21/R21-1700")</f>
        <v>http://www.env.gov.bc.ca/esd/distdata/ecosystems/TEI_Scanned_Maps/R21/R21-1700</v>
      </c>
      <c r="U3088" t="s">
        <v>3353</v>
      </c>
      <c r="V3088" s="11" t="str">
        <f t="shared" si="181"/>
        <v>http://www.env.gov.bc.ca/esd/distdata/ecosystems/Soil_Data/CAPAMP/</v>
      </c>
      <c r="W3088" t="s">
        <v>58</v>
      </c>
      <c r="X3088" t="s">
        <v>58</v>
      </c>
      <c r="Y3088" t="s">
        <v>58</v>
      </c>
      <c r="Z3088" t="s">
        <v>58</v>
      </c>
      <c r="AA3088" t="s">
        <v>58</v>
      </c>
      <c r="AC3088" t="s">
        <v>58</v>
      </c>
      <c r="AE3088" t="s">
        <v>58</v>
      </c>
      <c r="AG3088" t="s">
        <v>63</v>
      </c>
      <c r="AH3088" s="11" t="str">
        <f t="shared" si="182"/>
        <v>mailto: soilterrain@victoria1.gov.bc.ca</v>
      </c>
    </row>
    <row r="3089" spans="1:34">
      <c r="A3089" t="s">
        <v>6523</v>
      </c>
      <c r="B3089" t="s">
        <v>56</v>
      </c>
      <c r="C3089" s="10" t="s">
        <v>5559</v>
      </c>
      <c r="D3089" t="s">
        <v>58</v>
      </c>
      <c r="E3089" t="s">
        <v>497</v>
      </c>
      <c r="F3089" t="s">
        <v>6510</v>
      </c>
      <c r="G3089">
        <v>25000</v>
      </c>
      <c r="H3089">
        <v>1982</v>
      </c>
      <c r="I3089" t="s">
        <v>58</v>
      </c>
      <c r="J3089" t="s">
        <v>58</v>
      </c>
      <c r="K3089" t="s">
        <v>58</v>
      </c>
      <c r="L3089" t="s">
        <v>58</v>
      </c>
      <c r="M3089" t="s">
        <v>58</v>
      </c>
      <c r="N3089" t="s">
        <v>61</v>
      </c>
      <c r="Q3089" t="s">
        <v>58</v>
      </c>
      <c r="R3089" s="11" t="str">
        <f>HYPERLINK("\\imagefiles.bcgov\imagery\scanned_maps\moe_terrain_maps\Scanned_T_maps_all\R21\R21-1704","\\imagefiles.bcgov\imagery\scanned_maps\moe_terrain_maps\Scanned_T_maps_all\R21\R21-1704")</f>
        <v>\\imagefiles.bcgov\imagery\scanned_maps\moe_terrain_maps\Scanned_T_maps_all\R21\R21-1704</v>
      </c>
      <c r="S3089" t="s">
        <v>62</v>
      </c>
      <c r="T3089" s="11" t="str">
        <f>HYPERLINK("http://www.env.gov.bc.ca/esd/distdata/ecosystems/TEI_Scanned_Maps/R21/R21-1704","http://www.env.gov.bc.ca/esd/distdata/ecosystems/TEI_Scanned_Maps/R21/R21-1704")</f>
        <v>http://www.env.gov.bc.ca/esd/distdata/ecosystems/TEI_Scanned_Maps/R21/R21-1704</v>
      </c>
      <c r="U3089" t="s">
        <v>3353</v>
      </c>
      <c r="V3089" s="11" t="str">
        <f t="shared" si="181"/>
        <v>http://www.env.gov.bc.ca/esd/distdata/ecosystems/Soil_Data/CAPAMP/</v>
      </c>
      <c r="W3089" t="s">
        <v>58</v>
      </c>
      <c r="X3089" t="s">
        <v>58</v>
      </c>
      <c r="Y3089" t="s">
        <v>58</v>
      </c>
      <c r="Z3089" t="s">
        <v>58</v>
      </c>
      <c r="AA3089" t="s">
        <v>58</v>
      </c>
      <c r="AC3089" t="s">
        <v>58</v>
      </c>
      <c r="AE3089" t="s">
        <v>58</v>
      </c>
      <c r="AG3089" t="s">
        <v>63</v>
      </c>
      <c r="AH3089" s="11" t="str">
        <f t="shared" si="182"/>
        <v>mailto: soilterrain@victoria1.gov.bc.ca</v>
      </c>
    </row>
    <row r="3090" spans="1:34">
      <c r="A3090" t="s">
        <v>6524</v>
      </c>
      <c r="B3090" t="s">
        <v>56</v>
      </c>
      <c r="C3090" s="10" t="s">
        <v>5561</v>
      </c>
      <c r="D3090" t="s">
        <v>58</v>
      </c>
      <c r="E3090" t="s">
        <v>497</v>
      </c>
      <c r="F3090" t="s">
        <v>6510</v>
      </c>
      <c r="G3090">
        <v>25000</v>
      </c>
      <c r="H3090">
        <v>1982</v>
      </c>
      <c r="I3090" t="s">
        <v>58</v>
      </c>
      <c r="J3090" t="s">
        <v>58</v>
      </c>
      <c r="K3090" t="s">
        <v>58</v>
      </c>
      <c r="L3090" t="s">
        <v>58</v>
      </c>
      <c r="M3090" t="s">
        <v>58</v>
      </c>
      <c r="N3090" t="s">
        <v>61</v>
      </c>
      <c r="Q3090" t="s">
        <v>58</v>
      </c>
      <c r="R3090" s="11" t="str">
        <f>HYPERLINK("\\imagefiles.bcgov\imagery\scanned_maps\moe_terrain_maps\Scanned_T_maps_all\R21\R21-1708","\\imagefiles.bcgov\imagery\scanned_maps\moe_terrain_maps\Scanned_T_maps_all\R21\R21-1708")</f>
        <v>\\imagefiles.bcgov\imagery\scanned_maps\moe_terrain_maps\Scanned_T_maps_all\R21\R21-1708</v>
      </c>
      <c r="S3090" t="s">
        <v>62</v>
      </c>
      <c r="T3090" s="11" t="str">
        <f>HYPERLINK("http://www.env.gov.bc.ca/esd/distdata/ecosystems/TEI_Scanned_Maps/R21/R21-1708","http://www.env.gov.bc.ca/esd/distdata/ecosystems/TEI_Scanned_Maps/R21/R21-1708")</f>
        <v>http://www.env.gov.bc.ca/esd/distdata/ecosystems/TEI_Scanned_Maps/R21/R21-1708</v>
      </c>
      <c r="U3090" t="s">
        <v>3353</v>
      </c>
      <c r="V3090" s="11" t="str">
        <f t="shared" si="181"/>
        <v>http://www.env.gov.bc.ca/esd/distdata/ecosystems/Soil_Data/CAPAMP/</v>
      </c>
      <c r="W3090" t="s">
        <v>58</v>
      </c>
      <c r="X3090" t="s">
        <v>58</v>
      </c>
      <c r="Y3090" t="s">
        <v>58</v>
      </c>
      <c r="Z3090" t="s">
        <v>58</v>
      </c>
      <c r="AA3090" t="s">
        <v>58</v>
      </c>
      <c r="AC3090" t="s">
        <v>58</v>
      </c>
      <c r="AE3090" t="s">
        <v>58</v>
      </c>
      <c r="AG3090" t="s">
        <v>63</v>
      </c>
      <c r="AH3090" s="11" t="str">
        <f t="shared" si="182"/>
        <v>mailto: soilterrain@victoria1.gov.bc.ca</v>
      </c>
    </row>
    <row r="3091" spans="1:34">
      <c r="A3091" t="s">
        <v>6525</v>
      </c>
      <c r="B3091" t="s">
        <v>56</v>
      </c>
      <c r="C3091" s="10" t="s">
        <v>5563</v>
      </c>
      <c r="D3091" t="s">
        <v>58</v>
      </c>
      <c r="E3091" t="s">
        <v>497</v>
      </c>
      <c r="F3091" t="s">
        <v>6510</v>
      </c>
      <c r="G3091">
        <v>25000</v>
      </c>
      <c r="H3091">
        <v>1982</v>
      </c>
      <c r="I3091" t="s">
        <v>58</v>
      </c>
      <c r="J3091" t="s">
        <v>58</v>
      </c>
      <c r="K3091" t="s">
        <v>58</v>
      </c>
      <c r="L3091" t="s">
        <v>58</v>
      </c>
      <c r="M3091" t="s">
        <v>58</v>
      </c>
      <c r="N3091" t="s">
        <v>61</v>
      </c>
      <c r="Q3091" t="s">
        <v>58</v>
      </c>
      <c r="R3091" s="11" t="str">
        <f>HYPERLINK("\\imagefiles.bcgov\imagery\scanned_maps\moe_terrain_maps\Scanned_T_maps_all\R21\R21-1712","\\imagefiles.bcgov\imagery\scanned_maps\moe_terrain_maps\Scanned_T_maps_all\R21\R21-1712")</f>
        <v>\\imagefiles.bcgov\imagery\scanned_maps\moe_terrain_maps\Scanned_T_maps_all\R21\R21-1712</v>
      </c>
      <c r="S3091" t="s">
        <v>62</v>
      </c>
      <c r="T3091" s="11" t="str">
        <f>HYPERLINK("http://www.env.gov.bc.ca/esd/distdata/ecosystems/TEI_Scanned_Maps/R21/R21-1712","http://www.env.gov.bc.ca/esd/distdata/ecosystems/TEI_Scanned_Maps/R21/R21-1712")</f>
        <v>http://www.env.gov.bc.ca/esd/distdata/ecosystems/TEI_Scanned_Maps/R21/R21-1712</v>
      </c>
      <c r="U3091" t="s">
        <v>3353</v>
      </c>
      <c r="V3091" s="11" t="str">
        <f t="shared" si="181"/>
        <v>http://www.env.gov.bc.ca/esd/distdata/ecosystems/Soil_Data/CAPAMP/</v>
      </c>
      <c r="W3091" t="s">
        <v>58</v>
      </c>
      <c r="X3091" t="s">
        <v>58</v>
      </c>
      <c r="Y3091" t="s">
        <v>58</v>
      </c>
      <c r="Z3091" t="s">
        <v>58</v>
      </c>
      <c r="AA3091" t="s">
        <v>58</v>
      </c>
      <c r="AC3091" t="s">
        <v>58</v>
      </c>
      <c r="AE3091" t="s">
        <v>58</v>
      </c>
      <c r="AG3091" t="s">
        <v>63</v>
      </c>
      <c r="AH3091" s="11" t="str">
        <f t="shared" si="182"/>
        <v>mailto: soilterrain@victoria1.gov.bc.ca</v>
      </c>
    </row>
    <row r="3092" spans="1:34">
      <c r="A3092" t="s">
        <v>6526</v>
      </c>
      <c r="B3092" t="s">
        <v>56</v>
      </c>
      <c r="C3092" s="10" t="s">
        <v>5565</v>
      </c>
      <c r="D3092" t="s">
        <v>58</v>
      </c>
      <c r="E3092" t="s">
        <v>497</v>
      </c>
      <c r="F3092" t="s">
        <v>6510</v>
      </c>
      <c r="G3092">
        <v>25000</v>
      </c>
      <c r="H3092">
        <v>1982</v>
      </c>
      <c r="I3092" t="s">
        <v>58</v>
      </c>
      <c r="J3092" t="s">
        <v>58</v>
      </c>
      <c r="K3092" t="s">
        <v>58</v>
      </c>
      <c r="L3092" t="s">
        <v>58</v>
      </c>
      <c r="M3092" t="s">
        <v>58</v>
      </c>
      <c r="N3092" t="s">
        <v>61</v>
      </c>
      <c r="Q3092" t="s">
        <v>58</v>
      </c>
      <c r="R3092" s="11" t="str">
        <f>HYPERLINK("\\imagefiles.bcgov\imagery\scanned_maps\moe_terrain_maps\Scanned_T_maps_all\R21\R21-1716","\\imagefiles.bcgov\imagery\scanned_maps\moe_terrain_maps\Scanned_T_maps_all\R21\R21-1716")</f>
        <v>\\imagefiles.bcgov\imagery\scanned_maps\moe_terrain_maps\Scanned_T_maps_all\R21\R21-1716</v>
      </c>
      <c r="S3092" t="s">
        <v>62</v>
      </c>
      <c r="T3092" s="11" t="str">
        <f>HYPERLINK("http://www.env.gov.bc.ca/esd/distdata/ecosystems/TEI_Scanned_Maps/R21/R21-1716","http://www.env.gov.bc.ca/esd/distdata/ecosystems/TEI_Scanned_Maps/R21/R21-1716")</f>
        <v>http://www.env.gov.bc.ca/esd/distdata/ecosystems/TEI_Scanned_Maps/R21/R21-1716</v>
      </c>
      <c r="U3092" t="s">
        <v>3353</v>
      </c>
      <c r="V3092" s="11" t="str">
        <f t="shared" si="181"/>
        <v>http://www.env.gov.bc.ca/esd/distdata/ecosystems/Soil_Data/CAPAMP/</v>
      </c>
      <c r="W3092" t="s">
        <v>58</v>
      </c>
      <c r="X3092" t="s">
        <v>58</v>
      </c>
      <c r="Y3092" t="s">
        <v>58</v>
      </c>
      <c r="Z3092" t="s">
        <v>58</v>
      </c>
      <c r="AA3092" t="s">
        <v>58</v>
      </c>
      <c r="AC3092" t="s">
        <v>58</v>
      </c>
      <c r="AE3092" t="s">
        <v>58</v>
      </c>
      <c r="AG3092" t="s">
        <v>63</v>
      </c>
      <c r="AH3092" s="11" t="str">
        <f t="shared" si="182"/>
        <v>mailto: soilterrain@victoria1.gov.bc.ca</v>
      </c>
    </row>
    <row r="3093" spans="1:34">
      <c r="A3093" t="s">
        <v>6527</v>
      </c>
      <c r="B3093" t="s">
        <v>56</v>
      </c>
      <c r="C3093" s="10" t="s">
        <v>5527</v>
      </c>
      <c r="D3093" t="s">
        <v>58</v>
      </c>
      <c r="E3093" t="s">
        <v>58</v>
      </c>
      <c r="F3093" t="s">
        <v>6528</v>
      </c>
      <c r="G3093">
        <v>25000</v>
      </c>
      <c r="H3093" t="s">
        <v>187</v>
      </c>
      <c r="I3093" t="s">
        <v>58</v>
      </c>
      <c r="J3093" t="s">
        <v>58</v>
      </c>
      <c r="K3093" t="s">
        <v>58</v>
      </c>
      <c r="L3093" t="s">
        <v>61</v>
      </c>
      <c r="M3093" t="s">
        <v>58</v>
      </c>
      <c r="Q3093" t="s">
        <v>58</v>
      </c>
      <c r="R3093" s="11" t="str">
        <f>HYPERLINK("\\imagefiles.bcgov\imagery\scanned_maps\moe_terrain_maps\Scanned_T_maps_all\R21\R21-5058","\\imagefiles.bcgov\imagery\scanned_maps\moe_terrain_maps\Scanned_T_maps_all\R21\R21-5058")</f>
        <v>\\imagefiles.bcgov\imagery\scanned_maps\moe_terrain_maps\Scanned_T_maps_all\R21\R21-5058</v>
      </c>
      <c r="S3093" t="s">
        <v>62</v>
      </c>
      <c r="T3093" s="11" t="str">
        <f>HYPERLINK("http://www.env.gov.bc.ca/esd/distdata/ecosystems/TEI_Scanned_Maps/R21/R21-5058","http://www.env.gov.bc.ca/esd/distdata/ecosystems/TEI_Scanned_Maps/R21/R21-5058")</f>
        <v>http://www.env.gov.bc.ca/esd/distdata/ecosystems/TEI_Scanned_Maps/R21/R21-5058</v>
      </c>
      <c r="U3093" t="s">
        <v>3353</v>
      </c>
      <c r="V3093" s="11" t="str">
        <f t="shared" si="181"/>
        <v>http://www.env.gov.bc.ca/esd/distdata/ecosystems/Soil_Data/CAPAMP/</v>
      </c>
      <c r="W3093" t="s">
        <v>58</v>
      </c>
      <c r="X3093" t="s">
        <v>58</v>
      </c>
      <c r="Y3093" t="s">
        <v>58</v>
      </c>
      <c r="Z3093" t="s">
        <v>58</v>
      </c>
      <c r="AA3093" t="s">
        <v>58</v>
      </c>
      <c r="AC3093" t="s">
        <v>58</v>
      </c>
      <c r="AE3093" t="s">
        <v>58</v>
      </c>
      <c r="AG3093" t="s">
        <v>63</v>
      </c>
      <c r="AH3093" s="11" t="str">
        <f t="shared" si="182"/>
        <v>mailto: soilterrain@victoria1.gov.bc.ca</v>
      </c>
    </row>
    <row r="3094" spans="1:34">
      <c r="A3094" t="s">
        <v>6529</v>
      </c>
      <c r="B3094" t="s">
        <v>56</v>
      </c>
      <c r="C3094" s="10" t="s">
        <v>5386</v>
      </c>
      <c r="D3094" t="s">
        <v>58</v>
      </c>
      <c r="E3094" t="s">
        <v>2952</v>
      </c>
      <c r="F3094" t="s">
        <v>6530</v>
      </c>
      <c r="G3094">
        <v>20000</v>
      </c>
      <c r="H3094">
        <v>1974</v>
      </c>
      <c r="I3094" t="s">
        <v>58</v>
      </c>
      <c r="J3094" t="s">
        <v>58</v>
      </c>
      <c r="K3094" t="s">
        <v>58</v>
      </c>
      <c r="L3094" t="s">
        <v>58</v>
      </c>
      <c r="M3094" t="s">
        <v>58</v>
      </c>
      <c r="P3094" t="s">
        <v>61</v>
      </c>
      <c r="Q3094" t="s">
        <v>58</v>
      </c>
      <c r="R3094" s="11" t="str">
        <f>HYPERLINK("\\imagefiles.bcgov\imagery\scanned_maps\moe_terrain_maps\Scanned_T_maps_all\R22\R22-154","\\imagefiles.bcgov\imagery\scanned_maps\moe_terrain_maps\Scanned_T_maps_all\R22\R22-154")</f>
        <v>\\imagefiles.bcgov\imagery\scanned_maps\moe_terrain_maps\Scanned_T_maps_all\R22\R22-154</v>
      </c>
      <c r="S3094" t="s">
        <v>62</v>
      </c>
      <c r="T3094" s="11" t="str">
        <f>HYPERLINK("http://www.env.gov.bc.ca/esd/distdata/ecosystems/TEI_Scanned_Maps/R22/R22-154","http://www.env.gov.bc.ca/esd/distdata/ecosystems/TEI_Scanned_Maps/R22/R22-154")</f>
        <v>http://www.env.gov.bc.ca/esd/distdata/ecosystems/TEI_Scanned_Maps/R22/R22-154</v>
      </c>
      <c r="U3094" t="s">
        <v>58</v>
      </c>
      <c r="V3094" t="s">
        <v>58</v>
      </c>
      <c r="W3094" t="s">
        <v>58</v>
      </c>
      <c r="X3094" t="s">
        <v>58</v>
      </c>
      <c r="Y3094" t="s">
        <v>58</v>
      </c>
      <c r="Z3094" t="s">
        <v>58</v>
      </c>
      <c r="AA3094" t="s">
        <v>58</v>
      </c>
      <c r="AC3094" t="s">
        <v>58</v>
      </c>
      <c r="AE3094" t="s">
        <v>58</v>
      </c>
      <c r="AG3094" t="s">
        <v>63</v>
      </c>
      <c r="AH3094" s="11" t="str">
        <f t="shared" si="182"/>
        <v>mailto: soilterrain@victoria1.gov.bc.ca</v>
      </c>
    </row>
    <row r="3095" spans="1:34">
      <c r="A3095" t="s">
        <v>6531</v>
      </c>
      <c r="B3095" t="s">
        <v>56</v>
      </c>
      <c r="C3095" s="10" t="s">
        <v>5388</v>
      </c>
      <c r="D3095" t="s">
        <v>58</v>
      </c>
      <c r="E3095" t="s">
        <v>2952</v>
      </c>
      <c r="F3095" t="s">
        <v>6530</v>
      </c>
      <c r="G3095">
        <v>20000</v>
      </c>
      <c r="H3095">
        <v>1974</v>
      </c>
      <c r="I3095" t="s">
        <v>58</v>
      </c>
      <c r="J3095" t="s">
        <v>58</v>
      </c>
      <c r="K3095" t="s">
        <v>58</v>
      </c>
      <c r="L3095" t="s">
        <v>58</v>
      </c>
      <c r="M3095" t="s">
        <v>58</v>
      </c>
      <c r="P3095" t="s">
        <v>61</v>
      </c>
      <c r="Q3095" t="s">
        <v>58</v>
      </c>
      <c r="R3095" s="11" t="str">
        <f>HYPERLINK("\\imagefiles.bcgov\imagery\scanned_maps\moe_terrain_maps\Scanned_T_maps_all\R22\R22-161","\\imagefiles.bcgov\imagery\scanned_maps\moe_terrain_maps\Scanned_T_maps_all\R22\R22-161")</f>
        <v>\\imagefiles.bcgov\imagery\scanned_maps\moe_terrain_maps\Scanned_T_maps_all\R22\R22-161</v>
      </c>
      <c r="S3095" t="s">
        <v>62</v>
      </c>
      <c r="T3095" s="11" t="str">
        <f>HYPERLINK("http://www.env.gov.bc.ca/esd/distdata/ecosystems/TEI_Scanned_Maps/R22/R22-161","http://www.env.gov.bc.ca/esd/distdata/ecosystems/TEI_Scanned_Maps/R22/R22-161")</f>
        <v>http://www.env.gov.bc.ca/esd/distdata/ecosystems/TEI_Scanned_Maps/R22/R22-161</v>
      </c>
      <c r="U3095" t="s">
        <v>58</v>
      </c>
      <c r="V3095" t="s">
        <v>58</v>
      </c>
      <c r="W3095" t="s">
        <v>58</v>
      </c>
      <c r="X3095" t="s">
        <v>58</v>
      </c>
      <c r="Y3095" t="s">
        <v>58</v>
      </c>
      <c r="Z3095" t="s">
        <v>58</v>
      </c>
      <c r="AA3095" t="s">
        <v>58</v>
      </c>
      <c r="AC3095" t="s">
        <v>58</v>
      </c>
      <c r="AE3095" t="s">
        <v>58</v>
      </c>
      <c r="AG3095" t="s">
        <v>63</v>
      </c>
      <c r="AH3095" s="11" t="str">
        <f t="shared" si="182"/>
        <v>mailto: soilterrain@victoria1.gov.bc.ca</v>
      </c>
    </row>
    <row r="3096" spans="1:34">
      <c r="A3096" t="s">
        <v>6532</v>
      </c>
      <c r="B3096" t="s">
        <v>56</v>
      </c>
      <c r="C3096" s="10" t="s">
        <v>5390</v>
      </c>
      <c r="D3096" t="s">
        <v>58</v>
      </c>
      <c r="E3096" t="s">
        <v>2952</v>
      </c>
      <c r="F3096" t="s">
        <v>6530</v>
      </c>
      <c r="G3096">
        <v>20000</v>
      </c>
      <c r="H3096">
        <v>1974</v>
      </c>
      <c r="I3096" t="s">
        <v>58</v>
      </c>
      <c r="J3096" t="s">
        <v>58</v>
      </c>
      <c r="K3096" t="s">
        <v>58</v>
      </c>
      <c r="L3096" t="s">
        <v>58</v>
      </c>
      <c r="M3096" t="s">
        <v>58</v>
      </c>
      <c r="P3096" t="s">
        <v>61</v>
      </c>
      <c r="Q3096" t="s">
        <v>58</v>
      </c>
      <c r="R3096" s="11" t="str">
        <f>HYPERLINK("\\imagefiles.bcgov\imagery\scanned_maps\moe_terrain_maps\Scanned_T_maps_all\R22\R22-167","\\imagefiles.bcgov\imagery\scanned_maps\moe_terrain_maps\Scanned_T_maps_all\R22\R22-167")</f>
        <v>\\imagefiles.bcgov\imagery\scanned_maps\moe_terrain_maps\Scanned_T_maps_all\R22\R22-167</v>
      </c>
      <c r="S3096" t="s">
        <v>62</v>
      </c>
      <c r="T3096" s="11" t="str">
        <f>HYPERLINK("http://www.env.gov.bc.ca/esd/distdata/ecosystems/TEI_Scanned_Maps/R22/R22-167","http://www.env.gov.bc.ca/esd/distdata/ecosystems/TEI_Scanned_Maps/R22/R22-167")</f>
        <v>http://www.env.gov.bc.ca/esd/distdata/ecosystems/TEI_Scanned_Maps/R22/R22-167</v>
      </c>
      <c r="U3096" t="s">
        <v>58</v>
      </c>
      <c r="V3096" t="s">
        <v>58</v>
      </c>
      <c r="W3096" t="s">
        <v>58</v>
      </c>
      <c r="X3096" t="s">
        <v>58</v>
      </c>
      <c r="Y3096" t="s">
        <v>58</v>
      </c>
      <c r="Z3096" t="s">
        <v>58</v>
      </c>
      <c r="AA3096" t="s">
        <v>58</v>
      </c>
      <c r="AC3096" t="s">
        <v>58</v>
      </c>
      <c r="AE3096" t="s">
        <v>58</v>
      </c>
      <c r="AG3096" t="s">
        <v>63</v>
      </c>
      <c r="AH3096" s="11" t="str">
        <f t="shared" si="182"/>
        <v>mailto: soilterrain@victoria1.gov.bc.ca</v>
      </c>
    </row>
    <row r="3097" spans="1:34">
      <c r="A3097" t="s">
        <v>6533</v>
      </c>
      <c r="B3097" t="s">
        <v>56</v>
      </c>
      <c r="C3097" s="10" t="s">
        <v>5392</v>
      </c>
      <c r="D3097" t="s">
        <v>58</v>
      </c>
      <c r="E3097" t="s">
        <v>2952</v>
      </c>
      <c r="F3097" t="s">
        <v>6530</v>
      </c>
      <c r="G3097">
        <v>20000</v>
      </c>
      <c r="H3097">
        <v>1974</v>
      </c>
      <c r="I3097" t="s">
        <v>58</v>
      </c>
      <c r="J3097" t="s">
        <v>58</v>
      </c>
      <c r="K3097" t="s">
        <v>58</v>
      </c>
      <c r="L3097" t="s">
        <v>58</v>
      </c>
      <c r="M3097" t="s">
        <v>58</v>
      </c>
      <c r="P3097" t="s">
        <v>61</v>
      </c>
      <c r="Q3097" t="s">
        <v>58</v>
      </c>
      <c r="R3097" s="11" t="str">
        <f>HYPERLINK("\\imagefiles.bcgov\imagery\scanned_maps\moe_terrain_maps\Scanned_T_maps_all\R22\R22-173","\\imagefiles.bcgov\imagery\scanned_maps\moe_terrain_maps\Scanned_T_maps_all\R22\R22-173")</f>
        <v>\\imagefiles.bcgov\imagery\scanned_maps\moe_terrain_maps\Scanned_T_maps_all\R22\R22-173</v>
      </c>
      <c r="S3097" t="s">
        <v>62</v>
      </c>
      <c r="T3097" s="11" t="str">
        <f>HYPERLINK("http://www.env.gov.bc.ca/esd/distdata/ecosystems/TEI_Scanned_Maps/R22/R22-173","http://www.env.gov.bc.ca/esd/distdata/ecosystems/TEI_Scanned_Maps/R22/R22-173")</f>
        <v>http://www.env.gov.bc.ca/esd/distdata/ecosystems/TEI_Scanned_Maps/R22/R22-173</v>
      </c>
      <c r="U3097" t="s">
        <v>58</v>
      </c>
      <c r="V3097" t="s">
        <v>58</v>
      </c>
      <c r="W3097" t="s">
        <v>58</v>
      </c>
      <c r="X3097" t="s">
        <v>58</v>
      </c>
      <c r="Y3097" t="s">
        <v>58</v>
      </c>
      <c r="Z3097" t="s">
        <v>58</v>
      </c>
      <c r="AA3097" t="s">
        <v>58</v>
      </c>
      <c r="AC3097" t="s">
        <v>58</v>
      </c>
      <c r="AE3097" t="s">
        <v>58</v>
      </c>
      <c r="AG3097" t="s">
        <v>63</v>
      </c>
      <c r="AH3097" s="11" t="str">
        <f t="shared" si="182"/>
        <v>mailto: soilterrain@victoria1.gov.bc.ca</v>
      </c>
    </row>
    <row r="3098" spans="1:34">
      <c r="A3098" t="s">
        <v>6534</v>
      </c>
      <c r="B3098" t="s">
        <v>56</v>
      </c>
      <c r="C3098" s="10" t="s">
        <v>4682</v>
      </c>
      <c r="D3098" t="s">
        <v>58</v>
      </c>
      <c r="E3098" t="s">
        <v>2952</v>
      </c>
      <c r="F3098" t="s">
        <v>6530</v>
      </c>
      <c r="G3098">
        <v>20000</v>
      </c>
      <c r="H3098">
        <v>1974</v>
      </c>
      <c r="I3098" t="s">
        <v>58</v>
      </c>
      <c r="J3098" t="s">
        <v>58</v>
      </c>
      <c r="K3098" t="s">
        <v>58</v>
      </c>
      <c r="L3098" t="s">
        <v>58</v>
      </c>
      <c r="M3098" t="s">
        <v>58</v>
      </c>
      <c r="P3098" t="s">
        <v>61</v>
      </c>
      <c r="Q3098" t="s">
        <v>58</v>
      </c>
      <c r="R3098" s="11" t="str">
        <f>HYPERLINK("\\imagefiles.bcgov\imagery\scanned_maps\moe_terrain_maps\Scanned_T_maps_all\R22\R22-180","\\imagefiles.bcgov\imagery\scanned_maps\moe_terrain_maps\Scanned_T_maps_all\R22\R22-180")</f>
        <v>\\imagefiles.bcgov\imagery\scanned_maps\moe_terrain_maps\Scanned_T_maps_all\R22\R22-180</v>
      </c>
      <c r="S3098" t="s">
        <v>62</v>
      </c>
      <c r="T3098" s="11" t="str">
        <f>HYPERLINK("http://www.env.gov.bc.ca/esd/distdata/ecosystems/TEI_Scanned_Maps/R22/R22-180","http://www.env.gov.bc.ca/esd/distdata/ecosystems/TEI_Scanned_Maps/R22/R22-180")</f>
        <v>http://www.env.gov.bc.ca/esd/distdata/ecosystems/TEI_Scanned_Maps/R22/R22-180</v>
      </c>
      <c r="U3098" t="s">
        <v>58</v>
      </c>
      <c r="V3098" t="s">
        <v>58</v>
      </c>
      <c r="W3098" t="s">
        <v>58</v>
      </c>
      <c r="X3098" t="s">
        <v>58</v>
      </c>
      <c r="Y3098" t="s">
        <v>58</v>
      </c>
      <c r="Z3098" t="s">
        <v>58</v>
      </c>
      <c r="AA3098" t="s">
        <v>58</v>
      </c>
      <c r="AC3098" t="s">
        <v>58</v>
      </c>
      <c r="AE3098" t="s">
        <v>58</v>
      </c>
      <c r="AG3098" t="s">
        <v>63</v>
      </c>
      <c r="AH3098" s="11" t="str">
        <f t="shared" si="182"/>
        <v>mailto: soilterrain@victoria1.gov.bc.ca</v>
      </c>
    </row>
    <row r="3099" spans="1:34">
      <c r="A3099" t="s">
        <v>6535</v>
      </c>
      <c r="B3099" t="s">
        <v>56</v>
      </c>
      <c r="C3099" s="10" t="s">
        <v>5395</v>
      </c>
      <c r="D3099" t="s">
        <v>58</v>
      </c>
      <c r="E3099" t="s">
        <v>2952</v>
      </c>
      <c r="F3099" t="s">
        <v>6530</v>
      </c>
      <c r="G3099">
        <v>20000</v>
      </c>
      <c r="H3099">
        <v>1980</v>
      </c>
      <c r="I3099" t="s">
        <v>58</v>
      </c>
      <c r="J3099" t="s">
        <v>58</v>
      </c>
      <c r="K3099" t="s">
        <v>58</v>
      </c>
      <c r="L3099" t="s">
        <v>58</v>
      </c>
      <c r="M3099" t="s">
        <v>58</v>
      </c>
      <c r="P3099" t="s">
        <v>61</v>
      </c>
      <c r="Q3099" t="s">
        <v>58</v>
      </c>
      <c r="R3099" s="11" t="str">
        <f>HYPERLINK("\\imagefiles.bcgov\imagery\scanned_maps\moe_terrain_maps\Scanned_T_maps_all\R22\R22-186","\\imagefiles.bcgov\imagery\scanned_maps\moe_terrain_maps\Scanned_T_maps_all\R22\R22-186")</f>
        <v>\\imagefiles.bcgov\imagery\scanned_maps\moe_terrain_maps\Scanned_T_maps_all\R22\R22-186</v>
      </c>
      <c r="S3099" t="s">
        <v>62</v>
      </c>
      <c r="T3099" s="11" t="str">
        <f>HYPERLINK("http://www.env.gov.bc.ca/esd/distdata/ecosystems/TEI_Scanned_Maps/R22/R22-186","http://www.env.gov.bc.ca/esd/distdata/ecosystems/TEI_Scanned_Maps/R22/R22-186")</f>
        <v>http://www.env.gov.bc.ca/esd/distdata/ecosystems/TEI_Scanned_Maps/R22/R22-186</v>
      </c>
      <c r="U3099" t="s">
        <v>58</v>
      </c>
      <c r="V3099" t="s">
        <v>58</v>
      </c>
      <c r="W3099" t="s">
        <v>58</v>
      </c>
      <c r="X3099" t="s">
        <v>58</v>
      </c>
      <c r="Y3099" t="s">
        <v>58</v>
      </c>
      <c r="Z3099" t="s">
        <v>58</v>
      </c>
      <c r="AA3099" t="s">
        <v>58</v>
      </c>
      <c r="AC3099" t="s">
        <v>58</v>
      </c>
      <c r="AE3099" t="s">
        <v>58</v>
      </c>
      <c r="AG3099" t="s">
        <v>63</v>
      </c>
      <c r="AH3099" s="11" t="str">
        <f t="shared" si="182"/>
        <v>mailto: soilterrain@victoria1.gov.bc.ca</v>
      </c>
    </row>
    <row r="3100" spans="1:34">
      <c r="A3100" t="s">
        <v>6536</v>
      </c>
      <c r="B3100" t="s">
        <v>56</v>
      </c>
      <c r="C3100" s="10" t="s">
        <v>5397</v>
      </c>
      <c r="D3100" t="s">
        <v>58</v>
      </c>
      <c r="E3100" t="s">
        <v>2952</v>
      </c>
      <c r="F3100" t="s">
        <v>6530</v>
      </c>
      <c r="G3100">
        <v>20000</v>
      </c>
      <c r="H3100">
        <v>1980</v>
      </c>
      <c r="I3100" t="s">
        <v>58</v>
      </c>
      <c r="J3100" t="s">
        <v>58</v>
      </c>
      <c r="K3100" t="s">
        <v>58</v>
      </c>
      <c r="L3100" t="s">
        <v>58</v>
      </c>
      <c r="M3100" t="s">
        <v>58</v>
      </c>
      <c r="P3100" t="s">
        <v>61</v>
      </c>
      <c r="Q3100" t="s">
        <v>58</v>
      </c>
      <c r="R3100" s="11" t="str">
        <f>HYPERLINK("\\imagefiles.bcgov\imagery\scanned_maps\moe_terrain_maps\Scanned_T_maps_all\R22\R22-192","\\imagefiles.bcgov\imagery\scanned_maps\moe_terrain_maps\Scanned_T_maps_all\R22\R22-192")</f>
        <v>\\imagefiles.bcgov\imagery\scanned_maps\moe_terrain_maps\Scanned_T_maps_all\R22\R22-192</v>
      </c>
      <c r="S3100" t="s">
        <v>62</v>
      </c>
      <c r="T3100" s="11" t="str">
        <f>HYPERLINK("http://www.env.gov.bc.ca/esd/distdata/ecosystems/TEI_Scanned_Maps/R22/R22-192","http://www.env.gov.bc.ca/esd/distdata/ecosystems/TEI_Scanned_Maps/R22/R22-192")</f>
        <v>http://www.env.gov.bc.ca/esd/distdata/ecosystems/TEI_Scanned_Maps/R22/R22-192</v>
      </c>
      <c r="U3100" t="s">
        <v>58</v>
      </c>
      <c r="V3100" t="s">
        <v>58</v>
      </c>
      <c r="W3100" t="s">
        <v>58</v>
      </c>
      <c r="X3100" t="s">
        <v>58</v>
      </c>
      <c r="Y3100" t="s">
        <v>58</v>
      </c>
      <c r="Z3100" t="s">
        <v>58</v>
      </c>
      <c r="AA3100" t="s">
        <v>58</v>
      </c>
      <c r="AC3100" t="s">
        <v>58</v>
      </c>
      <c r="AE3100" t="s">
        <v>58</v>
      </c>
      <c r="AG3100" t="s">
        <v>63</v>
      </c>
      <c r="AH3100" s="11" t="str">
        <f t="shared" si="182"/>
        <v>mailto: soilterrain@victoria1.gov.bc.ca</v>
      </c>
    </row>
    <row r="3101" spans="1:34">
      <c r="A3101" t="s">
        <v>6537</v>
      </c>
      <c r="B3101" t="s">
        <v>56</v>
      </c>
      <c r="C3101" s="10" t="s">
        <v>5399</v>
      </c>
      <c r="D3101" t="s">
        <v>58</v>
      </c>
      <c r="E3101" t="s">
        <v>2952</v>
      </c>
      <c r="F3101" t="s">
        <v>6530</v>
      </c>
      <c r="G3101">
        <v>20000</v>
      </c>
      <c r="H3101">
        <v>1980</v>
      </c>
      <c r="I3101" t="s">
        <v>58</v>
      </c>
      <c r="J3101" t="s">
        <v>58</v>
      </c>
      <c r="K3101" t="s">
        <v>58</v>
      </c>
      <c r="L3101" t="s">
        <v>58</v>
      </c>
      <c r="M3101" t="s">
        <v>58</v>
      </c>
      <c r="P3101" t="s">
        <v>61</v>
      </c>
      <c r="Q3101" t="s">
        <v>58</v>
      </c>
      <c r="R3101" s="11" t="str">
        <f>HYPERLINK("\\imagefiles.bcgov\imagery\scanned_maps\moe_terrain_maps\Scanned_T_maps_all\R22\R22-199","\\imagefiles.bcgov\imagery\scanned_maps\moe_terrain_maps\Scanned_T_maps_all\R22\R22-199")</f>
        <v>\\imagefiles.bcgov\imagery\scanned_maps\moe_terrain_maps\Scanned_T_maps_all\R22\R22-199</v>
      </c>
      <c r="S3101" t="s">
        <v>62</v>
      </c>
      <c r="T3101" s="11" t="str">
        <f>HYPERLINK("http://www.env.gov.bc.ca/esd/distdata/ecosystems/TEI_Scanned_Maps/R22/R22-199","http://www.env.gov.bc.ca/esd/distdata/ecosystems/TEI_Scanned_Maps/R22/R22-199")</f>
        <v>http://www.env.gov.bc.ca/esd/distdata/ecosystems/TEI_Scanned_Maps/R22/R22-199</v>
      </c>
      <c r="U3101" t="s">
        <v>58</v>
      </c>
      <c r="V3101" t="s">
        <v>58</v>
      </c>
      <c r="W3101" t="s">
        <v>58</v>
      </c>
      <c r="X3101" t="s">
        <v>58</v>
      </c>
      <c r="Y3101" t="s">
        <v>58</v>
      </c>
      <c r="Z3101" t="s">
        <v>58</v>
      </c>
      <c r="AA3101" t="s">
        <v>58</v>
      </c>
      <c r="AC3101" t="s">
        <v>58</v>
      </c>
      <c r="AE3101" t="s">
        <v>58</v>
      </c>
      <c r="AG3101" t="s">
        <v>63</v>
      </c>
      <c r="AH3101" s="11" t="str">
        <f t="shared" si="182"/>
        <v>mailto: soilterrain@victoria1.gov.bc.ca</v>
      </c>
    </row>
    <row r="3102" spans="1:34">
      <c r="A3102" t="s">
        <v>6538</v>
      </c>
      <c r="B3102" t="s">
        <v>56</v>
      </c>
      <c r="C3102" s="10" t="s">
        <v>5401</v>
      </c>
      <c r="D3102" t="s">
        <v>58</v>
      </c>
      <c r="E3102" t="s">
        <v>2952</v>
      </c>
      <c r="F3102" t="s">
        <v>6530</v>
      </c>
      <c r="G3102">
        <v>20000</v>
      </c>
      <c r="H3102">
        <v>1980</v>
      </c>
      <c r="I3102" t="s">
        <v>58</v>
      </c>
      <c r="J3102" t="s">
        <v>58</v>
      </c>
      <c r="K3102" t="s">
        <v>58</v>
      </c>
      <c r="L3102" t="s">
        <v>58</v>
      </c>
      <c r="M3102" t="s">
        <v>58</v>
      </c>
      <c r="P3102" t="s">
        <v>61</v>
      </c>
      <c r="Q3102" t="s">
        <v>58</v>
      </c>
      <c r="R3102" s="11" t="str">
        <f>HYPERLINK("\\imagefiles.bcgov\imagery\scanned_maps\moe_terrain_maps\Scanned_T_maps_all\R22\R22-205","\\imagefiles.bcgov\imagery\scanned_maps\moe_terrain_maps\Scanned_T_maps_all\R22\R22-205")</f>
        <v>\\imagefiles.bcgov\imagery\scanned_maps\moe_terrain_maps\Scanned_T_maps_all\R22\R22-205</v>
      </c>
      <c r="S3102" t="s">
        <v>62</v>
      </c>
      <c r="T3102" s="11" t="str">
        <f>HYPERLINK("http://www.env.gov.bc.ca/esd/distdata/ecosystems/TEI_Scanned_Maps/R22/R22-205","http://www.env.gov.bc.ca/esd/distdata/ecosystems/TEI_Scanned_Maps/R22/R22-205")</f>
        <v>http://www.env.gov.bc.ca/esd/distdata/ecosystems/TEI_Scanned_Maps/R22/R22-205</v>
      </c>
      <c r="U3102" t="s">
        <v>58</v>
      </c>
      <c r="V3102" t="s">
        <v>58</v>
      </c>
      <c r="W3102" t="s">
        <v>58</v>
      </c>
      <c r="X3102" t="s">
        <v>58</v>
      </c>
      <c r="Y3102" t="s">
        <v>58</v>
      </c>
      <c r="Z3102" t="s">
        <v>58</v>
      </c>
      <c r="AA3102" t="s">
        <v>58</v>
      </c>
      <c r="AC3102" t="s">
        <v>58</v>
      </c>
      <c r="AE3102" t="s">
        <v>58</v>
      </c>
      <c r="AG3102" t="s">
        <v>63</v>
      </c>
      <c r="AH3102" s="11" t="str">
        <f t="shared" si="182"/>
        <v>mailto: soilterrain@victoria1.gov.bc.ca</v>
      </c>
    </row>
    <row r="3103" spans="1:34">
      <c r="A3103" t="s">
        <v>6539</v>
      </c>
      <c r="B3103" t="s">
        <v>56</v>
      </c>
      <c r="C3103" s="10" t="s">
        <v>5403</v>
      </c>
      <c r="D3103" t="s">
        <v>58</v>
      </c>
      <c r="E3103" t="s">
        <v>2952</v>
      </c>
      <c r="F3103" t="s">
        <v>6530</v>
      </c>
      <c r="G3103">
        <v>20000</v>
      </c>
      <c r="H3103">
        <v>1974</v>
      </c>
      <c r="I3103" t="s">
        <v>58</v>
      </c>
      <c r="J3103" t="s">
        <v>58</v>
      </c>
      <c r="K3103" t="s">
        <v>58</v>
      </c>
      <c r="L3103" t="s">
        <v>58</v>
      </c>
      <c r="M3103" t="s">
        <v>58</v>
      </c>
      <c r="P3103" t="s">
        <v>61</v>
      </c>
      <c r="Q3103" t="s">
        <v>58</v>
      </c>
      <c r="R3103" s="11" t="str">
        <f>HYPERLINK("\\imagefiles.bcgov\imagery\scanned_maps\moe_terrain_maps\Scanned_T_maps_all\R22\R22-212","\\imagefiles.bcgov\imagery\scanned_maps\moe_terrain_maps\Scanned_T_maps_all\R22\R22-212")</f>
        <v>\\imagefiles.bcgov\imagery\scanned_maps\moe_terrain_maps\Scanned_T_maps_all\R22\R22-212</v>
      </c>
      <c r="S3103" t="s">
        <v>62</v>
      </c>
      <c r="T3103" s="11" t="str">
        <f>HYPERLINK("http://www.env.gov.bc.ca/esd/distdata/ecosystems/TEI_Scanned_Maps/R22/R22-212","http://www.env.gov.bc.ca/esd/distdata/ecosystems/TEI_Scanned_Maps/R22/R22-212")</f>
        <v>http://www.env.gov.bc.ca/esd/distdata/ecosystems/TEI_Scanned_Maps/R22/R22-212</v>
      </c>
      <c r="U3103" t="s">
        <v>58</v>
      </c>
      <c r="V3103" t="s">
        <v>58</v>
      </c>
      <c r="W3103" t="s">
        <v>58</v>
      </c>
      <c r="X3103" t="s">
        <v>58</v>
      </c>
      <c r="Y3103" t="s">
        <v>58</v>
      </c>
      <c r="Z3103" t="s">
        <v>58</v>
      </c>
      <c r="AA3103" t="s">
        <v>58</v>
      </c>
      <c r="AC3103" t="s">
        <v>58</v>
      </c>
      <c r="AE3103" t="s">
        <v>58</v>
      </c>
      <c r="AG3103" t="s">
        <v>63</v>
      </c>
      <c r="AH3103" s="11" t="str">
        <f t="shared" si="182"/>
        <v>mailto: soilterrain@victoria1.gov.bc.ca</v>
      </c>
    </row>
    <row r="3104" spans="1:34">
      <c r="A3104" t="s">
        <v>6540</v>
      </c>
      <c r="B3104" t="s">
        <v>56</v>
      </c>
      <c r="C3104" s="10" t="s">
        <v>5405</v>
      </c>
      <c r="D3104" t="s">
        <v>58</v>
      </c>
      <c r="E3104" t="s">
        <v>2952</v>
      </c>
      <c r="F3104" t="s">
        <v>6530</v>
      </c>
      <c r="G3104">
        <v>20000</v>
      </c>
      <c r="H3104">
        <v>1975</v>
      </c>
      <c r="I3104" t="s">
        <v>58</v>
      </c>
      <c r="J3104" t="s">
        <v>58</v>
      </c>
      <c r="K3104" t="s">
        <v>58</v>
      </c>
      <c r="L3104" t="s">
        <v>58</v>
      </c>
      <c r="M3104" t="s">
        <v>58</v>
      </c>
      <c r="P3104" t="s">
        <v>61</v>
      </c>
      <c r="Q3104" t="s">
        <v>58</v>
      </c>
      <c r="R3104" s="11" t="str">
        <f>HYPERLINK("\\imagefiles.bcgov\imagery\scanned_maps\moe_terrain_maps\Scanned_T_maps_all\R22\R22-219","\\imagefiles.bcgov\imagery\scanned_maps\moe_terrain_maps\Scanned_T_maps_all\R22\R22-219")</f>
        <v>\\imagefiles.bcgov\imagery\scanned_maps\moe_terrain_maps\Scanned_T_maps_all\R22\R22-219</v>
      </c>
      <c r="S3104" t="s">
        <v>62</v>
      </c>
      <c r="T3104" s="11" t="str">
        <f>HYPERLINK("http://www.env.gov.bc.ca/esd/distdata/ecosystems/TEI_Scanned_Maps/R22/R22-219","http://www.env.gov.bc.ca/esd/distdata/ecosystems/TEI_Scanned_Maps/R22/R22-219")</f>
        <v>http://www.env.gov.bc.ca/esd/distdata/ecosystems/TEI_Scanned_Maps/R22/R22-219</v>
      </c>
      <c r="U3104" t="s">
        <v>58</v>
      </c>
      <c r="V3104" t="s">
        <v>58</v>
      </c>
      <c r="W3104" t="s">
        <v>58</v>
      </c>
      <c r="X3104" t="s">
        <v>58</v>
      </c>
      <c r="Y3104" t="s">
        <v>58</v>
      </c>
      <c r="Z3104" t="s">
        <v>58</v>
      </c>
      <c r="AA3104" t="s">
        <v>58</v>
      </c>
      <c r="AC3104" t="s">
        <v>58</v>
      </c>
      <c r="AE3104" t="s">
        <v>58</v>
      </c>
      <c r="AG3104" t="s">
        <v>63</v>
      </c>
      <c r="AH3104" s="11" t="str">
        <f t="shared" si="182"/>
        <v>mailto: soilterrain@victoria1.gov.bc.ca</v>
      </c>
    </row>
    <row r="3105" spans="1:34">
      <c r="A3105" t="s">
        <v>6541</v>
      </c>
      <c r="B3105" t="s">
        <v>56</v>
      </c>
      <c r="C3105" s="10" t="s">
        <v>5407</v>
      </c>
      <c r="D3105" t="s">
        <v>58</v>
      </c>
      <c r="E3105" t="s">
        <v>2952</v>
      </c>
      <c r="F3105" t="s">
        <v>6530</v>
      </c>
      <c r="G3105">
        <v>20000</v>
      </c>
      <c r="H3105">
        <v>1974</v>
      </c>
      <c r="I3105" t="s">
        <v>58</v>
      </c>
      <c r="J3105" t="s">
        <v>58</v>
      </c>
      <c r="K3105" t="s">
        <v>58</v>
      </c>
      <c r="L3105" t="s">
        <v>58</v>
      </c>
      <c r="M3105" t="s">
        <v>58</v>
      </c>
      <c r="P3105" t="s">
        <v>61</v>
      </c>
      <c r="Q3105" t="s">
        <v>58</v>
      </c>
      <c r="R3105" s="11" t="str">
        <f>HYPERLINK("\\imagefiles.bcgov\imagery\scanned_maps\moe_terrain_maps\Scanned_T_maps_all\R22\R22-226","\\imagefiles.bcgov\imagery\scanned_maps\moe_terrain_maps\Scanned_T_maps_all\R22\R22-226")</f>
        <v>\\imagefiles.bcgov\imagery\scanned_maps\moe_terrain_maps\Scanned_T_maps_all\R22\R22-226</v>
      </c>
      <c r="S3105" t="s">
        <v>62</v>
      </c>
      <c r="T3105" s="11" t="str">
        <f>HYPERLINK("http://www.env.gov.bc.ca/esd/distdata/ecosystems/TEI_Scanned_Maps/R22/R22-226","http://www.env.gov.bc.ca/esd/distdata/ecosystems/TEI_Scanned_Maps/R22/R22-226")</f>
        <v>http://www.env.gov.bc.ca/esd/distdata/ecosystems/TEI_Scanned_Maps/R22/R22-226</v>
      </c>
      <c r="U3105" t="s">
        <v>58</v>
      </c>
      <c r="V3105" t="s">
        <v>58</v>
      </c>
      <c r="W3105" t="s">
        <v>58</v>
      </c>
      <c r="X3105" t="s">
        <v>58</v>
      </c>
      <c r="Y3105" t="s">
        <v>58</v>
      </c>
      <c r="Z3105" t="s">
        <v>58</v>
      </c>
      <c r="AA3105" t="s">
        <v>58</v>
      </c>
      <c r="AC3105" t="s">
        <v>58</v>
      </c>
      <c r="AE3105" t="s">
        <v>58</v>
      </c>
      <c r="AG3105" t="s">
        <v>63</v>
      </c>
      <c r="AH3105" s="11" t="str">
        <f t="shared" si="182"/>
        <v>mailto: soilterrain@victoria1.gov.bc.ca</v>
      </c>
    </row>
    <row r="3106" spans="1:34">
      <c r="A3106" t="s">
        <v>6542</v>
      </c>
      <c r="B3106" t="s">
        <v>56</v>
      </c>
      <c r="C3106" s="10" t="s">
        <v>5409</v>
      </c>
      <c r="D3106" t="s">
        <v>58</v>
      </c>
      <c r="E3106" t="s">
        <v>2952</v>
      </c>
      <c r="F3106" t="s">
        <v>6530</v>
      </c>
      <c r="G3106">
        <v>20000</v>
      </c>
      <c r="H3106">
        <v>1975</v>
      </c>
      <c r="I3106" t="s">
        <v>58</v>
      </c>
      <c r="J3106" t="s">
        <v>58</v>
      </c>
      <c r="K3106" t="s">
        <v>58</v>
      </c>
      <c r="L3106" t="s">
        <v>58</v>
      </c>
      <c r="M3106" t="s">
        <v>58</v>
      </c>
      <c r="P3106" t="s">
        <v>61</v>
      </c>
      <c r="Q3106" t="s">
        <v>58</v>
      </c>
      <c r="R3106" s="11" t="str">
        <f>HYPERLINK("\\imagefiles.bcgov\imagery\scanned_maps\moe_terrain_maps\Scanned_T_maps_all\R22\R22-233","\\imagefiles.bcgov\imagery\scanned_maps\moe_terrain_maps\Scanned_T_maps_all\R22\R22-233")</f>
        <v>\\imagefiles.bcgov\imagery\scanned_maps\moe_terrain_maps\Scanned_T_maps_all\R22\R22-233</v>
      </c>
      <c r="S3106" t="s">
        <v>62</v>
      </c>
      <c r="T3106" s="11" t="str">
        <f>HYPERLINK("http://www.env.gov.bc.ca/esd/distdata/ecosystems/TEI_Scanned_Maps/R22/R22-233","http://www.env.gov.bc.ca/esd/distdata/ecosystems/TEI_Scanned_Maps/R22/R22-233")</f>
        <v>http://www.env.gov.bc.ca/esd/distdata/ecosystems/TEI_Scanned_Maps/R22/R22-233</v>
      </c>
      <c r="U3106" t="s">
        <v>58</v>
      </c>
      <c r="V3106" t="s">
        <v>58</v>
      </c>
      <c r="W3106" t="s">
        <v>58</v>
      </c>
      <c r="X3106" t="s">
        <v>58</v>
      </c>
      <c r="Y3106" t="s">
        <v>58</v>
      </c>
      <c r="Z3106" t="s">
        <v>58</v>
      </c>
      <c r="AA3106" t="s">
        <v>58</v>
      </c>
      <c r="AC3106" t="s">
        <v>58</v>
      </c>
      <c r="AE3106" t="s">
        <v>58</v>
      </c>
      <c r="AG3106" t="s">
        <v>63</v>
      </c>
      <c r="AH3106" s="11" t="str">
        <f t="shared" si="182"/>
        <v>mailto: soilterrain@victoria1.gov.bc.ca</v>
      </c>
    </row>
    <row r="3107" spans="1:34">
      <c r="A3107" t="s">
        <v>6543</v>
      </c>
      <c r="B3107" t="s">
        <v>56</v>
      </c>
      <c r="C3107" s="10" t="s">
        <v>5411</v>
      </c>
      <c r="D3107" t="s">
        <v>58</v>
      </c>
      <c r="E3107" t="s">
        <v>2952</v>
      </c>
      <c r="F3107" t="s">
        <v>6530</v>
      </c>
      <c r="G3107">
        <v>20000</v>
      </c>
      <c r="H3107">
        <v>1978</v>
      </c>
      <c r="I3107" t="s">
        <v>58</v>
      </c>
      <c r="J3107" t="s">
        <v>58</v>
      </c>
      <c r="K3107" t="s">
        <v>58</v>
      </c>
      <c r="L3107" t="s">
        <v>58</v>
      </c>
      <c r="M3107" t="s">
        <v>58</v>
      </c>
      <c r="P3107" t="s">
        <v>61</v>
      </c>
      <c r="Q3107" t="s">
        <v>58</v>
      </c>
      <c r="R3107" s="11" t="str">
        <f>HYPERLINK("\\imagefiles.bcgov\imagery\scanned_maps\moe_terrain_maps\Scanned_T_maps_all\R22\R22-240","\\imagefiles.bcgov\imagery\scanned_maps\moe_terrain_maps\Scanned_T_maps_all\R22\R22-240")</f>
        <v>\\imagefiles.bcgov\imagery\scanned_maps\moe_terrain_maps\Scanned_T_maps_all\R22\R22-240</v>
      </c>
      <c r="S3107" t="s">
        <v>62</v>
      </c>
      <c r="T3107" s="11" t="str">
        <f>HYPERLINK("http://www.env.gov.bc.ca/esd/distdata/ecosystems/TEI_Scanned_Maps/R22/R22-240","http://www.env.gov.bc.ca/esd/distdata/ecosystems/TEI_Scanned_Maps/R22/R22-240")</f>
        <v>http://www.env.gov.bc.ca/esd/distdata/ecosystems/TEI_Scanned_Maps/R22/R22-240</v>
      </c>
      <c r="U3107" t="s">
        <v>58</v>
      </c>
      <c r="V3107" t="s">
        <v>58</v>
      </c>
      <c r="W3107" t="s">
        <v>58</v>
      </c>
      <c r="X3107" t="s">
        <v>58</v>
      </c>
      <c r="Y3107" t="s">
        <v>58</v>
      </c>
      <c r="Z3107" t="s">
        <v>58</v>
      </c>
      <c r="AA3107" t="s">
        <v>58</v>
      </c>
      <c r="AC3107" t="s">
        <v>58</v>
      </c>
      <c r="AE3107" t="s">
        <v>58</v>
      </c>
      <c r="AG3107" t="s">
        <v>63</v>
      </c>
      <c r="AH3107" s="11" t="str">
        <f t="shared" si="182"/>
        <v>mailto: soilterrain@victoria1.gov.bc.ca</v>
      </c>
    </row>
    <row r="3108" spans="1:34">
      <c r="A3108" t="s">
        <v>6544</v>
      </c>
      <c r="B3108" t="s">
        <v>56</v>
      </c>
      <c r="C3108" s="10" t="s">
        <v>5413</v>
      </c>
      <c r="D3108" t="s">
        <v>58</v>
      </c>
      <c r="E3108" t="s">
        <v>2952</v>
      </c>
      <c r="F3108" t="s">
        <v>6530</v>
      </c>
      <c r="G3108">
        <v>20000</v>
      </c>
      <c r="H3108">
        <v>1974</v>
      </c>
      <c r="I3108" t="s">
        <v>58</v>
      </c>
      <c r="J3108" t="s">
        <v>58</v>
      </c>
      <c r="K3108" t="s">
        <v>58</v>
      </c>
      <c r="L3108" t="s">
        <v>58</v>
      </c>
      <c r="M3108" t="s">
        <v>58</v>
      </c>
      <c r="P3108" t="s">
        <v>61</v>
      </c>
      <c r="Q3108" t="s">
        <v>58</v>
      </c>
      <c r="R3108" s="11" t="str">
        <f>HYPERLINK("\\imagefiles.bcgov\imagery\scanned_maps\moe_terrain_maps\Scanned_T_maps_all\R22\R22-247","\\imagefiles.bcgov\imagery\scanned_maps\moe_terrain_maps\Scanned_T_maps_all\R22\R22-247")</f>
        <v>\\imagefiles.bcgov\imagery\scanned_maps\moe_terrain_maps\Scanned_T_maps_all\R22\R22-247</v>
      </c>
      <c r="S3108" t="s">
        <v>62</v>
      </c>
      <c r="T3108" s="11" t="str">
        <f>HYPERLINK("http://www.env.gov.bc.ca/esd/distdata/ecosystems/TEI_Scanned_Maps/R22/R22-247","http://www.env.gov.bc.ca/esd/distdata/ecosystems/TEI_Scanned_Maps/R22/R22-247")</f>
        <v>http://www.env.gov.bc.ca/esd/distdata/ecosystems/TEI_Scanned_Maps/R22/R22-247</v>
      </c>
      <c r="U3108" t="s">
        <v>58</v>
      </c>
      <c r="V3108" t="s">
        <v>58</v>
      </c>
      <c r="W3108" t="s">
        <v>58</v>
      </c>
      <c r="X3108" t="s">
        <v>58</v>
      </c>
      <c r="Y3108" t="s">
        <v>58</v>
      </c>
      <c r="Z3108" t="s">
        <v>58</v>
      </c>
      <c r="AA3108" t="s">
        <v>58</v>
      </c>
      <c r="AC3108" t="s">
        <v>58</v>
      </c>
      <c r="AE3108" t="s">
        <v>58</v>
      </c>
      <c r="AG3108" t="s">
        <v>63</v>
      </c>
      <c r="AH3108" s="11" t="str">
        <f t="shared" si="182"/>
        <v>mailto: soilterrain@victoria1.gov.bc.ca</v>
      </c>
    </row>
    <row r="3109" spans="1:34">
      <c r="A3109" t="s">
        <v>6545</v>
      </c>
      <c r="B3109" t="s">
        <v>56</v>
      </c>
      <c r="C3109" s="10" t="s">
        <v>5415</v>
      </c>
      <c r="D3109" t="s">
        <v>58</v>
      </c>
      <c r="E3109" t="s">
        <v>2952</v>
      </c>
      <c r="F3109" t="s">
        <v>6530</v>
      </c>
      <c r="G3109">
        <v>20000</v>
      </c>
      <c r="H3109">
        <v>1975</v>
      </c>
      <c r="I3109" t="s">
        <v>58</v>
      </c>
      <c r="J3109" t="s">
        <v>58</v>
      </c>
      <c r="K3109" t="s">
        <v>58</v>
      </c>
      <c r="L3109" t="s">
        <v>58</v>
      </c>
      <c r="M3109" t="s">
        <v>58</v>
      </c>
      <c r="P3109" t="s">
        <v>61</v>
      </c>
      <c r="Q3109" t="s">
        <v>58</v>
      </c>
      <c r="R3109" s="11" t="str">
        <f>HYPERLINK("\\imagefiles.bcgov\imagery\scanned_maps\moe_terrain_maps\Scanned_T_maps_all\R22\R22-254","\\imagefiles.bcgov\imagery\scanned_maps\moe_terrain_maps\Scanned_T_maps_all\R22\R22-254")</f>
        <v>\\imagefiles.bcgov\imagery\scanned_maps\moe_terrain_maps\Scanned_T_maps_all\R22\R22-254</v>
      </c>
      <c r="S3109" t="s">
        <v>62</v>
      </c>
      <c r="T3109" s="11" t="str">
        <f>HYPERLINK("http://www.env.gov.bc.ca/esd/distdata/ecosystems/TEI_Scanned_Maps/R22/R22-254","http://www.env.gov.bc.ca/esd/distdata/ecosystems/TEI_Scanned_Maps/R22/R22-254")</f>
        <v>http://www.env.gov.bc.ca/esd/distdata/ecosystems/TEI_Scanned_Maps/R22/R22-254</v>
      </c>
      <c r="U3109" t="s">
        <v>58</v>
      </c>
      <c r="V3109" t="s">
        <v>58</v>
      </c>
      <c r="W3109" t="s">
        <v>58</v>
      </c>
      <c r="X3109" t="s">
        <v>58</v>
      </c>
      <c r="Y3109" t="s">
        <v>58</v>
      </c>
      <c r="Z3109" t="s">
        <v>58</v>
      </c>
      <c r="AA3109" t="s">
        <v>58</v>
      </c>
      <c r="AC3109" t="s">
        <v>58</v>
      </c>
      <c r="AE3109" t="s">
        <v>58</v>
      </c>
      <c r="AG3109" t="s">
        <v>63</v>
      </c>
      <c r="AH3109" s="11" t="str">
        <f t="shared" si="182"/>
        <v>mailto: soilterrain@victoria1.gov.bc.ca</v>
      </c>
    </row>
    <row r="3110" spans="1:34">
      <c r="A3110" t="s">
        <v>6546</v>
      </c>
      <c r="B3110" t="s">
        <v>56</v>
      </c>
      <c r="C3110" s="10" t="s">
        <v>5417</v>
      </c>
      <c r="D3110" t="s">
        <v>58</v>
      </c>
      <c r="E3110" t="s">
        <v>2952</v>
      </c>
      <c r="F3110" t="s">
        <v>6530</v>
      </c>
      <c r="G3110">
        <v>20000</v>
      </c>
      <c r="H3110">
        <v>1978</v>
      </c>
      <c r="I3110" t="s">
        <v>58</v>
      </c>
      <c r="J3110" t="s">
        <v>58</v>
      </c>
      <c r="K3110" t="s">
        <v>58</v>
      </c>
      <c r="L3110" t="s">
        <v>58</v>
      </c>
      <c r="M3110" t="s">
        <v>58</v>
      </c>
      <c r="P3110" t="s">
        <v>61</v>
      </c>
      <c r="Q3110" t="s">
        <v>58</v>
      </c>
      <c r="R3110" s="11" t="str">
        <f>HYPERLINK("\\imagefiles.bcgov\imagery\scanned_maps\moe_terrain_maps\Scanned_T_maps_all\R22\R22-261","\\imagefiles.bcgov\imagery\scanned_maps\moe_terrain_maps\Scanned_T_maps_all\R22\R22-261")</f>
        <v>\\imagefiles.bcgov\imagery\scanned_maps\moe_terrain_maps\Scanned_T_maps_all\R22\R22-261</v>
      </c>
      <c r="S3110" t="s">
        <v>62</v>
      </c>
      <c r="T3110" s="11" t="str">
        <f>HYPERLINK("http://www.env.gov.bc.ca/esd/distdata/ecosystems/TEI_Scanned_Maps/R22/R22-261","http://www.env.gov.bc.ca/esd/distdata/ecosystems/TEI_Scanned_Maps/R22/R22-261")</f>
        <v>http://www.env.gov.bc.ca/esd/distdata/ecosystems/TEI_Scanned_Maps/R22/R22-261</v>
      </c>
      <c r="U3110" t="s">
        <v>58</v>
      </c>
      <c r="V3110" t="s">
        <v>58</v>
      </c>
      <c r="W3110" t="s">
        <v>58</v>
      </c>
      <c r="X3110" t="s">
        <v>58</v>
      </c>
      <c r="Y3110" t="s">
        <v>58</v>
      </c>
      <c r="Z3110" t="s">
        <v>58</v>
      </c>
      <c r="AA3110" t="s">
        <v>58</v>
      </c>
      <c r="AC3110" t="s">
        <v>58</v>
      </c>
      <c r="AE3110" t="s">
        <v>58</v>
      </c>
      <c r="AG3110" t="s">
        <v>63</v>
      </c>
      <c r="AH3110" s="11" t="str">
        <f t="shared" si="182"/>
        <v>mailto: soilterrain@victoria1.gov.bc.ca</v>
      </c>
    </row>
    <row r="3111" spans="1:34">
      <c r="A3111" t="s">
        <v>6547</v>
      </c>
      <c r="B3111" t="s">
        <v>56</v>
      </c>
      <c r="C3111" s="10" t="s">
        <v>5419</v>
      </c>
      <c r="D3111" t="s">
        <v>58</v>
      </c>
      <c r="E3111" t="s">
        <v>2952</v>
      </c>
      <c r="F3111" t="s">
        <v>6530</v>
      </c>
      <c r="G3111">
        <v>20000</v>
      </c>
      <c r="H3111">
        <v>1974</v>
      </c>
      <c r="I3111" t="s">
        <v>58</v>
      </c>
      <c r="J3111" t="s">
        <v>58</v>
      </c>
      <c r="K3111" t="s">
        <v>58</v>
      </c>
      <c r="L3111" t="s">
        <v>58</v>
      </c>
      <c r="M3111" t="s">
        <v>58</v>
      </c>
      <c r="P3111" t="s">
        <v>61</v>
      </c>
      <c r="Q3111" t="s">
        <v>58</v>
      </c>
      <c r="R3111" s="11" t="str">
        <f>HYPERLINK("\\imagefiles.bcgov\imagery\scanned_maps\moe_terrain_maps\Scanned_T_maps_all\R22\R22-268","\\imagefiles.bcgov\imagery\scanned_maps\moe_terrain_maps\Scanned_T_maps_all\R22\R22-268")</f>
        <v>\\imagefiles.bcgov\imagery\scanned_maps\moe_terrain_maps\Scanned_T_maps_all\R22\R22-268</v>
      </c>
      <c r="S3111" t="s">
        <v>62</v>
      </c>
      <c r="T3111" s="11" t="str">
        <f>HYPERLINK("http://www.env.gov.bc.ca/esd/distdata/ecosystems/TEI_Scanned_Maps/R22/R22-268","http://www.env.gov.bc.ca/esd/distdata/ecosystems/TEI_Scanned_Maps/R22/R22-268")</f>
        <v>http://www.env.gov.bc.ca/esd/distdata/ecosystems/TEI_Scanned_Maps/R22/R22-268</v>
      </c>
      <c r="U3111" t="s">
        <v>58</v>
      </c>
      <c r="V3111" t="s">
        <v>58</v>
      </c>
      <c r="W3111" t="s">
        <v>58</v>
      </c>
      <c r="X3111" t="s">
        <v>58</v>
      </c>
      <c r="Y3111" t="s">
        <v>58</v>
      </c>
      <c r="Z3111" t="s">
        <v>58</v>
      </c>
      <c r="AA3111" t="s">
        <v>58</v>
      </c>
      <c r="AC3111" t="s">
        <v>58</v>
      </c>
      <c r="AE3111" t="s">
        <v>58</v>
      </c>
      <c r="AG3111" t="s">
        <v>63</v>
      </c>
      <c r="AH3111" s="11" t="str">
        <f t="shared" si="182"/>
        <v>mailto: soilterrain@victoria1.gov.bc.ca</v>
      </c>
    </row>
    <row r="3112" spans="1:34">
      <c r="A3112" t="s">
        <v>6548</v>
      </c>
      <c r="B3112" t="s">
        <v>56</v>
      </c>
      <c r="C3112" s="10" t="s">
        <v>5421</v>
      </c>
      <c r="D3112" t="s">
        <v>58</v>
      </c>
      <c r="E3112" t="s">
        <v>2952</v>
      </c>
      <c r="F3112" t="s">
        <v>6530</v>
      </c>
      <c r="G3112">
        <v>20000</v>
      </c>
      <c r="H3112">
        <v>1975</v>
      </c>
      <c r="I3112" t="s">
        <v>58</v>
      </c>
      <c r="J3112" t="s">
        <v>58</v>
      </c>
      <c r="K3112" t="s">
        <v>58</v>
      </c>
      <c r="L3112" t="s">
        <v>58</v>
      </c>
      <c r="M3112" t="s">
        <v>58</v>
      </c>
      <c r="P3112" t="s">
        <v>61</v>
      </c>
      <c r="Q3112" t="s">
        <v>58</v>
      </c>
      <c r="R3112" s="11" t="str">
        <f>HYPERLINK("\\imagefiles.bcgov\imagery\scanned_maps\moe_terrain_maps\Scanned_T_maps_all\R22\R22-275","\\imagefiles.bcgov\imagery\scanned_maps\moe_terrain_maps\Scanned_T_maps_all\R22\R22-275")</f>
        <v>\\imagefiles.bcgov\imagery\scanned_maps\moe_terrain_maps\Scanned_T_maps_all\R22\R22-275</v>
      </c>
      <c r="S3112" t="s">
        <v>62</v>
      </c>
      <c r="T3112" s="11" t="str">
        <f>HYPERLINK("http://www.env.gov.bc.ca/esd/distdata/ecosystems/TEI_Scanned_Maps/R22/R22-275","http://www.env.gov.bc.ca/esd/distdata/ecosystems/TEI_Scanned_Maps/R22/R22-275")</f>
        <v>http://www.env.gov.bc.ca/esd/distdata/ecosystems/TEI_Scanned_Maps/R22/R22-275</v>
      </c>
      <c r="U3112" t="s">
        <v>58</v>
      </c>
      <c r="V3112" t="s">
        <v>58</v>
      </c>
      <c r="W3112" t="s">
        <v>58</v>
      </c>
      <c r="X3112" t="s">
        <v>58</v>
      </c>
      <c r="Y3112" t="s">
        <v>58</v>
      </c>
      <c r="Z3112" t="s">
        <v>58</v>
      </c>
      <c r="AA3112" t="s">
        <v>58</v>
      </c>
      <c r="AC3112" t="s">
        <v>58</v>
      </c>
      <c r="AE3112" t="s">
        <v>58</v>
      </c>
      <c r="AG3112" t="s">
        <v>63</v>
      </c>
      <c r="AH3112" s="11" t="str">
        <f t="shared" si="182"/>
        <v>mailto: soilterrain@victoria1.gov.bc.ca</v>
      </c>
    </row>
    <row r="3113" spans="1:34">
      <c r="A3113" t="s">
        <v>6549</v>
      </c>
      <c r="B3113" t="s">
        <v>56</v>
      </c>
      <c r="C3113" s="10" t="s">
        <v>5423</v>
      </c>
      <c r="D3113" t="s">
        <v>58</v>
      </c>
      <c r="E3113" t="s">
        <v>2952</v>
      </c>
      <c r="F3113" t="s">
        <v>6530</v>
      </c>
      <c r="G3113">
        <v>20000</v>
      </c>
      <c r="H3113">
        <v>1978</v>
      </c>
      <c r="I3113" t="s">
        <v>58</v>
      </c>
      <c r="J3113" t="s">
        <v>58</v>
      </c>
      <c r="K3113" t="s">
        <v>58</v>
      </c>
      <c r="L3113" t="s">
        <v>58</v>
      </c>
      <c r="M3113" t="s">
        <v>58</v>
      </c>
      <c r="P3113" t="s">
        <v>61</v>
      </c>
      <c r="Q3113" t="s">
        <v>58</v>
      </c>
      <c r="R3113" s="11" t="str">
        <f>HYPERLINK("\\imagefiles.bcgov\imagery\scanned_maps\moe_terrain_maps\Scanned_T_maps_all\R22\R22-282","\\imagefiles.bcgov\imagery\scanned_maps\moe_terrain_maps\Scanned_T_maps_all\R22\R22-282")</f>
        <v>\\imagefiles.bcgov\imagery\scanned_maps\moe_terrain_maps\Scanned_T_maps_all\R22\R22-282</v>
      </c>
      <c r="S3113" t="s">
        <v>62</v>
      </c>
      <c r="T3113" s="11" t="str">
        <f>HYPERLINK("http://www.env.gov.bc.ca/esd/distdata/ecosystems/TEI_Scanned_Maps/R22/R22-282","http://www.env.gov.bc.ca/esd/distdata/ecosystems/TEI_Scanned_Maps/R22/R22-282")</f>
        <v>http://www.env.gov.bc.ca/esd/distdata/ecosystems/TEI_Scanned_Maps/R22/R22-282</v>
      </c>
      <c r="U3113" t="s">
        <v>58</v>
      </c>
      <c r="V3113" t="s">
        <v>58</v>
      </c>
      <c r="W3113" t="s">
        <v>58</v>
      </c>
      <c r="X3113" t="s">
        <v>58</v>
      </c>
      <c r="Y3113" t="s">
        <v>58</v>
      </c>
      <c r="Z3113" t="s">
        <v>58</v>
      </c>
      <c r="AA3113" t="s">
        <v>58</v>
      </c>
      <c r="AC3113" t="s">
        <v>58</v>
      </c>
      <c r="AE3113" t="s">
        <v>58</v>
      </c>
      <c r="AG3113" t="s">
        <v>63</v>
      </c>
      <c r="AH3113" s="11" t="str">
        <f t="shared" si="182"/>
        <v>mailto: soilterrain@victoria1.gov.bc.ca</v>
      </c>
    </row>
    <row r="3114" spans="1:34">
      <c r="A3114" t="s">
        <v>6550</v>
      </c>
      <c r="B3114" t="s">
        <v>56</v>
      </c>
      <c r="C3114" s="10" t="s">
        <v>5425</v>
      </c>
      <c r="D3114" t="s">
        <v>58</v>
      </c>
      <c r="E3114" t="s">
        <v>2952</v>
      </c>
      <c r="F3114" t="s">
        <v>6530</v>
      </c>
      <c r="G3114">
        <v>20000</v>
      </c>
      <c r="H3114">
        <v>1974</v>
      </c>
      <c r="I3114" t="s">
        <v>58</v>
      </c>
      <c r="J3114" t="s">
        <v>58</v>
      </c>
      <c r="K3114" t="s">
        <v>58</v>
      </c>
      <c r="L3114" t="s">
        <v>58</v>
      </c>
      <c r="M3114" t="s">
        <v>58</v>
      </c>
      <c r="P3114" t="s">
        <v>61</v>
      </c>
      <c r="Q3114" t="s">
        <v>58</v>
      </c>
      <c r="R3114" s="11" t="str">
        <f>HYPERLINK("\\imagefiles.bcgov\imagery\scanned_maps\moe_terrain_maps\Scanned_T_maps_all\R22\R22-289","\\imagefiles.bcgov\imagery\scanned_maps\moe_terrain_maps\Scanned_T_maps_all\R22\R22-289")</f>
        <v>\\imagefiles.bcgov\imagery\scanned_maps\moe_terrain_maps\Scanned_T_maps_all\R22\R22-289</v>
      </c>
      <c r="S3114" t="s">
        <v>62</v>
      </c>
      <c r="T3114" s="11" t="str">
        <f>HYPERLINK("http://www.env.gov.bc.ca/esd/distdata/ecosystems/TEI_Scanned_Maps/R22/R22-289","http://www.env.gov.bc.ca/esd/distdata/ecosystems/TEI_Scanned_Maps/R22/R22-289")</f>
        <v>http://www.env.gov.bc.ca/esd/distdata/ecosystems/TEI_Scanned_Maps/R22/R22-289</v>
      </c>
      <c r="U3114" t="s">
        <v>58</v>
      </c>
      <c r="V3114" t="s">
        <v>58</v>
      </c>
      <c r="W3114" t="s">
        <v>58</v>
      </c>
      <c r="X3114" t="s">
        <v>58</v>
      </c>
      <c r="Y3114" t="s">
        <v>58</v>
      </c>
      <c r="Z3114" t="s">
        <v>58</v>
      </c>
      <c r="AA3114" t="s">
        <v>58</v>
      </c>
      <c r="AC3114" t="s">
        <v>58</v>
      </c>
      <c r="AE3114" t="s">
        <v>58</v>
      </c>
      <c r="AG3114" t="s">
        <v>63</v>
      </c>
      <c r="AH3114" s="11" t="str">
        <f t="shared" si="182"/>
        <v>mailto: soilterrain@victoria1.gov.bc.ca</v>
      </c>
    </row>
    <row r="3115" spans="1:34">
      <c r="A3115" t="s">
        <v>6551</v>
      </c>
      <c r="B3115" t="s">
        <v>56</v>
      </c>
      <c r="C3115" s="10" t="s">
        <v>5427</v>
      </c>
      <c r="D3115" t="s">
        <v>58</v>
      </c>
      <c r="E3115" t="s">
        <v>2952</v>
      </c>
      <c r="F3115" t="s">
        <v>6530</v>
      </c>
      <c r="G3115">
        <v>20000</v>
      </c>
      <c r="H3115">
        <v>1975</v>
      </c>
      <c r="I3115" t="s">
        <v>58</v>
      </c>
      <c r="J3115" t="s">
        <v>58</v>
      </c>
      <c r="K3115" t="s">
        <v>58</v>
      </c>
      <c r="L3115" t="s">
        <v>58</v>
      </c>
      <c r="M3115" t="s">
        <v>58</v>
      </c>
      <c r="P3115" t="s">
        <v>61</v>
      </c>
      <c r="Q3115" t="s">
        <v>58</v>
      </c>
      <c r="R3115" s="11" t="str">
        <f>HYPERLINK("\\imagefiles.bcgov\imagery\scanned_maps\moe_terrain_maps\Scanned_T_maps_all\R22\R22-297","\\imagefiles.bcgov\imagery\scanned_maps\moe_terrain_maps\Scanned_T_maps_all\R22\R22-297")</f>
        <v>\\imagefiles.bcgov\imagery\scanned_maps\moe_terrain_maps\Scanned_T_maps_all\R22\R22-297</v>
      </c>
      <c r="S3115" t="s">
        <v>62</v>
      </c>
      <c r="T3115" s="11" t="str">
        <f>HYPERLINK("http://www.env.gov.bc.ca/esd/distdata/ecosystems/TEI_Scanned_Maps/R22/R22-297","http://www.env.gov.bc.ca/esd/distdata/ecosystems/TEI_Scanned_Maps/R22/R22-297")</f>
        <v>http://www.env.gov.bc.ca/esd/distdata/ecosystems/TEI_Scanned_Maps/R22/R22-297</v>
      </c>
      <c r="U3115" t="s">
        <v>58</v>
      </c>
      <c r="V3115" t="s">
        <v>58</v>
      </c>
      <c r="W3115" t="s">
        <v>58</v>
      </c>
      <c r="X3115" t="s">
        <v>58</v>
      </c>
      <c r="Y3115" t="s">
        <v>58</v>
      </c>
      <c r="Z3115" t="s">
        <v>58</v>
      </c>
      <c r="AA3115" t="s">
        <v>58</v>
      </c>
      <c r="AC3115" t="s">
        <v>58</v>
      </c>
      <c r="AE3115" t="s">
        <v>58</v>
      </c>
      <c r="AG3115" t="s">
        <v>63</v>
      </c>
      <c r="AH3115" s="11" t="str">
        <f t="shared" si="182"/>
        <v>mailto: soilterrain@victoria1.gov.bc.ca</v>
      </c>
    </row>
    <row r="3116" spans="1:34">
      <c r="A3116" t="s">
        <v>6552</v>
      </c>
      <c r="B3116" t="s">
        <v>56</v>
      </c>
      <c r="C3116" s="10" t="s">
        <v>4613</v>
      </c>
      <c r="D3116" t="s">
        <v>58</v>
      </c>
      <c r="E3116" t="s">
        <v>2952</v>
      </c>
      <c r="F3116" t="s">
        <v>6530</v>
      </c>
      <c r="G3116">
        <v>20000</v>
      </c>
      <c r="H3116">
        <v>1978</v>
      </c>
      <c r="I3116" t="s">
        <v>58</v>
      </c>
      <c r="J3116" t="s">
        <v>58</v>
      </c>
      <c r="K3116" t="s">
        <v>58</v>
      </c>
      <c r="L3116" t="s">
        <v>58</v>
      </c>
      <c r="M3116" t="s">
        <v>58</v>
      </c>
      <c r="P3116" t="s">
        <v>61</v>
      </c>
      <c r="Q3116" t="s">
        <v>58</v>
      </c>
      <c r="R3116" s="11" t="str">
        <f>HYPERLINK("\\imagefiles.bcgov\imagery\scanned_maps\moe_terrain_maps\Scanned_T_maps_all\R22\R22-304","\\imagefiles.bcgov\imagery\scanned_maps\moe_terrain_maps\Scanned_T_maps_all\R22\R22-304")</f>
        <v>\\imagefiles.bcgov\imagery\scanned_maps\moe_terrain_maps\Scanned_T_maps_all\R22\R22-304</v>
      </c>
      <c r="S3116" t="s">
        <v>62</v>
      </c>
      <c r="T3116" s="11" t="str">
        <f>HYPERLINK("http://www.env.gov.bc.ca/esd/distdata/ecosystems/TEI_Scanned_Maps/R22/R22-304","http://www.env.gov.bc.ca/esd/distdata/ecosystems/TEI_Scanned_Maps/R22/R22-304")</f>
        <v>http://www.env.gov.bc.ca/esd/distdata/ecosystems/TEI_Scanned_Maps/R22/R22-304</v>
      </c>
      <c r="U3116" t="s">
        <v>58</v>
      </c>
      <c r="V3116" t="s">
        <v>58</v>
      </c>
      <c r="W3116" t="s">
        <v>58</v>
      </c>
      <c r="X3116" t="s">
        <v>58</v>
      </c>
      <c r="Y3116" t="s">
        <v>58</v>
      </c>
      <c r="Z3116" t="s">
        <v>58</v>
      </c>
      <c r="AA3116" t="s">
        <v>58</v>
      </c>
      <c r="AC3116" t="s">
        <v>58</v>
      </c>
      <c r="AE3116" t="s">
        <v>58</v>
      </c>
      <c r="AG3116" t="s">
        <v>63</v>
      </c>
      <c r="AH3116" s="11" t="str">
        <f t="shared" si="182"/>
        <v>mailto: soilterrain@victoria1.gov.bc.ca</v>
      </c>
    </row>
    <row r="3117" spans="1:34">
      <c r="A3117" t="s">
        <v>6553</v>
      </c>
      <c r="B3117" t="s">
        <v>56</v>
      </c>
      <c r="C3117" s="10" t="s">
        <v>5430</v>
      </c>
      <c r="D3117" t="s">
        <v>58</v>
      </c>
      <c r="E3117" t="s">
        <v>2952</v>
      </c>
      <c r="F3117" t="s">
        <v>6530</v>
      </c>
      <c r="G3117">
        <v>20000</v>
      </c>
      <c r="H3117">
        <v>1974</v>
      </c>
      <c r="I3117" t="s">
        <v>58</v>
      </c>
      <c r="J3117" t="s">
        <v>58</v>
      </c>
      <c r="K3117" t="s">
        <v>58</v>
      </c>
      <c r="L3117" t="s">
        <v>58</v>
      </c>
      <c r="M3117" t="s">
        <v>58</v>
      </c>
      <c r="P3117" t="s">
        <v>61</v>
      </c>
      <c r="Q3117" t="s">
        <v>58</v>
      </c>
      <c r="R3117" s="11" t="str">
        <f>HYPERLINK("\\imagefiles.bcgov\imagery\scanned_maps\moe_terrain_maps\Scanned_T_maps_all\R22\R22-311","\\imagefiles.bcgov\imagery\scanned_maps\moe_terrain_maps\Scanned_T_maps_all\R22\R22-311")</f>
        <v>\\imagefiles.bcgov\imagery\scanned_maps\moe_terrain_maps\Scanned_T_maps_all\R22\R22-311</v>
      </c>
      <c r="S3117" t="s">
        <v>62</v>
      </c>
      <c r="T3117" s="11" t="str">
        <f>HYPERLINK("http://www.env.gov.bc.ca/esd/distdata/ecosystems/TEI_Scanned_Maps/R22/R22-311","http://www.env.gov.bc.ca/esd/distdata/ecosystems/TEI_Scanned_Maps/R22/R22-311")</f>
        <v>http://www.env.gov.bc.ca/esd/distdata/ecosystems/TEI_Scanned_Maps/R22/R22-311</v>
      </c>
      <c r="U3117" t="s">
        <v>58</v>
      </c>
      <c r="V3117" t="s">
        <v>58</v>
      </c>
      <c r="W3117" t="s">
        <v>58</v>
      </c>
      <c r="X3117" t="s">
        <v>58</v>
      </c>
      <c r="Y3117" t="s">
        <v>58</v>
      </c>
      <c r="Z3117" t="s">
        <v>58</v>
      </c>
      <c r="AA3117" t="s">
        <v>58</v>
      </c>
      <c r="AC3117" t="s">
        <v>58</v>
      </c>
      <c r="AE3117" t="s">
        <v>58</v>
      </c>
      <c r="AG3117" t="s">
        <v>63</v>
      </c>
      <c r="AH3117" s="11" t="str">
        <f t="shared" si="182"/>
        <v>mailto: soilterrain@victoria1.gov.bc.ca</v>
      </c>
    </row>
    <row r="3118" spans="1:34">
      <c r="A3118" t="s">
        <v>6554</v>
      </c>
      <c r="B3118" t="s">
        <v>56</v>
      </c>
      <c r="C3118" s="10" t="s">
        <v>5432</v>
      </c>
      <c r="D3118" t="s">
        <v>58</v>
      </c>
      <c r="E3118" t="s">
        <v>2952</v>
      </c>
      <c r="F3118" t="s">
        <v>6530</v>
      </c>
      <c r="G3118">
        <v>20000</v>
      </c>
      <c r="H3118">
        <v>1975</v>
      </c>
      <c r="I3118" t="s">
        <v>58</v>
      </c>
      <c r="J3118" t="s">
        <v>58</v>
      </c>
      <c r="K3118" t="s">
        <v>58</v>
      </c>
      <c r="L3118" t="s">
        <v>58</v>
      </c>
      <c r="M3118" t="s">
        <v>58</v>
      </c>
      <c r="P3118" t="s">
        <v>61</v>
      </c>
      <c r="Q3118" t="s">
        <v>58</v>
      </c>
      <c r="R3118" s="11" t="str">
        <f>HYPERLINK("\\imagefiles.bcgov\imagery\scanned_maps\moe_terrain_maps\Scanned_T_maps_all\R22\R22-654","\\imagefiles.bcgov\imagery\scanned_maps\moe_terrain_maps\Scanned_T_maps_all\R22\R22-654")</f>
        <v>\\imagefiles.bcgov\imagery\scanned_maps\moe_terrain_maps\Scanned_T_maps_all\R22\R22-654</v>
      </c>
      <c r="S3118" t="s">
        <v>62</v>
      </c>
      <c r="T3118" s="11" t="str">
        <f>HYPERLINK("http://www.env.gov.bc.ca/esd/distdata/ecosystems/TEI_Scanned_Maps/R22/R22-654","http://www.env.gov.bc.ca/esd/distdata/ecosystems/TEI_Scanned_Maps/R22/R22-654")</f>
        <v>http://www.env.gov.bc.ca/esd/distdata/ecosystems/TEI_Scanned_Maps/R22/R22-654</v>
      </c>
      <c r="U3118" t="s">
        <v>58</v>
      </c>
      <c r="V3118" t="s">
        <v>58</v>
      </c>
      <c r="W3118" t="s">
        <v>58</v>
      </c>
      <c r="X3118" t="s">
        <v>58</v>
      </c>
      <c r="Y3118" t="s">
        <v>58</v>
      </c>
      <c r="Z3118" t="s">
        <v>58</v>
      </c>
      <c r="AA3118" t="s">
        <v>58</v>
      </c>
      <c r="AC3118" t="s">
        <v>58</v>
      </c>
      <c r="AE3118" t="s">
        <v>58</v>
      </c>
      <c r="AG3118" t="s">
        <v>63</v>
      </c>
      <c r="AH3118" s="11" t="str">
        <f t="shared" si="182"/>
        <v>mailto: soilterrain@victoria1.gov.bc.ca</v>
      </c>
    </row>
    <row r="3119" spans="1:34">
      <c r="A3119" t="s">
        <v>6555</v>
      </c>
      <c r="B3119" t="s">
        <v>56</v>
      </c>
      <c r="C3119" s="10" t="s">
        <v>5434</v>
      </c>
      <c r="D3119" t="s">
        <v>58</v>
      </c>
      <c r="E3119" t="s">
        <v>2952</v>
      </c>
      <c r="F3119" t="s">
        <v>6530</v>
      </c>
      <c r="G3119">
        <v>20000</v>
      </c>
      <c r="H3119">
        <v>1978</v>
      </c>
      <c r="I3119" t="s">
        <v>58</v>
      </c>
      <c r="J3119" t="s">
        <v>58</v>
      </c>
      <c r="K3119" t="s">
        <v>58</v>
      </c>
      <c r="L3119" t="s">
        <v>58</v>
      </c>
      <c r="M3119" t="s">
        <v>58</v>
      </c>
      <c r="P3119" t="s">
        <v>61</v>
      </c>
      <c r="Q3119" t="s">
        <v>58</v>
      </c>
      <c r="R3119" s="11" t="str">
        <f>HYPERLINK("\\imagefiles.bcgov\imagery\scanned_maps\moe_terrain_maps\Scanned_T_maps_all\R22\R22-661","\\imagefiles.bcgov\imagery\scanned_maps\moe_terrain_maps\Scanned_T_maps_all\R22\R22-661")</f>
        <v>\\imagefiles.bcgov\imagery\scanned_maps\moe_terrain_maps\Scanned_T_maps_all\R22\R22-661</v>
      </c>
      <c r="S3119" t="s">
        <v>62</v>
      </c>
      <c r="T3119" s="11" t="str">
        <f>HYPERLINK("http://www.env.gov.bc.ca/esd/distdata/ecosystems/TEI_Scanned_Maps/R22/R22-661","http://www.env.gov.bc.ca/esd/distdata/ecosystems/TEI_Scanned_Maps/R22/R22-661")</f>
        <v>http://www.env.gov.bc.ca/esd/distdata/ecosystems/TEI_Scanned_Maps/R22/R22-661</v>
      </c>
      <c r="U3119" t="s">
        <v>58</v>
      </c>
      <c r="V3119" t="s">
        <v>58</v>
      </c>
      <c r="W3119" t="s">
        <v>58</v>
      </c>
      <c r="X3119" t="s">
        <v>58</v>
      </c>
      <c r="Y3119" t="s">
        <v>58</v>
      </c>
      <c r="Z3119" t="s">
        <v>58</v>
      </c>
      <c r="AA3119" t="s">
        <v>58</v>
      </c>
      <c r="AC3119" t="s">
        <v>58</v>
      </c>
      <c r="AE3119" t="s">
        <v>58</v>
      </c>
      <c r="AG3119" t="s">
        <v>63</v>
      </c>
      <c r="AH3119" s="11" t="str">
        <f t="shared" si="182"/>
        <v>mailto: soilterrain@victoria1.gov.bc.ca</v>
      </c>
    </row>
    <row r="3120" spans="1:34">
      <c r="A3120" t="s">
        <v>6556</v>
      </c>
      <c r="B3120" t="s">
        <v>56</v>
      </c>
      <c r="C3120" s="10" t="s">
        <v>5436</v>
      </c>
      <c r="D3120" t="s">
        <v>58</v>
      </c>
      <c r="E3120" t="s">
        <v>2952</v>
      </c>
      <c r="F3120" t="s">
        <v>6530</v>
      </c>
      <c r="G3120">
        <v>20000</v>
      </c>
      <c r="H3120">
        <v>1974</v>
      </c>
      <c r="I3120" t="s">
        <v>58</v>
      </c>
      <c r="J3120" t="s">
        <v>58</v>
      </c>
      <c r="K3120" t="s">
        <v>58</v>
      </c>
      <c r="L3120" t="s">
        <v>58</v>
      </c>
      <c r="M3120" t="s">
        <v>58</v>
      </c>
      <c r="P3120" t="s">
        <v>61</v>
      </c>
      <c r="Q3120" t="s">
        <v>58</v>
      </c>
      <c r="R3120" s="11" t="str">
        <f>HYPERLINK("\\imagefiles.bcgov\imagery\scanned_maps\moe_terrain_maps\Scanned_T_maps_all\R22\R22-668","\\imagefiles.bcgov\imagery\scanned_maps\moe_terrain_maps\Scanned_T_maps_all\R22\R22-668")</f>
        <v>\\imagefiles.bcgov\imagery\scanned_maps\moe_terrain_maps\Scanned_T_maps_all\R22\R22-668</v>
      </c>
      <c r="S3120" t="s">
        <v>62</v>
      </c>
      <c r="T3120" s="11" t="str">
        <f>HYPERLINK("http://www.env.gov.bc.ca/esd/distdata/ecosystems/TEI_Scanned_Maps/R22/R22-668","http://www.env.gov.bc.ca/esd/distdata/ecosystems/TEI_Scanned_Maps/R22/R22-668")</f>
        <v>http://www.env.gov.bc.ca/esd/distdata/ecosystems/TEI_Scanned_Maps/R22/R22-668</v>
      </c>
      <c r="U3120" t="s">
        <v>58</v>
      </c>
      <c r="V3120" t="s">
        <v>58</v>
      </c>
      <c r="W3120" t="s">
        <v>58</v>
      </c>
      <c r="X3120" t="s">
        <v>58</v>
      </c>
      <c r="Y3120" t="s">
        <v>58</v>
      </c>
      <c r="Z3120" t="s">
        <v>58</v>
      </c>
      <c r="AA3120" t="s">
        <v>58</v>
      </c>
      <c r="AC3120" t="s">
        <v>58</v>
      </c>
      <c r="AE3120" t="s">
        <v>58</v>
      </c>
      <c r="AG3120" t="s">
        <v>63</v>
      </c>
      <c r="AH3120" s="11" t="str">
        <f t="shared" si="182"/>
        <v>mailto: soilterrain@victoria1.gov.bc.ca</v>
      </c>
    </row>
    <row r="3121" spans="1:34">
      <c r="A3121" t="s">
        <v>6557</v>
      </c>
      <c r="B3121" t="s">
        <v>56</v>
      </c>
      <c r="C3121" s="10" t="s">
        <v>5438</v>
      </c>
      <c r="D3121" t="s">
        <v>58</v>
      </c>
      <c r="E3121" t="s">
        <v>2952</v>
      </c>
      <c r="F3121" t="s">
        <v>6530</v>
      </c>
      <c r="G3121">
        <v>20000</v>
      </c>
      <c r="H3121">
        <v>1975</v>
      </c>
      <c r="I3121" t="s">
        <v>58</v>
      </c>
      <c r="J3121" t="s">
        <v>58</v>
      </c>
      <c r="K3121" t="s">
        <v>58</v>
      </c>
      <c r="L3121" t="s">
        <v>58</v>
      </c>
      <c r="M3121" t="s">
        <v>58</v>
      </c>
      <c r="P3121" t="s">
        <v>61</v>
      </c>
      <c r="Q3121" t="s">
        <v>58</v>
      </c>
      <c r="R3121" s="11" t="str">
        <f>HYPERLINK("\\imagefiles.bcgov\imagery\scanned_maps\moe_terrain_maps\Scanned_T_maps_all\R22\R22-675","\\imagefiles.bcgov\imagery\scanned_maps\moe_terrain_maps\Scanned_T_maps_all\R22\R22-675")</f>
        <v>\\imagefiles.bcgov\imagery\scanned_maps\moe_terrain_maps\Scanned_T_maps_all\R22\R22-675</v>
      </c>
      <c r="S3121" t="s">
        <v>62</v>
      </c>
      <c r="T3121" s="11" t="str">
        <f>HYPERLINK("http://www.env.gov.bc.ca/esd/distdata/ecosystems/TEI_Scanned_Maps/R22/R22-675","http://www.env.gov.bc.ca/esd/distdata/ecosystems/TEI_Scanned_Maps/R22/R22-675")</f>
        <v>http://www.env.gov.bc.ca/esd/distdata/ecosystems/TEI_Scanned_Maps/R22/R22-675</v>
      </c>
      <c r="U3121" t="s">
        <v>58</v>
      </c>
      <c r="V3121" t="s">
        <v>58</v>
      </c>
      <c r="W3121" t="s">
        <v>58</v>
      </c>
      <c r="X3121" t="s">
        <v>58</v>
      </c>
      <c r="Y3121" t="s">
        <v>58</v>
      </c>
      <c r="Z3121" t="s">
        <v>58</v>
      </c>
      <c r="AA3121" t="s">
        <v>58</v>
      </c>
      <c r="AC3121" t="s">
        <v>58</v>
      </c>
      <c r="AE3121" t="s">
        <v>58</v>
      </c>
      <c r="AG3121" t="s">
        <v>63</v>
      </c>
      <c r="AH3121" s="11" t="str">
        <f t="shared" si="182"/>
        <v>mailto: soilterrain@victoria1.gov.bc.ca</v>
      </c>
    </row>
    <row r="3122" spans="1:34">
      <c r="A3122" t="s">
        <v>6558</v>
      </c>
      <c r="B3122" t="s">
        <v>56</v>
      </c>
      <c r="C3122" s="10" t="s">
        <v>5440</v>
      </c>
      <c r="D3122" t="s">
        <v>58</v>
      </c>
      <c r="E3122" t="s">
        <v>2952</v>
      </c>
      <c r="F3122" t="s">
        <v>6530</v>
      </c>
      <c r="G3122">
        <v>20000</v>
      </c>
      <c r="H3122">
        <v>1978</v>
      </c>
      <c r="I3122" t="s">
        <v>58</v>
      </c>
      <c r="J3122" t="s">
        <v>58</v>
      </c>
      <c r="K3122" t="s">
        <v>58</v>
      </c>
      <c r="L3122" t="s">
        <v>58</v>
      </c>
      <c r="M3122" t="s">
        <v>58</v>
      </c>
      <c r="P3122" t="s">
        <v>61</v>
      </c>
      <c r="Q3122" t="s">
        <v>58</v>
      </c>
      <c r="R3122" s="11" t="str">
        <f>HYPERLINK("\\imagefiles.bcgov\imagery\scanned_maps\moe_terrain_maps\Scanned_T_maps_all\R22\R22-682","\\imagefiles.bcgov\imagery\scanned_maps\moe_terrain_maps\Scanned_T_maps_all\R22\R22-682")</f>
        <v>\\imagefiles.bcgov\imagery\scanned_maps\moe_terrain_maps\Scanned_T_maps_all\R22\R22-682</v>
      </c>
      <c r="S3122" t="s">
        <v>62</v>
      </c>
      <c r="T3122" s="11" t="str">
        <f>HYPERLINK("http://www.env.gov.bc.ca/esd/distdata/ecosystems/TEI_Scanned_Maps/R22/R22-682","http://www.env.gov.bc.ca/esd/distdata/ecosystems/TEI_Scanned_Maps/R22/R22-682")</f>
        <v>http://www.env.gov.bc.ca/esd/distdata/ecosystems/TEI_Scanned_Maps/R22/R22-682</v>
      </c>
      <c r="U3122" t="s">
        <v>58</v>
      </c>
      <c r="V3122" t="s">
        <v>58</v>
      </c>
      <c r="W3122" t="s">
        <v>58</v>
      </c>
      <c r="X3122" t="s">
        <v>58</v>
      </c>
      <c r="Y3122" t="s">
        <v>58</v>
      </c>
      <c r="Z3122" t="s">
        <v>58</v>
      </c>
      <c r="AA3122" t="s">
        <v>58</v>
      </c>
      <c r="AC3122" t="s">
        <v>58</v>
      </c>
      <c r="AE3122" t="s">
        <v>58</v>
      </c>
      <c r="AG3122" t="s">
        <v>63</v>
      </c>
      <c r="AH3122" s="11" t="str">
        <f t="shared" si="182"/>
        <v>mailto: soilterrain@victoria1.gov.bc.ca</v>
      </c>
    </row>
    <row r="3123" spans="1:34">
      <c r="A3123" t="s">
        <v>6559</v>
      </c>
      <c r="B3123" t="s">
        <v>56</v>
      </c>
      <c r="C3123" s="10" t="s">
        <v>5442</v>
      </c>
      <c r="D3123" t="s">
        <v>58</v>
      </c>
      <c r="E3123" t="s">
        <v>2952</v>
      </c>
      <c r="F3123" t="s">
        <v>6530</v>
      </c>
      <c r="G3123">
        <v>20000</v>
      </c>
      <c r="H3123">
        <v>1974</v>
      </c>
      <c r="I3123" t="s">
        <v>58</v>
      </c>
      <c r="J3123" t="s">
        <v>58</v>
      </c>
      <c r="K3123" t="s">
        <v>58</v>
      </c>
      <c r="L3123" t="s">
        <v>58</v>
      </c>
      <c r="M3123" t="s">
        <v>58</v>
      </c>
      <c r="P3123" t="s">
        <v>61</v>
      </c>
      <c r="Q3123" t="s">
        <v>58</v>
      </c>
      <c r="R3123" s="11" t="str">
        <f>HYPERLINK("\\imagefiles.bcgov\imagery\scanned_maps\moe_terrain_maps\Scanned_T_maps_all\R22\R22-689","\\imagefiles.bcgov\imagery\scanned_maps\moe_terrain_maps\Scanned_T_maps_all\R22\R22-689")</f>
        <v>\\imagefiles.bcgov\imagery\scanned_maps\moe_terrain_maps\Scanned_T_maps_all\R22\R22-689</v>
      </c>
      <c r="S3123" t="s">
        <v>62</v>
      </c>
      <c r="T3123" s="11" t="str">
        <f>HYPERLINK("http://www.env.gov.bc.ca/esd/distdata/ecosystems/TEI_Scanned_Maps/R22/R22-689","http://www.env.gov.bc.ca/esd/distdata/ecosystems/TEI_Scanned_Maps/R22/R22-689")</f>
        <v>http://www.env.gov.bc.ca/esd/distdata/ecosystems/TEI_Scanned_Maps/R22/R22-689</v>
      </c>
      <c r="U3123" t="s">
        <v>58</v>
      </c>
      <c r="V3123" t="s">
        <v>58</v>
      </c>
      <c r="W3123" t="s">
        <v>58</v>
      </c>
      <c r="X3123" t="s">
        <v>58</v>
      </c>
      <c r="Y3123" t="s">
        <v>58</v>
      </c>
      <c r="Z3123" t="s">
        <v>58</v>
      </c>
      <c r="AA3123" t="s">
        <v>58</v>
      </c>
      <c r="AC3123" t="s">
        <v>58</v>
      </c>
      <c r="AE3123" t="s">
        <v>58</v>
      </c>
      <c r="AG3123" t="s">
        <v>63</v>
      </c>
      <c r="AH3123" s="11" t="str">
        <f t="shared" si="182"/>
        <v>mailto: soilterrain@victoria1.gov.bc.ca</v>
      </c>
    </row>
    <row r="3124" spans="1:34">
      <c r="A3124" t="s">
        <v>6560</v>
      </c>
      <c r="B3124" t="s">
        <v>56</v>
      </c>
      <c r="C3124" s="10" t="s">
        <v>5444</v>
      </c>
      <c r="D3124" t="s">
        <v>58</v>
      </c>
      <c r="E3124" t="s">
        <v>2952</v>
      </c>
      <c r="F3124" t="s">
        <v>6530</v>
      </c>
      <c r="G3124">
        <v>20000</v>
      </c>
      <c r="H3124">
        <v>1975</v>
      </c>
      <c r="I3124" t="s">
        <v>58</v>
      </c>
      <c r="J3124" t="s">
        <v>58</v>
      </c>
      <c r="K3124" t="s">
        <v>58</v>
      </c>
      <c r="L3124" t="s">
        <v>58</v>
      </c>
      <c r="M3124" t="s">
        <v>58</v>
      </c>
      <c r="P3124" t="s">
        <v>61</v>
      </c>
      <c r="Q3124" t="s">
        <v>58</v>
      </c>
      <c r="R3124" s="11" t="str">
        <f>HYPERLINK("\\imagefiles.bcgov\imagery\scanned_maps\moe_terrain_maps\Scanned_T_maps_all\R22\R22-696","\\imagefiles.bcgov\imagery\scanned_maps\moe_terrain_maps\Scanned_T_maps_all\R22\R22-696")</f>
        <v>\\imagefiles.bcgov\imagery\scanned_maps\moe_terrain_maps\Scanned_T_maps_all\R22\R22-696</v>
      </c>
      <c r="S3124" t="s">
        <v>62</v>
      </c>
      <c r="T3124" s="11" t="str">
        <f>HYPERLINK("http://www.env.gov.bc.ca/esd/distdata/ecosystems/TEI_Scanned_Maps/R22/R22-696","http://www.env.gov.bc.ca/esd/distdata/ecosystems/TEI_Scanned_Maps/R22/R22-696")</f>
        <v>http://www.env.gov.bc.ca/esd/distdata/ecosystems/TEI_Scanned_Maps/R22/R22-696</v>
      </c>
      <c r="U3124" t="s">
        <v>58</v>
      </c>
      <c r="V3124" t="s">
        <v>58</v>
      </c>
      <c r="W3124" t="s">
        <v>58</v>
      </c>
      <c r="X3124" t="s">
        <v>58</v>
      </c>
      <c r="Y3124" t="s">
        <v>58</v>
      </c>
      <c r="Z3124" t="s">
        <v>58</v>
      </c>
      <c r="AA3124" t="s">
        <v>58</v>
      </c>
      <c r="AC3124" t="s">
        <v>58</v>
      </c>
      <c r="AE3124" t="s">
        <v>58</v>
      </c>
      <c r="AG3124" t="s">
        <v>63</v>
      </c>
      <c r="AH3124" s="11" t="str">
        <f t="shared" si="182"/>
        <v>mailto: soilterrain@victoria1.gov.bc.ca</v>
      </c>
    </row>
    <row r="3125" spans="1:34">
      <c r="A3125" t="s">
        <v>6561</v>
      </c>
      <c r="B3125" t="s">
        <v>56</v>
      </c>
      <c r="C3125" s="10" t="s">
        <v>4653</v>
      </c>
      <c r="D3125" t="s">
        <v>58</v>
      </c>
      <c r="E3125" t="s">
        <v>2952</v>
      </c>
      <c r="F3125" t="s">
        <v>6530</v>
      </c>
      <c r="G3125">
        <v>20000</v>
      </c>
      <c r="H3125">
        <v>1974</v>
      </c>
      <c r="I3125" t="s">
        <v>58</v>
      </c>
      <c r="J3125" t="s">
        <v>58</v>
      </c>
      <c r="K3125" t="s">
        <v>58</v>
      </c>
      <c r="L3125" t="s">
        <v>58</v>
      </c>
      <c r="M3125" t="s">
        <v>58</v>
      </c>
      <c r="P3125" t="s">
        <v>61</v>
      </c>
      <c r="Q3125" t="s">
        <v>58</v>
      </c>
      <c r="R3125" s="11" t="str">
        <f>HYPERLINK("\\imagefiles.bcgov\imagery\scanned_maps\moe_terrain_maps\Scanned_T_maps_all\R22\R22-703","\\imagefiles.bcgov\imagery\scanned_maps\moe_terrain_maps\Scanned_T_maps_all\R22\R22-703")</f>
        <v>\\imagefiles.bcgov\imagery\scanned_maps\moe_terrain_maps\Scanned_T_maps_all\R22\R22-703</v>
      </c>
      <c r="S3125" t="s">
        <v>62</v>
      </c>
      <c r="T3125" s="11" t="str">
        <f>HYPERLINK("http://www.env.gov.bc.ca/esd/distdata/ecosystems/TEI_Scanned_Maps/R22/R22-703","http://www.env.gov.bc.ca/esd/distdata/ecosystems/TEI_Scanned_Maps/R22/R22-703")</f>
        <v>http://www.env.gov.bc.ca/esd/distdata/ecosystems/TEI_Scanned_Maps/R22/R22-703</v>
      </c>
      <c r="U3125" t="s">
        <v>58</v>
      </c>
      <c r="V3125" t="s">
        <v>58</v>
      </c>
      <c r="W3125" t="s">
        <v>58</v>
      </c>
      <c r="X3125" t="s">
        <v>58</v>
      </c>
      <c r="Y3125" t="s">
        <v>58</v>
      </c>
      <c r="Z3125" t="s">
        <v>58</v>
      </c>
      <c r="AA3125" t="s">
        <v>58</v>
      </c>
      <c r="AC3125" t="s">
        <v>58</v>
      </c>
      <c r="AE3125" t="s">
        <v>58</v>
      </c>
      <c r="AG3125" t="s">
        <v>63</v>
      </c>
      <c r="AH3125" s="11" t="str">
        <f t="shared" si="182"/>
        <v>mailto: soilterrain@victoria1.gov.bc.ca</v>
      </c>
    </row>
    <row r="3126" spans="1:34">
      <c r="A3126" t="s">
        <v>6562</v>
      </c>
      <c r="B3126" t="s">
        <v>56</v>
      </c>
      <c r="C3126" s="10" t="s">
        <v>5447</v>
      </c>
      <c r="D3126" t="s">
        <v>58</v>
      </c>
      <c r="E3126" t="s">
        <v>2952</v>
      </c>
      <c r="F3126" t="s">
        <v>6530</v>
      </c>
      <c r="G3126">
        <v>20000</v>
      </c>
      <c r="H3126">
        <v>1982</v>
      </c>
      <c r="I3126" t="s">
        <v>58</v>
      </c>
      <c r="J3126" t="s">
        <v>58</v>
      </c>
      <c r="K3126" t="s">
        <v>58</v>
      </c>
      <c r="L3126" t="s">
        <v>58</v>
      </c>
      <c r="M3126" t="s">
        <v>58</v>
      </c>
      <c r="P3126" t="s">
        <v>61</v>
      </c>
      <c r="Q3126" t="s">
        <v>58</v>
      </c>
      <c r="R3126" s="11" t="str">
        <f>HYPERLINK("\\imagefiles.bcgov\imagery\scanned_maps\moe_terrain_maps\Scanned_T_maps_all\R22\R22-710","\\imagefiles.bcgov\imagery\scanned_maps\moe_terrain_maps\Scanned_T_maps_all\R22\R22-710")</f>
        <v>\\imagefiles.bcgov\imagery\scanned_maps\moe_terrain_maps\Scanned_T_maps_all\R22\R22-710</v>
      </c>
      <c r="S3126" t="s">
        <v>62</v>
      </c>
      <c r="T3126" s="11" t="str">
        <f>HYPERLINK("http://www.env.gov.bc.ca/esd/distdata/ecosystems/TEI_Scanned_Maps/R22/R22-710","http://www.env.gov.bc.ca/esd/distdata/ecosystems/TEI_Scanned_Maps/R22/R22-710")</f>
        <v>http://www.env.gov.bc.ca/esd/distdata/ecosystems/TEI_Scanned_Maps/R22/R22-710</v>
      </c>
      <c r="U3126" t="s">
        <v>58</v>
      </c>
      <c r="V3126" t="s">
        <v>58</v>
      </c>
      <c r="W3126" t="s">
        <v>58</v>
      </c>
      <c r="X3126" t="s">
        <v>58</v>
      </c>
      <c r="Y3126" t="s">
        <v>58</v>
      </c>
      <c r="Z3126" t="s">
        <v>58</v>
      </c>
      <c r="AA3126" t="s">
        <v>58</v>
      </c>
      <c r="AC3126" t="s">
        <v>58</v>
      </c>
      <c r="AE3126" t="s">
        <v>58</v>
      </c>
      <c r="AG3126" t="s">
        <v>63</v>
      </c>
      <c r="AH3126" s="11" t="str">
        <f t="shared" si="182"/>
        <v>mailto: soilterrain@victoria1.gov.bc.ca</v>
      </c>
    </row>
    <row r="3127" spans="1:34">
      <c r="A3127" t="s">
        <v>6563</v>
      </c>
      <c r="B3127" t="s">
        <v>56</v>
      </c>
      <c r="C3127" s="10" t="s">
        <v>5449</v>
      </c>
      <c r="D3127" t="s">
        <v>58</v>
      </c>
      <c r="E3127" t="s">
        <v>2952</v>
      </c>
      <c r="F3127" t="s">
        <v>6530</v>
      </c>
      <c r="G3127">
        <v>20000</v>
      </c>
      <c r="H3127">
        <v>1974</v>
      </c>
      <c r="I3127" t="s">
        <v>58</v>
      </c>
      <c r="J3127" t="s">
        <v>58</v>
      </c>
      <c r="K3127" t="s">
        <v>58</v>
      </c>
      <c r="L3127" t="s">
        <v>58</v>
      </c>
      <c r="M3127" t="s">
        <v>58</v>
      </c>
      <c r="P3127" t="s">
        <v>61</v>
      </c>
      <c r="Q3127" t="s">
        <v>58</v>
      </c>
      <c r="R3127" s="11" t="str">
        <f>HYPERLINK("\\imagefiles.bcgov\imagery\scanned_maps\moe_terrain_maps\Scanned_T_maps_all\R22\R22-718","\\imagefiles.bcgov\imagery\scanned_maps\moe_terrain_maps\Scanned_T_maps_all\R22\R22-718")</f>
        <v>\\imagefiles.bcgov\imagery\scanned_maps\moe_terrain_maps\Scanned_T_maps_all\R22\R22-718</v>
      </c>
      <c r="S3127" t="s">
        <v>62</v>
      </c>
      <c r="T3127" s="11" t="str">
        <f>HYPERLINK("http://www.env.gov.bc.ca/esd/distdata/ecosystems/TEI_Scanned_Maps/R22/R22-718","http://www.env.gov.bc.ca/esd/distdata/ecosystems/TEI_Scanned_Maps/R22/R22-718")</f>
        <v>http://www.env.gov.bc.ca/esd/distdata/ecosystems/TEI_Scanned_Maps/R22/R22-718</v>
      </c>
      <c r="U3127" t="s">
        <v>58</v>
      </c>
      <c r="V3127" t="s">
        <v>58</v>
      </c>
      <c r="W3127" t="s">
        <v>58</v>
      </c>
      <c r="X3127" t="s">
        <v>58</v>
      </c>
      <c r="Y3127" t="s">
        <v>58</v>
      </c>
      <c r="Z3127" t="s">
        <v>58</v>
      </c>
      <c r="AA3127" t="s">
        <v>58</v>
      </c>
      <c r="AC3127" t="s">
        <v>58</v>
      </c>
      <c r="AE3127" t="s">
        <v>58</v>
      </c>
      <c r="AG3127" t="s">
        <v>63</v>
      </c>
      <c r="AH3127" s="11" t="str">
        <f t="shared" si="182"/>
        <v>mailto: soilterrain@victoria1.gov.bc.ca</v>
      </c>
    </row>
    <row r="3128" spans="1:34">
      <c r="A3128" t="s">
        <v>6564</v>
      </c>
      <c r="B3128" t="s">
        <v>56</v>
      </c>
      <c r="C3128" s="10" t="s">
        <v>4904</v>
      </c>
      <c r="D3128" t="s">
        <v>58</v>
      </c>
      <c r="E3128" t="s">
        <v>2952</v>
      </c>
      <c r="F3128" t="s">
        <v>6530</v>
      </c>
      <c r="G3128">
        <v>20000</v>
      </c>
      <c r="H3128">
        <v>1982</v>
      </c>
      <c r="I3128" t="s">
        <v>58</v>
      </c>
      <c r="J3128" t="s">
        <v>58</v>
      </c>
      <c r="K3128" t="s">
        <v>58</v>
      </c>
      <c r="L3128" t="s">
        <v>58</v>
      </c>
      <c r="M3128" t="s">
        <v>58</v>
      </c>
      <c r="P3128" t="s">
        <v>61</v>
      </c>
      <c r="Q3128" t="s">
        <v>58</v>
      </c>
      <c r="R3128" s="11" t="str">
        <f>HYPERLINK("\\imagefiles.bcgov\imagery\scanned_maps\moe_terrain_maps\Scanned_T_maps_all\R22\R22-726","\\imagefiles.bcgov\imagery\scanned_maps\moe_terrain_maps\Scanned_T_maps_all\R22\R22-726")</f>
        <v>\\imagefiles.bcgov\imagery\scanned_maps\moe_terrain_maps\Scanned_T_maps_all\R22\R22-726</v>
      </c>
      <c r="S3128" t="s">
        <v>62</v>
      </c>
      <c r="T3128" s="11" t="str">
        <f>HYPERLINK("http://www.env.gov.bc.ca/esd/distdata/ecosystems/TEI_Scanned_Maps/R22/R22-726","http://www.env.gov.bc.ca/esd/distdata/ecosystems/TEI_Scanned_Maps/R22/R22-726")</f>
        <v>http://www.env.gov.bc.ca/esd/distdata/ecosystems/TEI_Scanned_Maps/R22/R22-726</v>
      </c>
      <c r="U3128" t="s">
        <v>58</v>
      </c>
      <c r="V3128" t="s">
        <v>58</v>
      </c>
      <c r="W3128" t="s">
        <v>58</v>
      </c>
      <c r="X3128" t="s">
        <v>58</v>
      </c>
      <c r="Y3128" t="s">
        <v>58</v>
      </c>
      <c r="Z3128" t="s">
        <v>58</v>
      </c>
      <c r="AA3128" t="s">
        <v>58</v>
      </c>
      <c r="AC3128" t="s">
        <v>58</v>
      </c>
      <c r="AE3128" t="s">
        <v>58</v>
      </c>
      <c r="AG3128" t="s">
        <v>63</v>
      </c>
      <c r="AH3128" s="11" t="str">
        <f t="shared" si="182"/>
        <v>mailto: soilterrain@victoria1.gov.bc.ca</v>
      </c>
    </row>
    <row r="3129" spans="1:34">
      <c r="A3129" t="s">
        <v>6565</v>
      </c>
      <c r="B3129" t="s">
        <v>56</v>
      </c>
      <c r="C3129" s="10" t="s">
        <v>5452</v>
      </c>
      <c r="D3129" t="s">
        <v>58</v>
      </c>
      <c r="E3129" t="s">
        <v>2952</v>
      </c>
      <c r="F3129" t="s">
        <v>6530</v>
      </c>
      <c r="G3129">
        <v>20000</v>
      </c>
      <c r="H3129">
        <v>1977</v>
      </c>
      <c r="I3129" t="s">
        <v>58</v>
      </c>
      <c r="J3129" t="s">
        <v>58</v>
      </c>
      <c r="K3129" t="s">
        <v>58</v>
      </c>
      <c r="L3129" t="s">
        <v>58</v>
      </c>
      <c r="M3129" t="s">
        <v>58</v>
      </c>
      <c r="P3129" t="s">
        <v>61</v>
      </c>
      <c r="Q3129" t="s">
        <v>58</v>
      </c>
      <c r="R3129" s="11" t="str">
        <f>HYPERLINK("\\imagefiles.bcgov\imagery\scanned_maps\moe_terrain_maps\Scanned_T_maps_all\R22\R22-733","\\imagefiles.bcgov\imagery\scanned_maps\moe_terrain_maps\Scanned_T_maps_all\R22\R22-733")</f>
        <v>\\imagefiles.bcgov\imagery\scanned_maps\moe_terrain_maps\Scanned_T_maps_all\R22\R22-733</v>
      </c>
      <c r="S3129" t="s">
        <v>62</v>
      </c>
      <c r="T3129" s="11" t="str">
        <f>HYPERLINK("http://www.env.gov.bc.ca/esd/distdata/ecosystems/TEI_Scanned_Maps/R22/R22-733","http://www.env.gov.bc.ca/esd/distdata/ecosystems/TEI_Scanned_Maps/R22/R22-733")</f>
        <v>http://www.env.gov.bc.ca/esd/distdata/ecosystems/TEI_Scanned_Maps/R22/R22-733</v>
      </c>
      <c r="U3129" t="s">
        <v>58</v>
      </c>
      <c r="V3129" t="s">
        <v>58</v>
      </c>
      <c r="W3129" t="s">
        <v>58</v>
      </c>
      <c r="X3129" t="s">
        <v>58</v>
      </c>
      <c r="Y3129" t="s">
        <v>58</v>
      </c>
      <c r="Z3129" t="s">
        <v>58</v>
      </c>
      <c r="AA3129" t="s">
        <v>58</v>
      </c>
      <c r="AC3129" t="s">
        <v>58</v>
      </c>
      <c r="AE3129" t="s">
        <v>58</v>
      </c>
      <c r="AG3129" t="s">
        <v>63</v>
      </c>
      <c r="AH3129" s="11" t="str">
        <f t="shared" si="182"/>
        <v>mailto: soilterrain@victoria1.gov.bc.ca</v>
      </c>
    </row>
    <row r="3130" spans="1:34">
      <c r="A3130" t="s">
        <v>6566</v>
      </c>
      <c r="B3130" t="s">
        <v>56</v>
      </c>
      <c r="C3130" s="10" t="s">
        <v>5454</v>
      </c>
      <c r="D3130" t="s">
        <v>58</v>
      </c>
      <c r="E3130" t="s">
        <v>2952</v>
      </c>
      <c r="F3130" t="s">
        <v>6530</v>
      </c>
      <c r="G3130">
        <v>20000</v>
      </c>
      <c r="H3130">
        <v>1974</v>
      </c>
      <c r="I3130" t="s">
        <v>58</v>
      </c>
      <c r="J3130" t="s">
        <v>58</v>
      </c>
      <c r="K3130" t="s">
        <v>58</v>
      </c>
      <c r="L3130" t="s">
        <v>58</v>
      </c>
      <c r="M3130" t="s">
        <v>58</v>
      </c>
      <c r="P3130" t="s">
        <v>61</v>
      </c>
      <c r="Q3130" t="s">
        <v>58</v>
      </c>
      <c r="R3130" s="11" t="str">
        <f>HYPERLINK("\\imagefiles.bcgov\imagery\scanned_maps\moe_terrain_maps\Scanned_T_maps_all\R22\R22-740","\\imagefiles.bcgov\imagery\scanned_maps\moe_terrain_maps\Scanned_T_maps_all\R22\R22-740")</f>
        <v>\\imagefiles.bcgov\imagery\scanned_maps\moe_terrain_maps\Scanned_T_maps_all\R22\R22-740</v>
      </c>
      <c r="S3130" t="s">
        <v>62</v>
      </c>
      <c r="T3130" s="11" t="str">
        <f>HYPERLINK("http://www.env.gov.bc.ca/esd/distdata/ecosystems/TEI_Scanned_Maps/R22/R22-740","http://www.env.gov.bc.ca/esd/distdata/ecosystems/TEI_Scanned_Maps/R22/R22-740")</f>
        <v>http://www.env.gov.bc.ca/esd/distdata/ecosystems/TEI_Scanned_Maps/R22/R22-740</v>
      </c>
      <c r="U3130" t="s">
        <v>58</v>
      </c>
      <c r="V3130" t="s">
        <v>58</v>
      </c>
      <c r="W3130" t="s">
        <v>58</v>
      </c>
      <c r="X3130" t="s">
        <v>58</v>
      </c>
      <c r="Y3130" t="s">
        <v>58</v>
      </c>
      <c r="Z3130" t="s">
        <v>58</v>
      </c>
      <c r="AA3130" t="s">
        <v>58</v>
      </c>
      <c r="AC3130" t="s">
        <v>58</v>
      </c>
      <c r="AE3130" t="s">
        <v>58</v>
      </c>
      <c r="AG3130" t="s">
        <v>63</v>
      </c>
      <c r="AH3130" s="11" t="str">
        <f t="shared" si="182"/>
        <v>mailto: soilterrain@victoria1.gov.bc.ca</v>
      </c>
    </row>
    <row r="3131" spans="1:34">
      <c r="A3131" t="s">
        <v>6567</v>
      </c>
      <c r="B3131" t="s">
        <v>56</v>
      </c>
      <c r="C3131" s="10" t="s">
        <v>5456</v>
      </c>
      <c r="D3131" t="s">
        <v>58</v>
      </c>
      <c r="E3131" t="s">
        <v>2952</v>
      </c>
      <c r="F3131" t="s">
        <v>6530</v>
      </c>
      <c r="G3131">
        <v>20000</v>
      </c>
      <c r="H3131">
        <v>1982</v>
      </c>
      <c r="I3131" t="s">
        <v>58</v>
      </c>
      <c r="J3131" t="s">
        <v>58</v>
      </c>
      <c r="K3131" t="s">
        <v>58</v>
      </c>
      <c r="L3131" t="s">
        <v>58</v>
      </c>
      <c r="M3131" t="s">
        <v>58</v>
      </c>
      <c r="P3131" t="s">
        <v>61</v>
      </c>
      <c r="Q3131" t="s">
        <v>58</v>
      </c>
      <c r="R3131" s="11" t="str">
        <f>HYPERLINK("\\imagefiles.bcgov\imagery\scanned_maps\moe_terrain_maps\Scanned_T_maps_all\R22\R22-747","\\imagefiles.bcgov\imagery\scanned_maps\moe_terrain_maps\Scanned_T_maps_all\R22\R22-747")</f>
        <v>\\imagefiles.bcgov\imagery\scanned_maps\moe_terrain_maps\Scanned_T_maps_all\R22\R22-747</v>
      </c>
      <c r="S3131" t="s">
        <v>62</v>
      </c>
      <c r="T3131" s="11" t="str">
        <f>HYPERLINK("http://www.env.gov.bc.ca/esd/distdata/ecosystems/TEI_Scanned_Maps/R22/R22-747","http://www.env.gov.bc.ca/esd/distdata/ecosystems/TEI_Scanned_Maps/R22/R22-747")</f>
        <v>http://www.env.gov.bc.ca/esd/distdata/ecosystems/TEI_Scanned_Maps/R22/R22-747</v>
      </c>
      <c r="U3131" t="s">
        <v>58</v>
      </c>
      <c r="V3131" t="s">
        <v>58</v>
      </c>
      <c r="W3131" t="s">
        <v>58</v>
      </c>
      <c r="X3131" t="s">
        <v>58</v>
      </c>
      <c r="Y3131" t="s">
        <v>58</v>
      </c>
      <c r="Z3131" t="s">
        <v>58</v>
      </c>
      <c r="AA3131" t="s">
        <v>58</v>
      </c>
      <c r="AC3131" t="s">
        <v>58</v>
      </c>
      <c r="AE3131" t="s">
        <v>58</v>
      </c>
      <c r="AG3131" t="s">
        <v>63</v>
      </c>
      <c r="AH3131" s="11" t="str">
        <f t="shared" si="182"/>
        <v>mailto: soilterrain@victoria1.gov.bc.ca</v>
      </c>
    </row>
    <row r="3132" spans="1:34">
      <c r="A3132" t="s">
        <v>6568</v>
      </c>
      <c r="B3132" t="s">
        <v>56</v>
      </c>
      <c r="C3132" s="10" t="s">
        <v>5458</v>
      </c>
      <c r="D3132" t="s">
        <v>58</v>
      </c>
      <c r="E3132" t="s">
        <v>2952</v>
      </c>
      <c r="F3132" t="s">
        <v>6530</v>
      </c>
      <c r="G3132">
        <v>20000</v>
      </c>
      <c r="H3132">
        <v>1974</v>
      </c>
      <c r="I3132" t="s">
        <v>58</v>
      </c>
      <c r="J3132" t="s">
        <v>58</v>
      </c>
      <c r="K3132" t="s">
        <v>58</v>
      </c>
      <c r="L3132" t="s">
        <v>58</v>
      </c>
      <c r="M3132" t="s">
        <v>58</v>
      </c>
      <c r="P3132" t="s">
        <v>61</v>
      </c>
      <c r="Q3132" t="s">
        <v>58</v>
      </c>
      <c r="R3132" s="11" t="str">
        <f>HYPERLINK("\\imagefiles.bcgov\imagery\scanned_maps\moe_terrain_maps\Scanned_T_maps_all\R22\R22-948","\\imagefiles.bcgov\imagery\scanned_maps\moe_terrain_maps\Scanned_T_maps_all\R22\R22-948")</f>
        <v>\\imagefiles.bcgov\imagery\scanned_maps\moe_terrain_maps\Scanned_T_maps_all\R22\R22-948</v>
      </c>
      <c r="S3132" t="s">
        <v>62</v>
      </c>
      <c r="T3132" s="11" t="str">
        <f>HYPERLINK("http://www.env.gov.bc.ca/esd/distdata/ecosystems/TEI_Scanned_Maps/R22/R22-948","http://www.env.gov.bc.ca/esd/distdata/ecosystems/TEI_Scanned_Maps/R22/R22-948")</f>
        <v>http://www.env.gov.bc.ca/esd/distdata/ecosystems/TEI_Scanned_Maps/R22/R22-948</v>
      </c>
      <c r="U3132" t="s">
        <v>58</v>
      </c>
      <c r="V3132" t="s">
        <v>58</v>
      </c>
      <c r="W3132" t="s">
        <v>58</v>
      </c>
      <c r="X3132" t="s">
        <v>58</v>
      </c>
      <c r="Y3132" t="s">
        <v>58</v>
      </c>
      <c r="Z3132" t="s">
        <v>58</v>
      </c>
      <c r="AA3132" t="s">
        <v>58</v>
      </c>
      <c r="AC3132" t="s">
        <v>58</v>
      </c>
      <c r="AE3132" t="s">
        <v>58</v>
      </c>
      <c r="AG3132" t="s">
        <v>63</v>
      </c>
      <c r="AH3132" s="11" t="str">
        <f t="shared" si="182"/>
        <v>mailto: soilterrain@victoria1.gov.bc.ca</v>
      </c>
    </row>
    <row r="3133" spans="1:34">
      <c r="A3133" t="s">
        <v>6569</v>
      </c>
      <c r="B3133" t="s">
        <v>56</v>
      </c>
      <c r="C3133" s="10" t="s">
        <v>5460</v>
      </c>
      <c r="D3133" t="s">
        <v>58</v>
      </c>
      <c r="E3133" t="s">
        <v>2952</v>
      </c>
      <c r="F3133" t="s">
        <v>6530</v>
      </c>
      <c r="G3133">
        <v>20000</v>
      </c>
      <c r="H3133">
        <v>1982</v>
      </c>
      <c r="I3133" t="s">
        <v>58</v>
      </c>
      <c r="J3133" t="s">
        <v>58</v>
      </c>
      <c r="K3133" t="s">
        <v>58</v>
      </c>
      <c r="L3133" t="s">
        <v>58</v>
      </c>
      <c r="M3133" t="s">
        <v>58</v>
      </c>
      <c r="P3133" t="s">
        <v>61</v>
      </c>
      <c r="Q3133" t="s">
        <v>58</v>
      </c>
      <c r="R3133" s="11" t="str">
        <f>HYPERLINK("\\imagefiles.bcgov\imagery\scanned_maps\moe_terrain_maps\Scanned_T_maps_all\R22\R22-956","\\imagefiles.bcgov\imagery\scanned_maps\moe_terrain_maps\Scanned_T_maps_all\R22\R22-956")</f>
        <v>\\imagefiles.bcgov\imagery\scanned_maps\moe_terrain_maps\Scanned_T_maps_all\R22\R22-956</v>
      </c>
      <c r="S3133" t="s">
        <v>62</v>
      </c>
      <c r="T3133" s="11" t="str">
        <f>HYPERLINK("http://www.env.gov.bc.ca/esd/distdata/ecosystems/TEI_Scanned_Maps/R22/R22-956","http://www.env.gov.bc.ca/esd/distdata/ecosystems/TEI_Scanned_Maps/R22/R22-956")</f>
        <v>http://www.env.gov.bc.ca/esd/distdata/ecosystems/TEI_Scanned_Maps/R22/R22-956</v>
      </c>
      <c r="U3133" t="s">
        <v>58</v>
      </c>
      <c r="V3133" t="s">
        <v>58</v>
      </c>
      <c r="W3133" t="s">
        <v>58</v>
      </c>
      <c r="X3133" t="s">
        <v>58</v>
      </c>
      <c r="Y3133" t="s">
        <v>58</v>
      </c>
      <c r="Z3133" t="s">
        <v>58</v>
      </c>
      <c r="AA3133" t="s">
        <v>58</v>
      </c>
      <c r="AC3133" t="s">
        <v>58</v>
      </c>
      <c r="AE3133" t="s">
        <v>58</v>
      </c>
      <c r="AG3133" t="s">
        <v>63</v>
      </c>
      <c r="AH3133" s="11" t="str">
        <f t="shared" si="182"/>
        <v>mailto: soilterrain@victoria1.gov.bc.ca</v>
      </c>
    </row>
    <row r="3134" spans="1:34">
      <c r="A3134" t="s">
        <v>6570</v>
      </c>
      <c r="B3134" t="s">
        <v>56</v>
      </c>
      <c r="C3134" s="10" t="s">
        <v>5462</v>
      </c>
      <c r="D3134" t="s">
        <v>58</v>
      </c>
      <c r="E3134" t="s">
        <v>2952</v>
      </c>
      <c r="F3134" t="s">
        <v>6530</v>
      </c>
      <c r="G3134">
        <v>20000</v>
      </c>
      <c r="H3134">
        <v>1978</v>
      </c>
      <c r="I3134" t="s">
        <v>58</v>
      </c>
      <c r="J3134" t="s">
        <v>58</v>
      </c>
      <c r="K3134" t="s">
        <v>58</v>
      </c>
      <c r="L3134" t="s">
        <v>58</v>
      </c>
      <c r="M3134" t="s">
        <v>58</v>
      </c>
      <c r="P3134" t="s">
        <v>61</v>
      </c>
      <c r="Q3134" t="s">
        <v>58</v>
      </c>
      <c r="R3134" s="11" t="str">
        <f>HYPERLINK("\\imagefiles.bcgov\imagery\scanned_maps\moe_terrain_maps\Scanned_T_maps_all\R22\R22-965","\\imagefiles.bcgov\imagery\scanned_maps\moe_terrain_maps\Scanned_T_maps_all\R22\R22-965")</f>
        <v>\\imagefiles.bcgov\imagery\scanned_maps\moe_terrain_maps\Scanned_T_maps_all\R22\R22-965</v>
      </c>
      <c r="S3134" t="s">
        <v>62</v>
      </c>
      <c r="T3134" s="11" t="str">
        <f>HYPERLINK("http://www.env.gov.bc.ca/esd/distdata/ecosystems/TEI_Scanned_Maps/R22/R22-965","http://www.env.gov.bc.ca/esd/distdata/ecosystems/TEI_Scanned_Maps/R22/R22-965")</f>
        <v>http://www.env.gov.bc.ca/esd/distdata/ecosystems/TEI_Scanned_Maps/R22/R22-965</v>
      </c>
      <c r="U3134" t="s">
        <v>58</v>
      </c>
      <c r="V3134" t="s">
        <v>58</v>
      </c>
      <c r="W3134" t="s">
        <v>58</v>
      </c>
      <c r="X3134" t="s">
        <v>58</v>
      </c>
      <c r="Y3134" t="s">
        <v>58</v>
      </c>
      <c r="Z3134" t="s">
        <v>58</v>
      </c>
      <c r="AA3134" t="s">
        <v>58</v>
      </c>
      <c r="AC3134" t="s">
        <v>58</v>
      </c>
      <c r="AE3134" t="s">
        <v>58</v>
      </c>
      <c r="AG3134" t="s">
        <v>63</v>
      </c>
      <c r="AH3134" s="11" t="str">
        <f t="shared" si="182"/>
        <v>mailto: soilterrain@victoria1.gov.bc.ca</v>
      </c>
    </row>
    <row r="3135" spans="1:34">
      <c r="A3135" t="s">
        <v>6571</v>
      </c>
      <c r="B3135" t="s">
        <v>56</v>
      </c>
      <c r="C3135" s="10" t="s">
        <v>6572</v>
      </c>
      <c r="D3135" t="s">
        <v>58</v>
      </c>
      <c r="E3135" t="s">
        <v>6573</v>
      </c>
      <c r="F3135" t="s">
        <v>6574</v>
      </c>
      <c r="G3135">
        <v>20000</v>
      </c>
      <c r="H3135" t="s">
        <v>187</v>
      </c>
      <c r="I3135" t="s">
        <v>6575</v>
      </c>
      <c r="J3135" t="s">
        <v>61</v>
      </c>
      <c r="K3135" t="s">
        <v>58</v>
      </c>
      <c r="L3135" t="s">
        <v>58</v>
      </c>
      <c r="M3135" t="s">
        <v>61</v>
      </c>
      <c r="Q3135" t="s">
        <v>58</v>
      </c>
      <c r="R3135" s="11" t="str">
        <f>HYPERLINK("\\imagefiles.bcgov\imagery\scanned_maps\moe_terrain_maps\Scanned_T_maps_all\T01\T01-4510","\\imagefiles.bcgov\imagery\scanned_maps\moe_terrain_maps\Scanned_T_maps_all\T01\T01-4510")</f>
        <v>\\imagefiles.bcgov\imagery\scanned_maps\moe_terrain_maps\Scanned_T_maps_all\T01\T01-4510</v>
      </c>
      <c r="S3135" t="s">
        <v>62</v>
      </c>
      <c r="T3135" s="11" t="str">
        <f>HYPERLINK("http://www.env.gov.bc.ca/esd/distdata/ecosystems/TEI_Scanned_Maps/T01/T01-4510","http://www.env.gov.bc.ca/esd/distdata/ecosystems/TEI_Scanned_Maps/T01/T01-4510")</f>
        <v>http://www.env.gov.bc.ca/esd/distdata/ecosystems/TEI_Scanned_Maps/T01/T01-4510</v>
      </c>
      <c r="U3135" t="s">
        <v>269</v>
      </c>
      <c r="V3135" s="11" t="str">
        <f>HYPERLINK("http://www.library.for.gov.bc.ca/#focus","http://www.library.for.gov.bc.ca/#focus")</f>
        <v>http://www.library.for.gov.bc.ca/#focus</v>
      </c>
      <c r="W3135" t="s">
        <v>58</v>
      </c>
      <c r="X3135" t="s">
        <v>58</v>
      </c>
      <c r="Y3135" t="s">
        <v>58</v>
      </c>
      <c r="Z3135" t="s">
        <v>58</v>
      </c>
      <c r="AA3135" t="s">
        <v>58</v>
      </c>
      <c r="AC3135" t="s">
        <v>58</v>
      </c>
      <c r="AE3135" t="s">
        <v>58</v>
      </c>
      <c r="AG3135" t="s">
        <v>63</v>
      </c>
      <c r="AH3135" s="11" t="str">
        <f t="shared" si="182"/>
        <v>mailto: soilterrain@victoria1.gov.bc.ca</v>
      </c>
    </row>
    <row r="3136" spans="1:34">
      <c r="A3136" t="s">
        <v>6576</v>
      </c>
      <c r="B3136" t="s">
        <v>56</v>
      </c>
      <c r="C3136" s="10" t="s">
        <v>1167</v>
      </c>
      <c r="D3136" t="s">
        <v>58</v>
      </c>
      <c r="E3136" t="s">
        <v>6573</v>
      </c>
      <c r="F3136" t="s">
        <v>6577</v>
      </c>
      <c r="G3136">
        <v>50000</v>
      </c>
      <c r="H3136" t="s">
        <v>187</v>
      </c>
      <c r="I3136" t="s">
        <v>6575</v>
      </c>
      <c r="J3136" t="s">
        <v>61</v>
      </c>
      <c r="K3136" t="s">
        <v>58</v>
      </c>
      <c r="L3136" t="s">
        <v>58</v>
      </c>
      <c r="M3136" t="s">
        <v>61</v>
      </c>
      <c r="Q3136" t="s">
        <v>58</v>
      </c>
      <c r="R3136" s="11" t="str">
        <f>HYPERLINK("\\imagefiles.bcgov\imagery\scanned_maps\moe_terrain_maps\Scanned_T_maps_all\T01\T01-4513","\\imagefiles.bcgov\imagery\scanned_maps\moe_terrain_maps\Scanned_T_maps_all\T01\T01-4513")</f>
        <v>\\imagefiles.bcgov\imagery\scanned_maps\moe_terrain_maps\Scanned_T_maps_all\T01\T01-4513</v>
      </c>
      <c r="S3136" t="s">
        <v>62</v>
      </c>
      <c r="T3136" s="11" t="str">
        <f>HYPERLINK("http://www.env.gov.bc.ca/esd/distdata/ecosystems/TEI_Scanned_Maps/T01/T01-4513","http://www.env.gov.bc.ca/esd/distdata/ecosystems/TEI_Scanned_Maps/T01/T01-4513")</f>
        <v>http://www.env.gov.bc.ca/esd/distdata/ecosystems/TEI_Scanned_Maps/T01/T01-4513</v>
      </c>
      <c r="U3136" t="s">
        <v>269</v>
      </c>
      <c r="V3136" s="11" t="str">
        <f>HYPERLINK("http://www.library.for.gov.bc.ca/#focus","http://www.library.for.gov.bc.ca/#focus")</f>
        <v>http://www.library.for.gov.bc.ca/#focus</v>
      </c>
      <c r="W3136" t="s">
        <v>58</v>
      </c>
      <c r="X3136" t="s">
        <v>58</v>
      </c>
      <c r="Y3136" t="s">
        <v>58</v>
      </c>
      <c r="Z3136" t="s">
        <v>58</v>
      </c>
      <c r="AA3136" t="s">
        <v>58</v>
      </c>
      <c r="AC3136" t="s">
        <v>58</v>
      </c>
      <c r="AE3136" t="s">
        <v>58</v>
      </c>
      <c r="AG3136" t="s">
        <v>63</v>
      </c>
      <c r="AH3136" s="11" t="str">
        <f t="shared" si="182"/>
        <v>mailto: soilterrain@victoria1.gov.bc.ca</v>
      </c>
    </row>
    <row r="3137" spans="1:34">
      <c r="A3137" t="s">
        <v>6578</v>
      </c>
      <c r="B3137" t="s">
        <v>56</v>
      </c>
      <c r="C3137" s="10" t="s">
        <v>1167</v>
      </c>
      <c r="D3137" t="s">
        <v>58</v>
      </c>
      <c r="E3137" t="s">
        <v>6573</v>
      </c>
      <c r="F3137" t="s">
        <v>6579</v>
      </c>
      <c r="G3137">
        <v>50000</v>
      </c>
      <c r="H3137">
        <v>1982</v>
      </c>
      <c r="I3137" t="s">
        <v>6575</v>
      </c>
      <c r="J3137" t="s">
        <v>61</v>
      </c>
      <c r="K3137" t="s">
        <v>61</v>
      </c>
      <c r="L3137" t="s">
        <v>58</v>
      </c>
      <c r="M3137" t="s">
        <v>58</v>
      </c>
      <c r="Q3137" t="s">
        <v>58</v>
      </c>
      <c r="R3137" s="11" t="str">
        <f>HYPERLINK("\\imagefiles.bcgov\imagery\scanned_maps\moe_terrain_maps\Scanned_T_maps_all\T01\T01-614","\\imagefiles.bcgov\imagery\scanned_maps\moe_terrain_maps\Scanned_T_maps_all\T01\T01-614")</f>
        <v>\\imagefiles.bcgov\imagery\scanned_maps\moe_terrain_maps\Scanned_T_maps_all\T01\T01-614</v>
      </c>
      <c r="S3137" t="s">
        <v>62</v>
      </c>
      <c r="T3137" s="11" t="str">
        <f>HYPERLINK("http://www.env.gov.bc.ca/esd/distdata/ecosystems/TEI_Scanned_Maps/T01/T01-614","http://www.env.gov.bc.ca/esd/distdata/ecosystems/TEI_Scanned_Maps/T01/T01-614")</f>
        <v>http://www.env.gov.bc.ca/esd/distdata/ecosystems/TEI_Scanned_Maps/T01/T01-614</v>
      </c>
      <c r="U3137" t="s">
        <v>269</v>
      </c>
      <c r="V3137" s="11" t="str">
        <f>HYPERLINK("http://www.library.for.gov.bc.ca/#focus","http://www.library.for.gov.bc.ca/#focus")</f>
        <v>http://www.library.for.gov.bc.ca/#focus</v>
      </c>
      <c r="W3137" t="s">
        <v>3053</v>
      </c>
      <c r="X3137" s="11" t="str">
        <f>HYPERLINK("http://www.prsss.ca/","http://www.prsss.ca/")</f>
        <v>http://www.prsss.ca/</v>
      </c>
      <c r="Y3137" t="s">
        <v>58</v>
      </c>
      <c r="Z3137" t="s">
        <v>58</v>
      </c>
      <c r="AA3137" t="s">
        <v>58</v>
      </c>
      <c r="AC3137" t="s">
        <v>58</v>
      </c>
      <c r="AE3137" t="s">
        <v>58</v>
      </c>
      <c r="AG3137" t="s">
        <v>63</v>
      </c>
      <c r="AH3137" s="11" t="str">
        <f t="shared" si="182"/>
        <v>mailto: soilterrain@victoria1.gov.bc.ca</v>
      </c>
    </row>
    <row r="3138" spans="1:34">
      <c r="A3138" t="s">
        <v>6580</v>
      </c>
      <c r="B3138" t="s">
        <v>56</v>
      </c>
      <c r="C3138" s="10" t="s">
        <v>6572</v>
      </c>
      <c r="D3138" t="s">
        <v>58</v>
      </c>
      <c r="E3138" t="s">
        <v>6573</v>
      </c>
      <c r="F3138" t="s">
        <v>6581</v>
      </c>
      <c r="G3138">
        <v>20000</v>
      </c>
      <c r="H3138">
        <v>1974</v>
      </c>
      <c r="I3138" t="s">
        <v>6575</v>
      </c>
      <c r="J3138" t="s">
        <v>61</v>
      </c>
      <c r="K3138" t="s">
        <v>61</v>
      </c>
      <c r="L3138" t="s">
        <v>58</v>
      </c>
      <c r="M3138" t="s">
        <v>58</v>
      </c>
      <c r="Q3138" t="s">
        <v>58</v>
      </c>
      <c r="R3138" s="11" t="str">
        <f>HYPERLINK("\\imagefiles.bcgov\imagery\scanned_maps\moe_terrain_maps\Scanned_T_maps_all\T01\T01-615","\\imagefiles.bcgov\imagery\scanned_maps\moe_terrain_maps\Scanned_T_maps_all\T01\T01-615")</f>
        <v>\\imagefiles.bcgov\imagery\scanned_maps\moe_terrain_maps\Scanned_T_maps_all\T01\T01-615</v>
      </c>
      <c r="S3138" t="s">
        <v>62</v>
      </c>
      <c r="T3138" s="11" t="str">
        <f>HYPERLINK("http://www.env.gov.bc.ca/esd/distdata/ecosystems/TEI_Scanned_Maps/T01/T01-615","http://www.env.gov.bc.ca/esd/distdata/ecosystems/TEI_Scanned_Maps/T01/T01-615")</f>
        <v>http://www.env.gov.bc.ca/esd/distdata/ecosystems/TEI_Scanned_Maps/T01/T01-615</v>
      </c>
      <c r="U3138" t="s">
        <v>269</v>
      </c>
      <c r="V3138" s="11" t="str">
        <f>HYPERLINK("http://www.library.for.gov.bc.ca/#focus","http://www.library.for.gov.bc.ca/#focus")</f>
        <v>http://www.library.for.gov.bc.ca/#focus</v>
      </c>
      <c r="W3138" t="s">
        <v>3053</v>
      </c>
      <c r="X3138" s="11" t="str">
        <f>HYPERLINK("http://www.prsss.ca/","http://www.prsss.ca/")</f>
        <v>http://www.prsss.ca/</v>
      </c>
      <c r="Y3138" t="s">
        <v>58</v>
      </c>
      <c r="Z3138" t="s">
        <v>58</v>
      </c>
      <c r="AA3138" t="s">
        <v>58</v>
      </c>
      <c r="AC3138" t="s">
        <v>58</v>
      </c>
      <c r="AE3138" t="s">
        <v>58</v>
      </c>
      <c r="AG3138" t="s">
        <v>63</v>
      </c>
      <c r="AH3138" s="11" t="str">
        <f t="shared" ref="AH3138:AH3201" si="183">HYPERLINK("mailto: soilterrain@victoria1.gov.bc.ca","mailto: soilterrain@victoria1.gov.bc.ca")</f>
        <v>mailto: soilterrain@victoria1.gov.bc.ca</v>
      </c>
    </row>
    <row r="3139" spans="1:34">
      <c r="A3139" t="s">
        <v>6582</v>
      </c>
      <c r="B3139" t="s">
        <v>56</v>
      </c>
      <c r="C3139" s="10" t="s">
        <v>1153</v>
      </c>
      <c r="D3139" t="s">
        <v>58</v>
      </c>
      <c r="E3139" t="s">
        <v>6583</v>
      </c>
      <c r="F3139" t="s">
        <v>6584</v>
      </c>
      <c r="G3139">
        <v>50000</v>
      </c>
      <c r="H3139">
        <v>1981</v>
      </c>
      <c r="I3139" t="s">
        <v>58</v>
      </c>
      <c r="J3139" t="s">
        <v>61</v>
      </c>
      <c r="K3139" t="s">
        <v>58</v>
      </c>
      <c r="L3139" t="s">
        <v>58</v>
      </c>
      <c r="M3139" t="s">
        <v>58</v>
      </c>
      <c r="P3139" t="s">
        <v>61</v>
      </c>
      <c r="Q3139" t="s">
        <v>58</v>
      </c>
      <c r="R3139" s="11" t="str">
        <f>HYPERLINK("\\imagefiles.bcgov\imagery\scanned_maps\moe_terrain_maps\Scanned_T_maps_all\T02\T02-4516","\\imagefiles.bcgov\imagery\scanned_maps\moe_terrain_maps\Scanned_T_maps_all\T02\T02-4516")</f>
        <v>\\imagefiles.bcgov\imagery\scanned_maps\moe_terrain_maps\Scanned_T_maps_all\T02\T02-4516</v>
      </c>
      <c r="S3139" t="s">
        <v>62</v>
      </c>
      <c r="T3139" s="11" t="str">
        <f>HYPERLINK("http://www.env.gov.bc.ca/esd/distdata/ecosystems/TEI_Scanned_Maps/T02/T02-4516","http://www.env.gov.bc.ca/esd/distdata/ecosystems/TEI_Scanned_Maps/T02/T02-4516")</f>
        <v>http://www.env.gov.bc.ca/esd/distdata/ecosystems/TEI_Scanned_Maps/T02/T02-4516</v>
      </c>
      <c r="U3139" t="s">
        <v>58</v>
      </c>
      <c r="V3139" t="s">
        <v>58</v>
      </c>
      <c r="W3139" t="s">
        <v>58</v>
      </c>
      <c r="X3139" t="s">
        <v>58</v>
      </c>
      <c r="Y3139" t="s">
        <v>58</v>
      </c>
      <c r="Z3139" t="s">
        <v>58</v>
      </c>
      <c r="AA3139" t="s">
        <v>58</v>
      </c>
      <c r="AC3139" t="s">
        <v>58</v>
      </c>
      <c r="AE3139" t="s">
        <v>58</v>
      </c>
      <c r="AG3139" t="s">
        <v>63</v>
      </c>
      <c r="AH3139" s="11" t="str">
        <f t="shared" si="183"/>
        <v>mailto: soilterrain@victoria1.gov.bc.ca</v>
      </c>
    </row>
    <row r="3140" spans="1:34">
      <c r="A3140" t="s">
        <v>6585</v>
      </c>
      <c r="B3140" t="s">
        <v>56</v>
      </c>
      <c r="C3140" s="10" t="s">
        <v>1153</v>
      </c>
      <c r="D3140" t="s">
        <v>58</v>
      </c>
      <c r="E3140" t="s">
        <v>6583</v>
      </c>
      <c r="F3140" t="s">
        <v>6586</v>
      </c>
      <c r="G3140">
        <v>50000</v>
      </c>
      <c r="H3140" t="s">
        <v>187</v>
      </c>
      <c r="I3140" t="s">
        <v>58</v>
      </c>
      <c r="J3140" t="s">
        <v>61</v>
      </c>
      <c r="K3140" t="s">
        <v>58</v>
      </c>
      <c r="L3140" t="s">
        <v>58</v>
      </c>
      <c r="M3140" t="s">
        <v>58</v>
      </c>
      <c r="P3140" t="s">
        <v>61</v>
      </c>
      <c r="Q3140" t="s">
        <v>58</v>
      </c>
      <c r="R3140" s="11" t="str">
        <f>HYPERLINK("\\imagefiles.bcgov\imagery\scanned_maps\moe_terrain_maps\Scanned_T_maps_all\T02\T02-4517","\\imagefiles.bcgov\imagery\scanned_maps\moe_terrain_maps\Scanned_T_maps_all\T02\T02-4517")</f>
        <v>\\imagefiles.bcgov\imagery\scanned_maps\moe_terrain_maps\Scanned_T_maps_all\T02\T02-4517</v>
      </c>
      <c r="S3140" t="s">
        <v>62</v>
      </c>
      <c r="T3140" s="11" t="str">
        <f>HYPERLINK("http://www.env.gov.bc.ca/esd/distdata/ecosystems/TEI_Scanned_Maps/T02/T02-4517","http://www.env.gov.bc.ca/esd/distdata/ecosystems/TEI_Scanned_Maps/T02/T02-4517")</f>
        <v>http://www.env.gov.bc.ca/esd/distdata/ecosystems/TEI_Scanned_Maps/T02/T02-4517</v>
      </c>
      <c r="U3140" t="s">
        <v>58</v>
      </c>
      <c r="V3140" t="s">
        <v>58</v>
      </c>
      <c r="W3140" t="s">
        <v>58</v>
      </c>
      <c r="X3140" t="s">
        <v>58</v>
      </c>
      <c r="Y3140" t="s">
        <v>58</v>
      </c>
      <c r="Z3140" t="s">
        <v>58</v>
      </c>
      <c r="AA3140" t="s">
        <v>58</v>
      </c>
      <c r="AC3140" t="s">
        <v>58</v>
      </c>
      <c r="AE3140" t="s">
        <v>58</v>
      </c>
      <c r="AG3140" t="s">
        <v>63</v>
      </c>
      <c r="AH3140" s="11" t="str">
        <f t="shared" si="183"/>
        <v>mailto: soilterrain@victoria1.gov.bc.ca</v>
      </c>
    </row>
    <row r="3141" spans="1:34">
      <c r="A3141" t="s">
        <v>6587</v>
      </c>
      <c r="B3141" t="s">
        <v>56</v>
      </c>
      <c r="C3141" s="10" t="s">
        <v>1153</v>
      </c>
      <c r="D3141" t="s">
        <v>58</v>
      </c>
      <c r="E3141" t="s">
        <v>6583</v>
      </c>
      <c r="F3141" t="s">
        <v>6588</v>
      </c>
      <c r="G3141">
        <v>50000</v>
      </c>
      <c r="H3141">
        <v>1982</v>
      </c>
      <c r="I3141" t="s">
        <v>6589</v>
      </c>
      <c r="J3141" t="s">
        <v>61</v>
      </c>
      <c r="K3141" t="s">
        <v>58</v>
      </c>
      <c r="L3141" t="s">
        <v>58</v>
      </c>
      <c r="M3141" t="s">
        <v>58</v>
      </c>
      <c r="P3141" t="s">
        <v>61</v>
      </c>
      <c r="Q3141" t="s">
        <v>58</v>
      </c>
      <c r="R3141" s="11" t="str">
        <f>HYPERLINK("\\imagefiles.bcgov\imagery\scanned_maps\moe_terrain_maps\Scanned_T_maps_all\T02\T02-616","\\imagefiles.bcgov\imagery\scanned_maps\moe_terrain_maps\Scanned_T_maps_all\T02\T02-616")</f>
        <v>\\imagefiles.bcgov\imagery\scanned_maps\moe_terrain_maps\Scanned_T_maps_all\T02\T02-616</v>
      </c>
      <c r="S3141" t="s">
        <v>62</v>
      </c>
      <c r="T3141" s="11" t="str">
        <f>HYPERLINK("http://www.env.gov.bc.ca/esd/distdata/ecosystems/TEI_Scanned_Maps/T02/T02-616","http://www.env.gov.bc.ca/esd/distdata/ecosystems/TEI_Scanned_Maps/T02/T02-616")</f>
        <v>http://www.env.gov.bc.ca/esd/distdata/ecosystems/TEI_Scanned_Maps/T02/T02-616</v>
      </c>
      <c r="U3141" t="s">
        <v>2490</v>
      </c>
      <c r="V3141" s="11" t="str">
        <f t="shared" ref="V3141:V3149" si="184">HYPERLINK("http://res.agr.ca/cansis/publications/surveys/bc/","http://res.agr.ca/cansis/publications/surveys/bc/")</f>
        <v>http://res.agr.ca/cansis/publications/surveys/bc/</v>
      </c>
      <c r="W3141" t="s">
        <v>269</v>
      </c>
      <c r="X3141" s="11" t="str">
        <f t="shared" ref="X3141:X3149" si="185">HYPERLINK("http://www.library.for.gov.bc.ca/#focus","http://www.library.for.gov.bc.ca/#focus")</f>
        <v>http://www.library.for.gov.bc.ca/#focus</v>
      </c>
      <c r="Y3141" t="s">
        <v>2500</v>
      </c>
      <c r="Z3141" s="11" t="str">
        <f t="shared" ref="Z3141:Z3149" si="186">HYPERLINK("http://www.crownpub.bc.ca/","http://www.crownpub.bc.ca/")</f>
        <v>http://www.crownpub.bc.ca/</v>
      </c>
      <c r="AA3141" t="s">
        <v>58</v>
      </c>
      <c r="AC3141" t="s">
        <v>58</v>
      </c>
      <c r="AE3141" t="s">
        <v>58</v>
      </c>
      <c r="AG3141" t="s">
        <v>63</v>
      </c>
      <c r="AH3141" s="11" t="str">
        <f t="shared" si="183"/>
        <v>mailto: soilterrain@victoria1.gov.bc.ca</v>
      </c>
    </row>
    <row r="3142" spans="1:34">
      <c r="A3142" t="s">
        <v>6590</v>
      </c>
      <c r="B3142" t="s">
        <v>56</v>
      </c>
      <c r="C3142" s="10" t="s">
        <v>1153</v>
      </c>
      <c r="D3142" t="s">
        <v>58</v>
      </c>
      <c r="E3142" t="s">
        <v>6583</v>
      </c>
      <c r="F3142" t="s">
        <v>6591</v>
      </c>
      <c r="G3142">
        <v>50000</v>
      </c>
      <c r="H3142">
        <v>1972</v>
      </c>
      <c r="I3142" t="s">
        <v>6589</v>
      </c>
      <c r="J3142" t="s">
        <v>61</v>
      </c>
      <c r="K3142" t="s">
        <v>58</v>
      </c>
      <c r="L3142" t="s">
        <v>58</v>
      </c>
      <c r="M3142" t="s">
        <v>58</v>
      </c>
      <c r="P3142" t="s">
        <v>61</v>
      </c>
      <c r="Q3142" t="s">
        <v>58</v>
      </c>
      <c r="R3142" s="11" t="str">
        <f>HYPERLINK("\\imagefiles.bcgov\imagery\scanned_maps\moe_terrain_maps\Scanned_T_maps_all\T02\T02-617","\\imagefiles.bcgov\imagery\scanned_maps\moe_terrain_maps\Scanned_T_maps_all\T02\T02-617")</f>
        <v>\\imagefiles.bcgov\imagery\scanned_maps\moe_terrain_maps\Scanned_T_maps_all\T02\T02-617</v>
      </c>
      <c r="S3142" t="s">
        <v>62</v>
      </c>
      <c r="T3142" s="11" t="str">
        <f>HYPERLINK("http://www.env.gov.bc.ca/esd/distdata/ecosystems/TEI_Scanned_Maps/T02/T02-617","http://www.env.gov.bc.ca/esd/distdata/ecosystems/TEI_Scanned_Maps/T02/T02-617")</f>
        <v>http://www.env.gov.bc.ca/esd/distdata/ecosystems/TEI_Scanned_Maps/T02/T02-617</v>
      </c>
      <c r="U3142" t="s">
        <v>2490</v>
      </c>
      <c r="V3142" s="11" t="str">
        <f t="shared" si="184"/>
        <v>http://res.agr.ca/cansis/publications/surveys/bc/</v>
      </c>
      <c r="W3142" t="s">
        <v>269</v>
      </c>
      <c r="X3142" s="11" t="str">
        <f t="shared" si="185"/>
        <v>http://www.library.for.gov.bc.ca/#focus</v>
      </c>
      <c r="Y3142" t="s">
        <v>2500</v>
      </c>
      <c r="Z3142" s="11" t="str">
        <f t="shared" si="186"/>
        <v>http://www.crownpub.bc.ca/</v>
      </c>
      <c r="AA3142" t="s">
        <v>58</v>
      </c>
      <c r="AC3142" t="s">
        <v>58</v>
      </c>
      <c r="AE3142" t="s">
        <v>58</v>
      </c>
      <c r="AG3142" t="s">
        <v>63</v>
      </c>
      <c r="AH3142" s="11" t="str">
        <f t="shared" si="183"/>
        <v>mailto: soilterrain@victoria1.gov.bc.ca</v>
      </c>
    </row>
    <row r="3143" spans="1:34">
      <c r="A3143" t="s">
        <v>6592</v>
      </c>
      <c r="B3143" t="s">
        <v>56</v>
      </c>
      <c r="C3143" s="10" t="s">
        <v>1153</v>
      </c>
      <c r="D3143" t="s">
        <v>58</v>
      </c>
      <c r="E3143" t="s">
        <v>6583</v>
      </c>
      <c r="F3143" t="s">
        <v>6593</v>
      </c>
      <c r="G3143">
        <v>50000</v>
      </c>
      <c r="H3143">
        <v>1972</v>
      </c>
      <c r="I3143" t="s">
        <v>6589</v>
      </c>
      <c r="J3143" t="s">
        <v>61</v>
      </c>
      <c r="K3143" t="s">
        <v>58</v>
      </c>
      <c r="L3143" t="s">
        <v>58</v>
      </c>
      <c r="M3143" t="s">
        <v>58</v>
      </c>
      <c r="P3143" t="s">
        <v>61</v>
      </c>
      <c r="Q3143" t="s">
        <v>58</v>
      </c>
      <c r="R3143" s="11" t="str">
        <f>HYPERLINK("\\imagefiles.bcgov\imagery\scanned_maps\moe_terrain_maps\Scanned_T_maps_all\T02\T02-618","\\imagefiles.bcgov\imagery\scanned_maps\moe_terrain_maps\Scanned_T_maps_all\T02\T02-618")</f>
        <v>\\imagefiles.bcgov\imagery\scanned_maps\moe_terrain_maps\Scanned_T_maps_all\T02\T02-618</v>
      </c>
      <c r="S3143" t="s">
        <v>62</v>
      </c>
      <c r="T3143" s="11" t="str">
        <f>HYPERLINK("http://www.env.gov.bc.ca/esd/distdata/ecosystems/TEI_Scanned_Maps/T02/T02-618","http://www.env.gov.bc.ca/esd/distdata/ecosystems/TEI_Scanned_Maps/T02/T02-618")</f>
        <v>http://www.env.gov.bc.ca/esd/distdata/ecosystems/TEI_Scanned_Maps/T02/T02-618</v>
      </c>
      <c r="U3143" t="s">
        <v>2490</v>
      </c>
      <c r="V3143" s="11" t="str">
        <f t="shared" si="184"/>
        <v>http://res.agr.ca/cansis/publications/surveys/bc/</v>
      </c>
      <c r="W3143" t="s">
        <v>269</v>
      </c>
      <c r="X3143" s="11" t="str">
        <f t="shared" si="185"/>
        <v>http://www.library.for.gov.bc.ca/#focus</v>
      </c>
      <c r="Y3143" t="s">
        <v>2500</v>
      </c>
      <c r="Z3143" s="11" t="str">
        <f t="shared" si="186"/>
        <v>http://www.crownpub.bc.ca/</v>
      </c>
      <c r="AA3143" t="s">
        <v>58</v>
      </c>
      <c r="AC3143" t="s">
        <v>58</v>
      </c>
      <c r="AE3143" t="s">
        <v>58</v>
      </c>
      <c r="AG3143" t="s">
        <v>63</v>
      </c>
      <c r="AH3143" s="11" t="str">
        <f t="shared" si="183"/>
        <v>mailto: soilterrain@victoria1.gov.bc.ca</v>
      </c>
    </row>
    <row r="3144" spans="1:34">
      <c r="A3144" t="s">
        <v>6594</v>
      </c>
      <c r="B3144" t="s">
        <v>56</v>
      </c>
      <c r="C3144" s="10" t="s">
        <v>1153</v>
      </c>
      <c r="D3144" t="s">
        <v>58</v>
      </c>
      <c r="E3144" t="s">
        <v>6583</v>
      </c>
      <c r="F3144" t="s">
        <v>6595</v>
      </c>
      <c r="G3144">
        <v>50000</v>
      </c>
      <c r="H3144">
        <v>1983</v>
      </c>
      <c r="I3144" t="s">
        <v>6589</v>
      </c>
      <c r="J3144" t="s">
        <v>61</v>
      </c>
      <c r="K3144" t="s">
        <v>58</v>
      </c>
      <c r="L3144" t="s">
        <v>58</v>
      </c>
      <c r="M3144" t="s">
        <v>58</v>
      </c>
      <c r="P3144" t="s">
        <v>61</v>
      </c>
      <c r="Q3144" t="s">
        <v>58</v>
      </c>
      <c r="R3144" s="11" t="str">
        <f>HYPERLINK("\\imagefiles.bcgov\imagery\scanned_maps\moe_terrain_maps\Scanned_T_maps_all\T02\T02-619","\\imagefiles.bcgov\imagery\scanned_maps\moe_terrain_maps\Scanned_T_maps_all\T02\T02-619")</f>
        <v>\\imagefiles.bcgov\imagery\scanned_maps\moe_terrain_maps\Scanned_T_maps_all\T02\T02-619</v>
      </c>
      <c r="S3144" t="s">
        <v>62</v>
      </c>
      <c r="T3144" s="11" t="str">
        <f>HYPERLINK("http://www.env.gov.bc.ca/esd/distdata/ecosystems/TEI_Scanned_Maps/T02/T02-619","http://www.env.gov.bc.ca/esd/distdata/ecosystems/TEI_Scanned_Maps/T02/T02-619")</f>
        <v>http://www.env.gov.bc.ca/esd/distdata/ecosystems/TEI_Scanned_Maps/T02/T02-619</v>
      </c>
      <c r="U3144" t="s">
        <v>2490</v>
      </c>
      <c r="V3144" s="11" t="str">
        <f t="shared" si="184"/>
        <v>http://res.agr.ca/cansis/publications/surveys/bc/</v>
      </c>
      <c r="W3144" t="s">
        <v>269</v>
      </c>
      <c r="X3144" s="11" t="str">
        <f t="shared" si="185"/>
        <v>http://www.library.for.gov.bc.ca/#focus</v>
      </c>
      <c r="Y3144" t="s">
        <v>2500</v>
      </c>
      <c r="Z3144" s="11" t="str">
        <f t="shared" si="186"/>
        <v>http://www.crownpub.bc.ca/</v>
      </c>
      <c r="AA3144" t="s">
        <v>58</v>
      </c>
      <c r="AC3144" t="s">
        <v>58</v>
      </c>
      <c r="AE3144" t="s">
        <v>58</v>
      </c>
      <c r="AG3144" t="s">
        <v>63</v>
      </c>
      <c r="AH3144" s="11" t="str">
        <f t="shared" si="183"/>
        <v>mailto: soilterrain@victoria1.gov.bc.ca</v>
      </c>
    </row>
    <row r="3145" spans="1:34">
      <c r="A3145" t="s">
        <v>6596</v>
      </c>
      <c r="B3145" t="s">
        <v>56</v>
      </c>
      <c r="C3145" s="10" t="s">
        <v>1153</v>
      </c>
      <c r="D3145" t="s">
        <v>58</v>
      </c>
      <c r="E3145" t="s">
        <v>6583</v>
      </c>
      <c r="F3145" t="s">
        <v>6597</v>
      </c>
      <c r="G3145">
        <v>50000</v>
      </c>
      <c r="H3145">
        <v>1975</v>
      </c>
      <c r="I3145" t="s">
        <v>6589</v>
      </c>
      <c r="J3145" t="s">
        <v>61</v>
      </c>
      <c r="K3145" t="s">
        <v>58</v>
      </c>
      <c r="L3145" t="s">
        <v>58</v>
      </c>
      <c r="M3145" t="s">
        <v>58</v>
      </c>
      <c r="P3145" t="s">
        <v>61</v>
      </c>
      <c r="Q3145" t="s">
        <v>58</v>
      </c>
      <c r="R3145" s="11" t="str">
        <f>HYPERLINK("\\imagefiles.bcgov\imagery\scanned_maps\moe_terrain_maps\Scanned_T_maps_all\T02\T02-620","\\imagefiles.bcgov\imagery\scanned_maps\moe_terrain_maps\Scanned_T_maps_all\T02\T02-620")</f>
        <v>\\imagefiles.bcgov\imagery\scanned_maps\moe_terrain_maps\Scanned_T_maps_all\T02\T02-620</v>
      </c>
      <c r="S3145" t="s">
        <v>62</v>
      </c>
      <c r="T3145" s="11" t="str">
        <f>HYPERLINK("http://www.env.gov.bc.ca/esd/distdata/ecosystems/TEI_Scanned_Maps/T02/T02-620","http://www.env.gov.bc.ca/esd/distdata/ecosystems/TEI_Scanned_Maps/T02/T02-620")</f>
        <v>http://www.env.gov.bc.ca/esd/distdata/ecosystems/TEI_Scanned_Maps/T02/T02-620</v>
      </c>
      <c r="U3145" t="s">
        <v>2490</v>
      </c>
      <c r="V3145" s="11" t="str">
        <f t="shared" si="184"/>
        <v>http://res.agr.ca/cansis/publications/surveys/bc/</v>
      </c>
      <c r="W3145" t="s">
        <v>269</v>
      </c>
      <c r="X3145" s="11" t="str">
        <f t="shared" si="185"/>
        <v>http://www.library.for.gov.bc.ca/#focus</v>
      </c>
      <c r="Y3145" t="s">
        <v>2500</v>
      </c>
      <c r="Z3145" s="11" t="str">
        <f t="shared" si="186"/>
        <v>http://www.crownpub.bc.ca/</v>
      </c>
      <c r="AA3145" t="s">
        <v>58</v>
      </c>
      <c r="AC3145" t="s">
        <v>58</v>
      </c>
      <c r="AE3145" t="s">
        <v>58</v>
      </c>
      <c r="AG3145" t="s">
        <v>63</v>
      </c>
      <c r="AH3145" s="11" t="str">
        <f t="shared" si="183"/>
        <v>mailto: soilterrain@victoria1.gov.bc.ca</v>
      </c>
    </row>
    <row r="3146" spans="1:34">
      <c r="A3146" t="s">
        <v>6598</v>
      </c>
      <c r="B3146" t="s">
        <v>56</v>
      </c>
      <c r="C3146" s="10" t="s">
        <v>1153</v>
      </c>
      <c r="D3146" t="s">
        <v>58</v>
      </c>
      <c r="E3146" t="s">
        <v>6583</v>
      </c>
      <c r="F3146" t="s">
        <v>6599</v>
      </c>
      <c r="G3146">
        <v>50000</v>
      </c>
      <c r="H3146">
        <v>1972</v>
      </c>
      <c r="I3146" t="s">
        <v>6589</v>
      </c>
      <c r="J3146" t="s">
        <v>61</v>
      </c>
      <c r="K3146" t="s">
        <v>58</v>
      </c>
      <c r="L3146" t="s">
        <v>58</v>
      </c>
      <c r="M3146" t="s">
        <v>58</v>
      </c>
      <c r="P3146" t="s">
        <v>61</v>
      </c>
      <c r="Q3146" t="s">
        <v>58</v>
      </c>
      <c r="R3146" s="11" t="str">
        <f>HYPERLINK("\\imagefiles.bcgov\imagery\scanned_maps\moe_terrain_maps\Scanned_T_maps_all\T02\T02-621","\\imagefiles.bcgov\imagery\scanned_maps\moe_terrain_maps\Scanned_T_maps_all\T02\T02-621")</f>
        <v>\\imagefiles.bcgov\imagery\scanned_maps\moe_terrain_maps\Scanned_T_maps_all\T02\T02-621</v>
      </c>
      <c r="S3146" t="s">
        <v>62</v>
      </c>
      <c r="T3146" s="11" t="str">
        <f>HYPERLINK("http://www.env.gov.bc.ca/esd/distdata/ecosystems/TEI_Scanned_Maps/T02/T02-621","http://www.env.gov.bc.ca/esd/distdata/ecosystems/TEI_Scanned_Maps/T02/T02-621")</f>
        <v>http://www.env.gov.bc.ca/esd/distdata/ecosystems/TEI_Scanned_Maps/T02/T02-621</v>
      </c>
      <c r="U3146" t="s">
        <v>2490</v>
      </c>
      <c r="V3146" s="11" t="str">
        <f t="shared" si="184"/>
        <v>http://res.agr.ca/cansis/publications/surveys/bc/</v>
      </c>
      <c r="W3146" t="s">
        <v>269</v>
      </c>
      <c r="X3146" s="11" t="str">
        <f t="shared" si="185"/>
        <v>http://www.library.for.gov.bc.ca/#focus</v>
      </c>
      <c r="Y3146" t="s">
        <v>2500</v>
      </c>
      <c r="Z3146" s="11" t="str">
        <f t="shared" si="186"/>
        <v>http://www.crownpub.bc.ca/</v>
      </c>
      <c r="AA3146" t="s">
        <v>58</v>
      </c>
      <c r="AC3146" t="s">
        <v>58</v>
      </c>
      <c r="AE3146" t="s">
        <v>58</v>
      </c>
      <c r="AG3146" t="s">
        <v>63</v>
      </c>
      <c r="AH3146" s="11" t="str">
        <f t="shared" si="183"/>
        <v>mailto: soilterrain@victoria1.gov.bc.ca</v>
      </c>
    </row>
    <row r="3147" spans="1:34">
      <c r="A3147" t="s">
        <v>6600</v>
      </c>
      <c r="B3147" t="s">
        <v>56</v>
      </c>
      <c r="C3147" s="10" t="s">
        <v>1153</v>
      </c>
      <c r="D3147" t="s">
        <v>58</v>
      </c>
      <c r="E3147" t="s">
        <v>6583</v>
      </c>
      <c r="F3147" t="s">
        <v>6601</v>
      </c>
      <c r="G3147">
        <v>50000</v>
      </c>
      <c r="H3147" t="s">
        <v>187</v>
      </c>
      <c r="I3147" t="s">
        <v>6589</v>
      </c>
      <c r="J3147" t="s">
        <v>61</v>
      </c>
      <c r="K3147" t="s">
        <v>58</v>
      </c>
      <c r="L3147" t="s">
        <v>58</v>
      </c>
      <c r="M3147" t="s">
        <v>58</v>
      </c>
      <c r="P3147" t="s">
        <v>61</v>
      </c>
      <c r="Q3147" t="s">
        <v>58</v>
      </c>
      <c r="R3147" s="11" t="str">
        <f>HYPERLINK("\\imagefiles.bcgov\imagery\scanned_maps\moe_terrain_maps\Scanned_T_maps_all\T02\T02-623","\\imagefiles.bcgov\imagery\scanned_maps\moe_terrain_maps\Scanned_T_maps_all\T02\T02-623")</f>
        <v>\\imagefiles.bcgov\imagery\scanned_maps\moe_terrain_maps\Scanned_T_maps_all\T02\T02-623</v>
      </c>
      <c r="S3147" t="s">
        <v>62</v>
      </c>
      <c r="T3147" s="11" t="str">
        <f>HYPERLINK("http://www.env.gov.bc.ca/esd/distdata/ecosystems/TEI_Scanned_Maps/T02/T02-623","http://www.env.gov.bc.ca/esd/distdata/ecosystems/TEI_Scanned_Maps/T02/T02-623")</f>
        <v>http://www.env.gov.bc.ca/esd/distdata/ecosystems/TEI_Scanned_Maps/T02/T02-623</v>
      </c>
      <c r="U3147" t="s">
        <v>2490</v>
      </c>
      <c r="V3147" s="11" t="str">
        <f t="shared" si="184"/>
        <v>http://res.agr.ca/cansis/publications/surveys/bc/</v>
      </c>
      <c r="W3147" t="s">
        <v>269</v>
      </c>
      <c r="X3147" s="11" t="str">
        <f t="shared" si="185"/>
        <v>http://www.library.for.gov.bc.ca/#focus</v>
      </c>
      <c r="Y3147" t="s">
        <v>2500</v>
      </c>
      <c r="Z3147" s="11" t="str">
        <f t="shared" si="186"/>
        <v>http://www.crownpub.bc.ca/</v>
      </c>
      <c r="AA3147" t="s">
        <v>58</v>
      </c>
      <c r="AC3147" t="s">
        <v>58</v>
      </c>
      <c r="AE3147" t="s">
        <v>58</v>
      </c>
      <c r="AG3147" t="s">
        <v>63</v>
      </c>
      <c r="AH3147" s="11" t="str">
        <f t="shared" si="183"/>
        <v>mailto: soilterrain@victoria1.gov.bc.ca</v>
      </c>
    </row>
    <row r="3148" spans="1:34">
      <c r="A3148" t="s">
        <v>6602</v>
      </c>
      <c r="B3148" t="s">
        <v>56</v>
      </c>
      <c r="C3148" s="10" t="s">
        <v>1153</v>
      </c>
      <c r="D3148" t="s">
        <v>58</v>
      </c>
      <c r="E3148" t="s">
        <v>6583</v>
      </c>
      <c r="F3148" t="s">
        <v>6603</v>
      </c>
      <c r="G3148">
        <v>50000</v>
      </c>
      <c r="H3148">
        <v>1983</v>
      </c>
      <c r="I3148" t="s">
        <v>6589</v>
      </c>
      <c r="J3148" t="s">
        <v>61</v>
      </c>
      <c r="K3148" t="s">
        <v>58</v>
      </c>
      <c r="L3148" t="s">
        <v>58</v>
      </c>
      <c r="M3148" t="s">
        <v>58</v>
      </c>
      <c r="P3148" t="s">
        <v>61</v>
      </c>
      <c r="Q3148" t="s">
        <v>58</v>
      </c>
      <c r="R3148" s="11" t="str">
        <f>HYPERLINK("\\imagefiles.bcgov\imagery\scanned_maps\moe_terrain_maps\Scanned_T_maps_all\T02\T02-624","\\imagefiles.bcgov\imagery\scanned_maps\moe_terrain_maps\Scanned_T_maps_all\T02\T02-624")</f>
        <v>\\imagefiles.bcgov\imagery\scanned_maps\moe_terrain_maps\Scanned_T_maps_all\T02\T02-624</v>
      </c>
      <c r="S3148" t="s">
        <v>62</v>
      </c>
      <c r="T3148" s="11" t="str">
        <f>HYPERLINK("http://www.env.gov.bc.ca/esd/distdata/ecosystems/TEI_Scanned_Maps/T02/T02-624","http://www.env.gov.bc.ca/esd/distdata/ecosystems/TEI_Scanned_Maps/T02/T02-624")</f>
        <v>http://www.env.gov.bc.ca/esd/distdata/ecosystems/TEI_Scanned_Maps/T02/T02-624</v>
      </c>
      <c r="U3148" t="s">
        <v>2490</v>
      </c>
      <c r="V3148" s="11" t="str">
        <f t="shared" si="184"/>
        <v>http://res.agr.ca/cansis/publications/surveys/bc/</v>
      </c>
      <c r="W3148" t="s">
        <v>269</v>
      </c>
      <c r="X3148" s="11" t="str">
        <f t="shared" si="185"/>
        <v>http://www.library.for.gov.bc.ca/#focus</v>
      </c>
      <c r="Y3148" t="s">
        <v>2500</v>
      </c>
      <c r="Z3148" s="11" t="str">
        <f t="shared" si="186"/>
        <v>http://www.crownpub.bc.ca/</v>
      </c>
      <c r="AA3148" t="s">
        <v>58</v>
      </c>
      <c r="AC3148" t="s">
        <v>58</v>
      </c>
      <c r="AE3148" t="s">
        <v>58</v>
      </c>
      <c r="AG3148" t="s">
        <v>63</v>
      </c>
      <c r="AH3148" s="11" t="str">
        <f t="shared" si="183"/>
        <v>mailto: soilterrain@victoria1.gov.bc.ca</v>
      </c>
    </row>
    <row r="3149" spans="1:34">
      <c r="A3149" t="s">
        <v>6604</v>
      </c>
      <c r="B3149" t="s">
        <v>56</v>
      </c>
      <c r="C3149" s="10" t="s">
        <v>1153</v>
      </c>
      <c r="D3149" t="s">
        <v>58</v>
      </c>
      <c r="E3149" t="s">
        <v>6583</v>
      </c>
      <c r="F3149" t="s">
        <v>6605</v>
      </c>
      <c r="G3149">
        <v>50000</v>
      </c>
      <c r="H3149">
        <v>1982</v>
      </c>
      <c r="I3149" t="s">
        <v>6589</v>
      </c>
      <c r="J3149" t="s">
        <v>61</v>
      </c>
      <c r="K3149" t="s">
        <v>58</v>
      </c>
      <c r="L3149" t="s">
        <v>58</v>
      </c>
      <c r="M3149" t="s">
        <v>58</v>
      </c>
      <c r="P3149" t="s">
        <v>61</v>
      </c>
      <c r="Q3149" t="s">
        <v>58</v>
      </c>
      <c r="R3149" s="11" t="str">
        <f>HYPERLINK("\\imagefiles.bcgov\imagery\scanned_maps\moe_terrain_maps\Scanned_T_maps_all\T02\T02-625","\\imagefiles.bcgov\imagery\scanned_maps\moe_terrain_maps\Scanned_T_maps_all\T02\T02-625")</f>
        <v>\\imagefiles.bcgov\imagery\scanned_maps\moe_terrain_maps\Scanned_T_maps_all\T02\T02-625</v>
      </c>
      <c r="S3149" t="s">
        <v>62</v>
      </c>
      <c r="T3149" s="11" t="str">
        <f>HYPERLINK("http://www.env.gov.bc.ca/esd/distdata/ecosystems/TEI_Scanned_Maps/T02/T02-625","http://www.env.gov.bc.ca/esd/distdata/ecosystems/TEI_Scanned_Maps/T02/T02-625")</f>
        <v>http://www.env.gov.bc.ca/esd/distdata/ecosystems/TEI_Scanned_Maps/T02/T02-625</v>
      </c>
      <c r="U3149" t="s">
        <v>2490</v>
      </c>
      <c r="V3149" s="11" t="str">
        <f t="shared" si="184"/>
        <v>http://res.agr.ca/cansis/publications/surveys/bc/</v>
      </c>
      <c r="W3149" t="s">
        <v>269</v>
      </c>
      <c r="X3149" s="11" t="str">
        <f t="shared" si="185"/>
        <v>http://www.library.for.gov.bc.ca/#focus</v>
      </c>
      <c r="Y3149" t="s">
        <v>2500</v>
      </c>
      <c r="Z3149" s="11" t="str">
        <f t="shared" si="186"/>
        <v>http://www.crownpub.bc.ca/</v>
      </c>
      <c r="AA3149" t="s">
        <v>58</v>
      </c>
      <c r="AC3149" t="s">
        <v>58</v>
      </c>
      <c r="AE3149" t="s">
        <v>58</v>
      </c>
      <c r="AG3149" t="s">
        <v>63</v>
      </c>
      <c r="AH3149" s="11" t="str">
        <f t="shared" si="183"/>
        <v>mailto: soilterrain@victoria1.gov.bc.ca</v>
      </c>
    </row>
    <row r="3150" spans="1:34">
      <c r="A3150" t="s">
        <v>6606</v>
      </c>
      <c r="B3150" t="s">
        <v>56</v>
      </c>
      <c r="C3150" s="10" t="s">
        <v>6607</v>
      </c>
      <c r="D3150" t="s">
        <v>58</v>
      </c>
      <c r="E3150" t="s">
        <v>6608</v>
      </c>
      <c r="F3150" t="s">
        <v>6609</v>
      </c>
      <c r="G3150">
        <v>20000</v>
      </c>
      <c r="H3150">
        <v>1977</v>
      </c>
      <c r="I3150" t="s">
        <v>58</v>
      </c>
      <c r="J3150" t="s">
        <v>61</v>
      </c>
      <c r="K3150" t="s">
        <v>58</v>
      </c>
      <c r="L3150" t="s">
        <v>58</v>
      </c>
      <c r="M3150" t="s">
        <v>58</v>
      </c>
      <c r="P3150" t="s">
        <v>61</v>
      </c>
      <c r="Q3150" t="s">
        <v>58</v>
      </c>
      <c r="R3150" s="11" t="str">
        <f>HYPERLINK("\\imagefiles.bcgov\imagery\scanned_maps\moe_terrain_maps\Scanned_T_maps_all\T03\T03-5106","\\imagefiles.bcgov\imagery\scanned_maps\moe_terrain_maps\Scanned_T_maps_all\T03\T03-5106")</f>
        <v>\\imagefiles.bcgov\imagery\scanned_maps\moe_terrain_maps\Scanned_T_maps_all\T03\T03-5106</v>
      </c>
      <c r="S3150" t="s">
        <v>62</v>
      </c>
      <c r="T3150" s="11" t="str">
        <f>HYPERLINK("http://www.env.gov.bc.ca/esd/distdata/ecosystems/TEI_Scanned_Maps/T03/T03-5106","http://www.env.gov.bc.ca/esd/distdata/ecosystems/TEI_Scanned_Maps/T03/T03-5106")</f>
        <v>http://www.env.gov.bc.ca/esd/distdata/ecosystems/TEI_Scanned_Maps/T03/T03-5106</v>
      </c>
      <c r="U3150" t="s">
        <v>58</v>
      </c>
      <c r="V3150" t="s">
        <v>58</v>
      </c>
      <c r="W3150" t="s">
        <v>58</v>
      </c>
      <c r="X3150" t="s">
        <v>58</v>
      </c>
      <c r="Y3150" t="s">
        <v>58</v>
      </c>
      <c r="Z3150" t="s">
        <v>58</v>
      </c>
      <c r="AA3150" t="s">
        <v>58</v>
      </c>
      <c r="AC3150" t="s">
        <v>58</v>
      </c>
      <c r="AE3150" t="s">
        <v>58</v>
      </c>
      <c r="AG3150" t="s">
        <v>63</v>
      </c>
      <c r="AH3150" s="11" t="str">
        <f t="shared" si="183"/>
        <v>mailto: soilterrain@victoria1.gov.bc.ca</v>
      </c>
    </row>
    <row r="3151" spans="1:34">
      <c r="A3151" t="s">
        <v>6610</v>
      </c>
      <c r="B3151" t="s">
        <v>56</v>
      </c>
      <c r="C3151" s="10" t="s">
        <v>6607</v>
      </c>
      <c r="D3151" t="s">
        <v>58</v>
      </c>
      <c r="E3151" t="s">
        <v>6608</v>
      </c>
      <c r="F3151" t="s">
        <v>6611</v>
      </c>
      <c r="G3151">
        <v>20000</v>
      </c>
      <c r="H3151">
        <v>1977</v>
      </c>
      <c r="I3151" t="s">
        <v>58</v>
      </c>
      <c r="J3151" t="s">
        <v>61</v>
      </c>
      <c r="K3151" t="s">
        <v>58</v>
      </c>
      <c r="L3151" t="s">
        <v>58</v>
      </c>
      <c r="M3151" t="s">
        <v>58</v>
      </c>
      <c r="P3151" t="s">
        <v>61</v>
      </c>
      <c r="Q3151" t="s">
        <v>58</v>
      </c>
      <c r="R3151" s="11" t="str">
        <f>HYPERLINK("\\imagefiles.bcgov\imagery\scanned_maps\moe_terrain_maps\Scanned_T_maps_all\T03\T03-5107","\\imagefiles.bcgov\imagery\scanned_maps\moe_terrain_maps\Scanned_T_maps_all\T03\T03-5107")</f>
        <v>\\imagefiles.bcgov\imagery\scanned_maps\moe_terrain_maps\Scanned_T_maps_all\T03\T03-5107</v>
      </c>
      <c r="S3151" t="s">
        <v>62</v>
      </c>
      <c r="T3151" s="11" t="str">
        <f>HYPERLINK("http://www.env.gov.bc.ca/esd/distdata/ecosystems/TEI_Scanned_Maps/T03/T03-5107","http://www.env.gov.bc.ca/esd/distdata/ecosystems/TEI_Scanned_Maps/T03/T03-5107")</f>
        <v>http://www.env.gov.bc.ca/esd/distdata/ecosystems/TEI_Scanned_Maps/T03/T03-5107</v>
      </c>
      <c r="U3151" t="s">
        <v>58</v>
      </c>
      <c r="V3151" t="s">
        <v>58</v>
      </c>
      <c r="W3151" t="s">
        <v>58</v>
      </c>
      <c r="X3151" t="s">
        <v>58</v>
      </c>
      <c r="Y3151" t="s">
        <v>58</v>
      </c>
      <c r="Z3151" t="s">
        <v>58</v>
      </c>
      <c r="AA3151" t="s">
        <v>58</v>
      </c>
      <c r="AC3151" t="s">
        <v>58</v>
      </c>
      <c r="AE3151" t="s">
        <v>58</v>
      </c>
      <c r="AG3151" t="s">
        <v>63</v>
      </c>
      <c r="AH3151" s="11" t="str">
        <f t="shared" si="183"/>
        <v>mailto: soilterrain@victoria1.gov.bc.ca</v>
      </c>
    </row>
    <row r="3152" spans="1:34">
      <c r="A3152" t="s">
        <v>6612</v>
      </c>
      <c r="B3152" t="s">
        <v>56</v>
      </c>
      <c r="C3152" s="10" t="s">
        <v>6613</v>
      </c>
      <c r="D3152" t="s">
        <v>58</v>
      </c>
      <c r="E3152" t="s">
        <v>6608</v>
      </c>
      <c r="F3152" t="s">
        <v>6614</v>
      </c>
      <c r="G3152">
        <v>20000</v>
      </c>
      <c r="H3152">
        <v>1977</v>
      </c>
      <c r="I3152" t="s">
        <v>58</v>
      </c>
      <c r="J3152" t="s">
        <v>61</v>
      </c>
      <c r="K3152" t="s">
        <v>58</v>
      </c>
      <c r="L3152" t="s">
        <v>58</v>
      </c>
      <c r="M3152" t="s">
        <v>58</v>
      </c>
      <c r="P3152" t="s">
        <v>61</v>
      </c>
      <c r="Q3152" t="s">
        <v>58</v>
      </c>
      <c r="R3152" s="11" t="str">
        <f>HYPERLINK("\\imagefiles.bcgov\imagery\scanned_maps\moe_terrain_maps\Scanned_T_maps_all\T03\T03-5108","\\imagefiles.bcgov\imagery\scanned_maps\moe_terrain_maps\Scanned_T_maps_all\T03\T03-5108")</f>
        <v>\\imagefiles.bcgov\imagery\scanned_maps\moe_terrain_maps\Scanned_T_maps_all\T03\T03-5108</v>
      </c>
      <c r="S3152" t="s">
        <v>62</v>
      </c>
      <c r="T3152" s="11" t="str">
        <f>HYPERLINK("http://www.env.gov.bc.ca/esd/distdata/ecosystems/TEI_Scanned_Maps/T03/T03-5108","http://www.env.gov.bc.ca/esd/distdata/ecosystems/TEI_Scanned_Maps/T03/T03-5108")</f>
        <v>http://www.env.gov.bc.ca/esd/distdata/ecosystems/TEI_Scanned_Maps/T03/T03-5108</v>
      </c>
      <c r="U3152" t="s">
        <v>58</v>
      </c>
      <c r="V3152" t="s">
        <v>58</v>
      </c>
      <c r="W3152" t="s">
        <v>58</v>
      </c>
      <c r="X3152" t="s">
        <v>58</v>
      </c>
      <c r="Y3152" t="s">
        <v>58</v>
      </c>
      <c r="Z3152" t="s">
        <v>58</v>
      </c>
      <c r="AA3152" t="s">
        <v>58</v>
      </c>
      <c r="AC3152" t="s">
        <v>58</v>
      </c>
      <c r="AE3152" t="s">
        <v>58</v>
      </c>
      <c r="AG3152" t="s">
        <v>63</v>
      </c>
      <c r="AH3152" s="11" t="str">
        <f t="shared" si="183"/>
        <v>mailto: soilterrain@victoria1.gov.bc.ca</v>
      </c>
    </row>
    <row r="3153" spans="1:34">
      <c r="A3153" t="s">
        <v>6615</v>
      </c>
      <c r="B3153" t="s">
        <v>56</v>
      </c>
      <c r="C3153" s="10" t="s">
        <v>6616</v>
      </c>
      <c r="D3153" t="s">
        <v>58</v>
      </c>
      <c r="E3153" t="s">
        <v>6608</v>
      </c>
      <c r="F3153" t="s">
        <v>6617</v>
      </c>
      <c r="G3153">
        <v>20000</v>
      </c>
      <c r="H3153">
        <v>1977</v>
      </c>
      <c r="I3153" t="s">
        <v>58</v>
      </c>
      <c r="J3153" t="s">
        <v>61</v>
      </c>
      <c r="K3153" t="s">
        <v>58</v>
      </c>
      <c r="L3153" t="s">
        <v>58</v>
      </c>
      <c r="M3153" t="s">
        <v>58</v>
      </c>
      <c r="P3153" t="s">
        <v>61</v>
      </c>
      <c r="Q3153" t="s">
        <v>58</v>
      </c>
      <c r="R3153" s="11" t="str">
        <f>HYPERLINK("\\imagefiles.bcgov\imagery\scanned_maps\moe_terrain_maps\Scanned_T_maps_all\T03\T03-5109","\\imagefiles.bcgov\imagery\scanned_maps\moe_terrain_maps\Scanned_T_maps_all\T03\T03-5109")</f>
        <v>\\imagefiles.bcgov\imagery\scanned_maps\moe_terrain_maps\Scanned_T_maps_all\T03\T03-5109</v>
      </c>
      <c r="S3153" t="s">
        <v>62</v>
      </c>
      <c r="T3153" s="11" t="str">
        <f>HYPERLINK("http://www.env.gov.bc.ca/esd/distdata/ecosystems/TEI_Scanned_Maps/T03/T03-5109","http://www.env.gov.bc.ca/esd/distdata/ecosystems/TEI_Scanned_Maps/T03/T03-5109")</f>
        <v>http://www.env.gov.bc.ca/esd/distdata/ecosystems/TEI_Scanned_Maps/T03/T03-5109</v>
      </c>
      <c r="U3153" t="s">
        <v>58</v>
      </c>
      <c r="V3153" t="s">
        <v>58</v>
      </c>
      <c r="W3153" t="s">
        <v>58</v>
      </c>
      <c r="X3153" t="s">
        <v>58</v>
      </c>
      <c r="Y3153" t="s">
        <v>58</v>
      </c>
      <c r="Z3153" t="s">
        <v>58</v>
      </c>
      <c r="AA3153" t="s">
        <v>58</v>
      </c>
      <c r="AC3153" t="s">
        <v>58</v>
      </c>
      <c r="AE3153" t="s">
        <v>58</v>
      </c>
      <c r="AG3153" t="s">
        <v>63</v>
      </c>
      <c r="AH3153" s="11" t="str">
        <f t="shared" si="183"/>
        <v>mailto: soilterrain@victoria1.gov.bc.ca</v>
      </c>
    </row>
    <row r="3154" spans="1:34">
      <c r="A3154" t="s">
        <v>6618</v>
      </c>
      <c r="B3154" t="s">
        <v>56</v>
      </c>
      <c r="C3154" s="10" t="s">
        <v>6613</v>
      </c>
      <c r="D3154" t="s">
        <v>58</v>
      </c>
      <c r="E3154" t="s">
        <v>6608</v>
      </c>
      <c r="F3154" t="s">
        <v>6619</v>
      </c>
      <c r="G3154">
        <v>20000</v>
      </c>
      <c r="H3154">
        <v>1977</v>
      </c>
      <c r="I3154" t="s">
        <v>58</v>
      </c>
      <c r="J3154" t="s">
        <v>61</v>
      </c>
      <c r="K3154" t="s">
        <v>58</v>
      </c>
      <c r="L3154" t="s">
        <v>58</v>
      </c>
      <c r="M3154" t="s">
        <v>58</v>
      </c>
      <c r="P3154" t="s">
        <v>61</v>
      </c>
      <c r="Q3154" t="s">
        <v>58</v>
      </c>
      <c r="R3154" s="11" t="str">
        <f>HYPERLINK("\\imagefiles.bcgov\imagery\scanned_maps\moe_terrain_maps\Scanned_T_maps_all\T03\T03-5110","\\imagefiles.bcgov\imagery\scanned_maps\moe_terrain_maps\Scanned_T_maps_all\T03\T03-5110")</f>
        <v>\\imagefiles.bcgov\imagery\scanned_maps\moe_terrain_maps\Scanned_T_maps_all\T03\T03-5110</v>
      </c>
      <c r="S3154" t="s">
        <v>62</v>
      </c>
      <c r="T3154" s="11" t="str">
        <f>HYPERLINK("http://www.env.gov.bc.ca/esd/distdata/ecosystems/TEI_Scanned_Maps/T03/T03-5110","http://www.env.gov.bc.ca/esd/distdata/ecosystems/TEI_Scanned_Maps/T03/T03-5110")</f>
        <v>http://www.env.gov.bc.ca/esd/distdata/ecosystems/TEI_Scanned_Maps/T03/T03-5110</v>
      </c>
      <c r="U3154" t="s">
        <v>58</v>
      </c>
      <c r="V3154" t="s">
        <v>58</v>
      </c>
      <c r="W3154" t="s">
        <v>58</v>
      </c>
      <c r="X3154" t="s">
        <v>58</v>
      </c>
      <c r="Y3154" t="s">
        <v>58</v>
      </c>
      <c r="Z3154" t="s">
        <v>58</v>
      </c>
      <c r="AA3154" t="s">
        <v>58</v>
      </c>
      <c r="AC3154" t="s">
        <v>58</v>
      </c>
      <c r="AE3154" t="s">
        <v>58</v>
      </c>
      <c r="AG3154" t="s">
        <v>63</v>
      </c>
      <c r="AH3154" s="11" t="str">
        <f t="shared" si="183"/>
        <v>mailto: soilterrain@victoria1.gov.bc.ca</v>
      </c>
    </row>
    <row r="3155" spans="1:34">
      <c r="A3155" t="s">
        <v>6620</v>
      </c>
      <c r="B3155" t="s">
        <v>56</v>
      </c>
      <c r="C3155" s="10" t="s">
        <v>6621</v>
      </c>
      <c r="D3155" t="s">
        <v>58</v>
      </c>
      <c r="E3155" t="s">
        <v>6608</v>
      </c>
      <c r="F3155" t="s">
        <v>6622</v>
      </c>
      <c r="G3155">
        <v>20000</v>
      </c>
      <c r="H3155">
        <v>1977</v>
      </c>
      <c r="I3155" t="s">
        <v>58</v>
      </c>
      <c r="J3155" t="s">
        <v>61</v>
      </c>
      <c r="K3155" t="s">
        <v>58</v>
      </c>
      <c r="L3155" t="s">
        <v>58</v>
      </c>
      <c r="M3155" t="s">
        <v>58</v>
      </c>
      <c r="P3155" t="s">
        <v>61</v>
      </c>
      <c r="Q3155" t="s">
        <v>58</v>
      </c>
      <c r="R3155" s="11" t="str">
        <f>HYPERLINK("\\imagefiles.bcgov\imagery\scanned_maps\moe_terrain_maps\Scanned_T_maps_all\T03\T03-5111","\\imagefiles.bcgov\imagery\scanned_maps\moe_terrain_maps\Scanned_T_maps_all\T03\T03-5111")</f>
        <v>\\imagefiles.bcgov\imagery\scanned_maps\moe_terrain_maps\Scanned_T_maps_all\T03\T03-5111</v>
      </c>
      <c r="S3155" t="s">
        <v>62</v>
      </c>
      <c r="T3155" s="11" t="str">
        <f>HYPERLINK("http://www.env.gov.bc.ca/esd/distdata/ecosystems/TEI_Scanned_Maps/T03/T03-5111","http://www.env.gov.bc.ca/esd/distdata/ecosystems/TEI_Scanned_Maps/T03/T03-5111")</f>
        <v>http://www.env.gov.bc.ca/esd/distdata/ecosystems/TEI_Scanned_Maps/T03/T03-5111</v>
      </c>
      <c r="U3155" t="s">
        <v>58</v>
      </c>
      <c r="V3155" t="s">
        <v>58</v>
      </c>
      <c r="W3155" t="s">
        <v>58</v>
      </c>
      <c r="X3155" t="s">
        <v>58</v>
      </c>
      <c r="Y3155" t="s">
        <v>58</v>
      </c>
      <c r="Z3155" t="s">
        <v>58</v>
      </c>
      <c r="AA3155" t="s">
        <v>58</v>
      </c>
      <c r="AC3155" t="s">
        <v>58</v>
      </c>
      <c r="AE3155" t="s">
        <v>58</v>
      </c>
      <c r="AG3155" t="s">
        <v>63</v>
      </c>
      <c r="AH3155" s="11" t="str">
        <f t="shared" si="183"/>
        <v>mailto: soilterrain@victoria1.gov.bc.ca</v>
      </c>
    </row>
    <row r="3156" spans="1:34">
      <c r="A3156" t="s">
        <v>6623</v>
      </c>
      <c r="B3156" t="s">
        <v>56</v>
      </c>
      <c r="C3156" s="10" t="s">
        <v>1021</v>
      </c>
      <c r="D3156" t="s">
        <v>58</v>
      </c>
      <c r="E3156" t="s">
        <v>6624</v>
      </c>
      <c r="F3156" t="s">
        <v>6625</v>
      </c>
      <c r="G3156">
        <v>50000</v>
      </c>
      <c r="H3156">
        <v>1981</v>
      </c>
      <c r="I3156" t="s">
        <v>6589</v>
      </c>
      <c r="J3156" t="s">
        <v>61</v>
      </c>
      <c r="K3156" t="s">
        <v>58</v>
      </c>
      <c r="L3156" t="s">
        <v>58</v>
      </c>
      <c r="M3156" t="s">
        <v>58</v>
      </c>
      <c r="P3156" t="s">
        <v>61</v>
      </c>
      <c r="Q3156" t="s">
        <v>58</v>
      </c>
      <c r="R3156" s="11" t="str">
        <f>HYPERLINK("\\imagefiles.bcgov\imagery\scanned_maps\moe_terrain_maps\Scanned_T_maps_all\T05\T05-115","\\imagefiles.bcgov\imagery\scanned_maps\moe_terrain_maps\Scanned_T_maps_all\T05\T05-115")</f>
        <v>\\imagefiles.bcgov\imagery\scanned_maps\moe_terrain_maps\Scanned_T_maps_all\T05\T05-115</v>
      </c>
      <c r="S3156" t="s">
        <v>62</v>
      </c>
      <c r="T3156" s="11" t="str">
        <f>HYPERLINK("http://www.env.gov.bc.ca/esd/distdata/ecosystems/TEI_Scanned_Maps/T05/T05-115","http://www.env.gov.bc.ca/esd/distdata/ecosystems/TEI_Scanned_Maps/T05/T05-115")</f>
        <v>http://www.env.gov.bc.ca/esd/distdata/ecosystems/TEI_Scanned_Maps/T05/T05-115</v>
      </c>
      <c r="U3156" t="s">
        <v>2490</v>
      </c>
      <c r="V3156" s="11" t="str">
        <f t="shared" ref="V3156:V3166" si="187">HYPERLINK("http://res.agr.ca/cansis/publications/surveys/bc/","http://res.agr.ca/cansis/publications/surveys/bc/")</f>
        <v>http://res.agr.ca/cansis/publications/surveys/bc/</v>
      </c>
      <c r="W3156" t="s">
        <v>269</v>
      </c>
      <c r="X3156" s="11" t="str">
        <f t="shared" ref="X3156:X3166" si="188">HYPERLINK("http://www.library.for.gov.bc.ca/#focus","http://www.library.for.gov.bc.ca/#focus")</f>
        <v>http://www.library.for.gov.bc.ca/#focus</v>
      </c>
      <c r="Y3156" t="s">
        <v>2500</v>
      </c>
      <c r="Z3156" s="11" t="str">
        <f t="shared" ref="Z3156:Z3166" si="189">HYPERLINK("http://www.crownpub.bc.ca/","http://www.crownpub.bc.ca/")</f>
        <v>http://www.crownpub.bc.ca/</v>
      </c>
      <c r="AA3156" t="s">
        <v>58</v>
      </c>
      <c r="AC3156" t="s">
        <v>58</v>
      </c>
      <c r="AE3156" t="s">
        <v>58</v>
      </c>
      <c r="AG3156" t="s">
        <v>63</v>
      </c>
      <c r="AH3156" s="11" t="str">
        <f t="shared" si="183"/>
        <v>mailto: soilterrain@victoria1.gov.bc.ca</v>
      </c>
    </row>
    <row r="3157" spans="1:34">
      <c r="A3157" t="s">
        <v>6626</v>
      </c>
      <c r="B3157" t="s">
        <v>56</v>
      </c>
      <c r="C3157" s="10" t="s">
        <v>1021</v>
      </c>
      <c r="D3157" t="s">
        <v>58</v>
      </c>
      <c r="E3157" t="s">
        <v>6624</v>
      </c>
      <c r="F3157" t="s">
        <v>6627</v>
      </c>
      <c r="G3157">
        <v>50000</v>
      </c>
      <c r="H3157">
        <v>1981</v>
      </c>
      <c r="I3157" t="s">
        <v>6589</v>
      </c>
      <c r="J3157" t="s">
        <v>61</v>
      </c>
      <c r="K3157" t="s">
        <v>58</v>
      </c>
      <c r="L3157" t="s">
        <v>58</v>
      </c>
      <c r="M3157" t="s">
        <v>58</v>
      </c>
      <c r="P3157" t="s">
        <v>61</v>
      </c>
      <c r="Q3157" t="s">
        <v>58</v>
      </c>
      <c r="R3157" s="11" t="str">
        <f>HYPERLINK("\\imagefiles.bcgov\imagery\scanned_maps\moe_terrain_maps\Scanned_T_maps_all\T05\T05-116","\\imagefiles.bcgov\imagery\scanned_maps\moe_terrain_maps\Scanned_T_maps_all\T05\T05-116")</f>
        <v>\\imagefiles.bcgov\imagery\scanned_maps\moe_terrain_maps\Scanned_T_maps_all\T05\T05-116</v>
      </c>
      <c r="S3157" t="s">
        <v>62</v>
      </c>
      <c r="T3157" s="11" t="str">
        <f>HYPERLINK("http://www.env.gov.bc.ca/esd/distdata/ecosystems/TEI_Scanned_Maps/T05/T05-116","http://www.env.gov.bc.ca/esd/distdata/ecosystems/TEI_Scanned_Maps/T05/T05-116")</f>
        <v>http://www.env.gov.bc.ca/esd/distdata/ecosystems/TEI_Scanned_Maps/T05/T05-116</v>
      </c>
      <c r="U3157" t="s">
        <v>2490</v>
      </c>
      <c r="V3157" s="11" t="str">
        <f t="shared" si="187"/>
        <v>http://res.agr.ca/cansis/publications/surveys/bc/</v>
      </c>
      <c r="W3157" t="s">
        <v>269</v>
      </c>
      <c r="X3157" s="11" t="str">
        <f t="shared" si="188"/>
        <v>http://www.library.for.gov.bc.ca/#focus</v>
      </c>
      <c r="Y3157" t="s">
        <v>2500</v>
      </c>
      <c r="Z3157" s="11" t="str">
        <f t="shared" si="189"/>
        <v>http://www.crownpub.bc.ca/</v>
      </c>
      <c r="AA3157" t="s">
        <v>58</v>
      </c>
      <c r="AC3157" t="s">
        <v>58</v>
      </c>
      <c r="AE3157" t="s">
        <v>58</v>
      </c>
      <c r="AG3157" t="s">
        <v>63</v>
      </c>
      <c r="AH3157" s="11" t="str">
        <f t="shared" si="183"/>
        <v>mailto: soilterrain@victoria1.gov.bc.ca</v>
      </c>
    </row>
    <row r="3158" spans="1:34">
      <c r="A3158" t="s">
        <v>6628</v>
      </c>
      <c r="B3158" t="s">
        <v>56</v>
      </c>
      <c r="C3158" s="10" t="s">
        <v>1021</v>
      </c>
      <c r="D3158" t="s">
        <v>58</v>
      </c>
      <c r="E3158" t="s">
        <v>6624</v>
      </c>
      <c r="F3158" t="s">
        <v>6629</v>
      </c>
      <c r="G3158">
        <v>50000</v>
      </c>
      <c r="H3158">
        <v>1981</v>
      </c>
      <c r="I3158" t="s">
        <v>6589</v>
      </c>
      <c r="J3158" t="s">
        <v>61</v>
      </c>
      <c r="K3158" t="s">
        <v>58</v>
      </c>
      <c r="L3158" t="s">
        <v>58</v>
      </c>
      <c r="M3158" t="s">
        <v>58</v>
      </c>
      <c r="P3158" t="s">
        <v>61</v>
      </c>
      <c r="Q3158" t="s">
        <v>58</v>
      </c>
      <c r="R3158" s="11" t="str">
        <f>HYPERLINK("\\imagefiles.bcgov\imagery\scanned_maps\moe_terrain_maps\Scanned_T_maps_all\T05\T05-117","\\imagefiles.bcgov\imagery\scanned_maps\moe_terrain_maps\Scanned_T_maps_all\T05\T05-117")</f>
        <v>\\imagefiles.bcgov\imagery\scanned_maps\moe_terrain_maps\Scanned_T_maps_all\T05\T05-117</v>
      </c>
      <c r="S3158" t="s">
        <v>62</v>
      </c>
      <c r="T3158" s="11" t="str">
        <f>HYPERLINK("http://www.env.gov.bc.ca/esd/distdata/ecosystems/TEI_Scanned_Maps/T05/T05-117","http://www.env.gov.bc.ca/esd/distdata/ecosystems/TEI_Scanned_Maps/T05/T05-117")</f>
        <v>http://www.env.gov.bc.ca/esd/distdata/ecosystems/TEI_Scanned_Maps/T05/T05-117</v>
      </c>
      <c r="U3158" t="s">
        <v>2490</v>
      </c>
      <c r="V3158" s="11" t="str">
        <f t="shared" si="187"/>
        <v>http://res.agr.ca/cansis/publications/surveys/bc/</v>
      </c>
      <c r="W3158" t="s">
        <v>269</v>
      </c>
      <c r="X3158" s="11" t="str">
        <f t="shared" si="188"/>
        <v>http://www.library.for.gov.bc.ca/#focus</v>
      </c>
      <c r="Y3158" t="s">
        <v>2500</v>
      </c>
      <c r="Z3158" s="11" t="str">
        <f t="shared" si="189"/>
        <v>http://www.crownpub.bc.ca/</v>
      </c>
      <c r="AA3158" t="s">
        <v>58</v>
      </c>
      <c r="AC3158" t="s">
        <v>58</v>
      </c>
      <c r="AE3158" t="s">
        <v>58</v>
      </c>
      <c r="AG3158" t="s">
        <v>63</v>
      </c>
      <c r="AH3158" s="11" t="str">
        <f t="shared" si="183"/>
        <v>mailto: soilterrain@victoria1.gov.bc.ca</v>
      </c>
    </row>
    <row r="3159" spans="1:34">
      <c r="A3159" t="s">
        <v>6630</v>
      </c>
      <c r="B3159" t="s">
        <v>56</v>
      </c>
      <c r="C3159" s="10" t="s">
        <v>1021</v>
      </c>
      <c r="D3159" t="s">
        <v>58</v>
      </c>
      <c r="E3159" t="s">
        <v>6624</v>
      </c>
      <c r="F3159" t="s">
        <v>6631</v>
      </c>
      <c r="G3159">
        <v>50000</v>
      </c>
      <c r="H3159">
        <v>1981</v>
      </c>
      <c r="I3159" t="s">
        <v>6589</v>
      </c>
      <c r="J3159" t="s">
        <v>61</v>
      </c>
      <c r="K3159" t="s">
        <v>58</v>
      </c>
      <c r="L3159" t="s">
        <v>58</v>
      </c>
      <c r="M3159" t="s">
        <v>58</v>
      </c>
      <c r="P3159" t="s">
        <v>61</v>
      </c>
      <c r="Q3159" t="s">
        <v>58</v>
      </c>
      <c r="R3159" s="11" t="str">
        <f>HYPERLINK("\\imagefiles.bcgov\imagery\scanned_maps\moe_terrain_maps\Scanned_T_maps_all\T05\T05-118","\\imagefiles.bcgov\imagery\scanned_maps\moe_terrain_maps\Scanned_T_maps_all\T05\T05-118")</f>
        <v>\\imagefiles.bcgov\imagery\scanned_maps\moe_terrain_maps\Scanned_T_maps_all\T05\T05-118</v>
      </c>
      <c r="S3159" t="s">
        <v>62</v>
      </c>
      <c r="T3159" s="11" t="str">
        <f>HYPERLINK("http://www.env.gov.bc.ca/esd/distdata/ecosystems/TEI_Scanned_Maps/T05/T05-118","http://www.env.gov.bc.ca/esd/distdata/ecosystems/TEI_Scanned_Maps/T05/T05-118")</f>
        <v>http://www.env.gov.bc.ca/esd/distdata/ecosystems/TEI_Scanned_Maps/T05/T05-118</v>
      </c>
      <c r="U3159" t="s">
        <v>2490</v>
      </c>
      <c r="V3159" s="11" t="str">
        <f t="shared" si="187"/>
        <v>http://res.agr.ca/cansis/publications/surveys/bc/</v>
      </c>
      <c r="W3159" t="s">
        <v>269</v>
      </c>
      <c r="X3159" s="11" t="str">
        <f t="shared" si="188"/>
        <v>http://www.library.for.gov.bc.ca/#focus</v>
      </c>
      <c r="Y3159" t="s">
        <v>2500</v>
      </c>
      <c r="Z3159" s="11" t="str">
        <f t="shared" si="189"/>
        <v>http://www.crownpub.bc.ca/</v>
      </c>
      <c r="AA3159" t="s">
        <v>58</v>
      </c>
      <c r="AC3159" t="s">
        <v>58</v>
      </c>
      <c r="AE3159" t="s">
        <v>58</v>
      </c>
      <c r="AG3159" t="s">
        <v>63</v>
      </c>
      <c r="AH3159" s="11" t="str">
        <f t="shared" si="183"/>
        <v>mailto: soilterrain@victoria1.gov.bc.ca</v>
      </c>
    </row>
    <row r="3160" spans="1:34">
      <c r="A3160" t="s">
        <v>6632</v>
      </c>
      <c r="B3160" t="s">
        <v>56</v>
      </c>
      <c r="C3160" s="10" t="s">
        <v>1021</v>
      </c>
      <c r="D3160" t="s">
        <v>58</v>
      </c>
      <c r="E3160" t="s">
        <v>6624</v>
      </c>
      <c r="F3160" t="s">
        <v>6633</v>
      </c>
      <c r="G3160">
        <v>50000</v>
      </c>
      <c r="H3160">
        <v>1981</v>
      </c>
      <c r="I3160" t="s">
        <v>6589</v>
      </c>
      <c r="J3160" t="s">
        <v>61</v>
      </c>
      <c r="K3160" t="s">
        <v>58</v>
      </c>
      <c r="L3160" t="s">
        <v>58</v>
      </c>
      <c r="M3160" t="s">
        <v>58</v>
      </c>
      <c r="P3160" t="s">
        <v>61</v>
      </c>
      <c r="Q3160" t="s">
        <v>58</v>
      </c>
      <c r="R3160" s="11" t="str">
        <f>HYPERLINK("\\imagefiles.bcgov\imagery\scanned_maps\moe_terrain_maps\Scanned_T_maps_all\T05\T05-119","\\imagefiles.bcgov\imagery\scanned_maps\moe_terrain_maps\Scanned_T_maps_all\T05\T05-119")</f>
        <v>\\imagefiles.bcgov\imagery\scanned_maps\moe_terrain_maps\Scanned_T_maps_all\T05\T05-119</v>
      </c>
      <c r="S3160" t="s">
        <v>62</v>
      </c>
      <c r="T3160" s="11" t="str">
        <f>HYPERLINK("http://www.env.gov.bc.ca/esd/distdata/ecosystems/TEI_Scanned_Maps/T05/T05-119","http://www.env.gov.bc.ca/esd/distdata/ecosystems/TEI_Scanned_Maps/T05/T05-119")</f>
        <v>http://www.env.gov.bc.ca/esd/distdata/ecosystems/TEI_Scanned_Maps/T05/T05-119</v>
      </c>
      <c r="U3160" t="s">
        <v>2490</v>
      </c>
      <c r="V3160" s="11" t="str">
        <f t="shared" si="187"/>
        <v>http://res.agr.ca/cansis/publications/surveys/bc/</v>
      </c>
      <c r="W3160" t="s">
        <v>269</v>
      </c>
      <c r="X3160" s="11" t="str">
        <f t="shared" si="188"/>
        <v>http://www.library.for.gov.bc.ca/#focus</v>
      </c>
      <c r="Y3160" t="s">
        <v>2500</v>
      </c>
      <c r="Z3160" s="11" t="str">
        <f t="shared" si="189"/>
        <v>http://www.crownpub.bc.ca/</v>
      </c>
      <c r="AA3160" t="s">
        <v>58</v>
      </c>
      <c r="AC3160" t="s">
        <v>58</v>
      </c>
      <c r="AE3160" t="s">
        <v>58</v>
      </c>
      <c r="AG3160" t="s">
        <v>63</v>
      </c>
      <c r="AH3160" s="11" t="str">
        <f t="shared" si="183"/>
        <v>mailto: soilterrain@victoria1.gov.bc.ca</v>
      </c>
    </row>
    <row r="3161" spans="1:34">
      <c r="A3161" t="s">
        <v>6634</v>
      </c>
      <c r="B3161" t="s">
        <v>56</v>
      </c>
      <c r="C3161" s="10" t="s">
        <v>1021</v>
      </c>
      <c r="D3161" t="s">
        <v>58</v>
      </c>
      <c r="E3161" t="s">
        <v>6624</v>
      </c>
      <c r="F3161" t="s">
        <v>6635</v>
      </c>
      <c r="G3161">
        <v>50000</v>
      </c>
      <c r="H3161">
        <v>1981</v>
      </c>
      <c r="I3161" t="s">
        <v>6589</v>
      </c>
      <c r="J3161" t="s">
        <v>61</v>
      </c>
      <c r="K3161" t="s">
        <v>58</v>
      </c>
      <c r="L3161" t="s">
        <v>58</v>
      </c>
      <c r="M3161" t="s">
        <v>58</v>
      </c>
      <c r="P3161" t="s">
        <v>61</v>
      </c>
      <c r="Q3161" t="s">
        <v>58</v>
      </c>
      <c r="R3161" s="11" t="str">
        <f>HYPERLINK("\\imagefiles.bcgov\imagery\scanned_maps\moe_terrain_maps\Scanned_T_maps_all\T05\T05-120","\\imagefiles.bcgov\imagery\scanned_maps\moe_terrain_maps\Scanned_T_maps_all\T05\T05-120")</f>
        <v>\\imagefiles.bcgov\imagery\scanned_maps\moe_terrain_maps\Scanned_T_maps_all\T05\T05-120</v>
      </c>
      <c r="S3161" t="s">
        <v>62</v>
      </c>
      <c r="T3161" s="11" t="str">
        <f>HYPERLINK("http://www.env.gov.bc.ca/esd/distdata/ecosystems/TEI_Scanned_Maps/T05/T05-120","http://www.env.gov.bc.ca/esd/distdata/ecosystems/TEI_Scanned_Maps/T05/T05-120")</f>
        <v>http://www.env.gov.bc.ca/esd/distdata/ecosystems/TEI_Scanned_Maps/T05/T05-120</v>
      </c>
      <c r="U3161" t="s">
        <v>2490</v>
      </c>
      <c r="V3161" s="11" t="str">
        <f t="shared" si="187"/>
        <v>http://res.agr.ca/cansis/publications/surveys/bc/</v>
      </c>
      <c r="W3161" t="s">
        <v>269</v>
      </c>
      <c r="X3161" s="11" t="str">
        <f t="shared" si="188"/>
        <v>http://www.library.for.gov.bc.ca/#focus</v>
      </c>
      <c r="Y3161" t="s">
        <v>2500</v>
      </c>
      <c r="Z3161" s="11" t="str">
        <f t="shared" si="189"/>
        <v>http://www.crownpub.bc.ca/</v>
      </c>
      <c r="AA3161" t="s">
        <v>58</v>
      </c>
      <c r="AC3161" t="s">
        <v>58</v>
      </c>
      <c r="AE3161" t="s">
        <v>58</v>
      </c>
      <c r="AG3161" t="s">
        <v>63</v>
      </c>
      <c r="AH3161" s="11" t="str">
        <f t="shared" si="183"/>
        <v>mailto: soilterrain@victoria1.gov.bc.ca</v>
      </c>
    </row>
    <row r="3162" spans="1:34">
      <c r="A3162" t="s">
        <v>6636</v>
      </c>
      <c r="B3162" t="s">
        <v>56</v>
      </c>
      <c r="C3162" s="10" t="s">
        <v>1021</v>
      </c>
      <c r="D3162" t="s">
        <v>58</v>
      </c>
      <c r="E3162" t="s">
        <v>6624</v>
      </c>
      <c r="F3162" t="s">
        <v>6637</v>
      </c>
      <c r="G3162">
        <v>50000</v>
      </c>
      <c r="H3162">
        <v>1981</v>
      </c>
      <c r="I3162" t="s">
        <v>6589</v>
      </c>
      <c r="J3162" t="s">
        <v>61</v>
      </c>
      <c r="K3162" t="s">
        <v>58</v>
      </c>
      <c r="L3162" t="s">
        <v>58</v>
      </c>
      <c r="M3162" t="s">
        <v>58</v>
      </c>
      <c r="P3162" t="s">
        <v>61</v>
      </c>
      <c r="Q3162" t="s">
        <v>58</v>
      </c>
      <c r="R3162" s="11" t="str">
        <f>HYPERLINK("\\imagefiles.bcgov\imagery\scanned_maps\moe_terrain_maps\Scanned_T_maps_all\T05\T05-121","\\imagefiles.bcgov\imagery\scanned_maps\moe_terrain_maps\Scanned_T_maps_all\T05\T05-121")</f>
        <v>\\imagefiles.bcgov\imagery\scanned_maps\moe_terrain_maps\Scanned_T_maps_all\T05\T05-121</v>
      </c>
      <c r="S3162" t="s">
        <v>62</v>
      </c>
      <c r="T3162" s="11" t="str">
        <f>HYPERLINK("http://www.env.gov.bc.ca/esd/distdata/ecosystems/TEI_Scanned_Maps/T05/T05-121","http://www.env.gov.bc.ca/esd/distdata/ecosystems/TEI_Scanned_Maps/T05/T05-121")</f>
        <v>http://www.env.gov.bc.ca/esd/distdata/ecosystems/TEI_Scanned_Maps/T05/T05-121</v>
      </c>
      <c r="U3162" t="s">
        <v>2490</v>
      </c>
      <c r="V3162" s="11" t="str">
        <f t="shared" si="187"/>
        <v>http://res.agr.ca/cansis/publications/surveys/bc/</v>
      </c>
      <c r="W3162" t="s">
        <v>269</v>
      </c>
      <c r="X3162" s="11" t="str">
        <f t="shared" si="188"/>
        <v>http://www.library.for.gov.bc.ca/#focus</v>
      </c>
      <c r="Y3162" t="s">
        <v>2500</v>
      </c>
      <c r="Z3162" s="11" t="str">
        <f t="shared" si="189"/>
        <v>http://www.crownpub.bc.ca/</v>
      </c>
      <c r="AA3162" t="s">
        <v>58</v>
      </c>
      <c r="AC3162" t="s">
        <v>58</v>
      </c>
      <c r="AE3162" t="s">
        <v>58</v>
      </c>
      <c r="AG3162" t="s">
        <v>63</v>
      </c>
      <c r="AH3162" s="11" t="str">
        <f t="shared" si="183"/>
        <v>mailto: soilterrain@victoria1.gov.bc.ca</v>
      </c>
    </row>
    <row r="3163" spans="1:34">
      <c r="A3163" t="s">
        <v>6638</v>
      </c>
      <c r="B3163" t="s">
        <v>56</v>
      </c>
      <c r="C3163" s="10" t="s">
        <v>1021</v>
      </c>
      <c r="D3163" t="s">
        <v>58</v>
      </c>
      <c r="E3163" t="s">
        <v>6624</v>
      </c>
      <c r="F3163" t="s">
        <v>6639</v>
      </c>
      <c r="G3163">
        <v>50000</v>
      </c>
      <c r="H3163">
        <v>1981</v>
      </c>
      <c r="I3163" t="s">
        <v>6589</v>
      </c>
      <c r="J3163" t="s">
        <v>61</v>
      </c>
      <c r="K3163" t="s">
        <v>58</v>
      </c>
      <c r="L3163" t="s">
        <v>58</v>
      </c>
      <c r="M3163" t="s">
        <v>58</v>
      </c>
      <c r="P3163" t="s">
        <v>61</v>
      </c>
      <c r="Q3163" t="s">
        <v>58</v>
      </c>
      <c r="R3163" s="11" t="str">
        <f>HYPERLINK("\\imagefiles.bcgov\imagery\scanned_maps\moe_terrain_maps\Scanned_T_maps_all\T05\T05-122","\\imagefiles.bcgov\imagery\scanned_maps\moe_terrain_maps\Scanned_T_maps_all\T05\T05-122")</f>
        <v>\\imagefiles.bcgov\imagery\scanned_maps\moe_terrain_maps\Scanned_T_maps_all\T05\T05-122</v>
      </c>
      <c r="S3163" t="s">
        <v>62</v>
      </c>
      <c r="T3163" s="11" t="str">
        <f>HYPERLINK("http://www.env.gov.bc.ca/esd/distdata/ecosystems/TEI_Scanned_Maps/T05/T05-122","http://www.env.gov.bc.ca/esd/distdata/ecosystems/TEI_Scanned_Maps/T05/T05-122")</f>
        <v>http://www.env.gov.bc.ca/esd/distdata/ecosystems/TEI_Scanned_Maps/T05/T05-122</v>
      </c>
      <c r="U3163" t="s">
        <v>2490</v>
      </c>
      <c r="V3163" s="11" t="str">
        <f t="shared" si="187"/>
        <v>http://res.agr.ca/cansis/publications/surveys/bc/</v>
      </c>
      <c r="W3163" t="s">
        <v>269</v>
      </c>
      <c r="X3163" s="11" t="str">
        <f t="shared" si="188"/>
        <v>http://www.library.for.gov.bc.ca/#focus</v>
      </c>
      <c r="Y3163" t="s">
        <v>2500</v>
      </c>
      <c r="Z3163" s="11" t="str">
        <f t="shared" si="189"/>
        <v>http://www.crownpub.bc.ca/</v>
      </c>
      <c r="AA3163" t="s">
        <v>58</v>
      </c>
      <c r="AC3163" t="s">
        <v>58</v>
      </c>
      <c r="AE3163" t="s">
        <v>58</v>
      </c>
      <c r="AG3163" t="s">
        <v>63</v>
      </c>
      <c r="AH3163" s="11" t="str">
        <f t="shared" si="183"/>
        <v>mailto: soilterrain@victoria1.gov.bc.ca</v>
      </c>
    </row>
    <row r="3164" spans="1:34">
      <c r="A3164" t="s">
        <v>6640</v>
      </c>
      <c r="B3164" t="s">
        <v>56</v>
      </c>
      <c r="C3164" s="10" t="s">
        <v>1021</v>
      </c>
      <c r="D3164" t="s">
        <v>58</v>
      </c>
      <c r="E3164" t="s">
        <v>6624</v>
      </c>
      <c r="F3164" t="s">
        <v>6641</v>
      </c>
      <c r="G3164">
        <v>50000</v>
      </c>
      <c r="H3164">
        <v>1981</v>
      </c>
      <c r="I3164" t="s">
        <v>6589</v>
      </c>
      <c r="J3164" t="s">
        <v>61</v>
      </c>
      <c r="K3164" t="s">
        <v>58</v>
      </c>
      <c r="L3164" t="s">
        <v>58</v>
      </c>
      <c r="M3164" t="s">
        <v>58</v>
      </c>
      <c r="P3164" t="s">
        <v>61</v>
      </c>
      <c r="Q3164" t="s">
        <v>58</v>
      </c>
      <c r="R3164" s="11" t="str">
        <f>HYPERLINK("\\imagefiles.bcgov\imagery\scanned_maps\moe_terrain_maps\Scanned_T_maps_all\T05\T05-124","\\imagefiles.bcgov\imagery\scanned_maps\moe_terrain_maps\Scanned_T_maps_all\T05\T05-124")</f>
        <v>\\imagefiles.bcgov\imagery\scanned_maps\moe_terrain_maps\Scanned_T_maps_all\T05\T05-124</v>
      </c>
      <c r="S3164" t="s">
        <v>62</v>
      </c>
      <c r="T3164" s="11" t="str">
        <f>HYPERLINK("http://www.env.gov.bc.ca/esd/distdata/ecosystems/TEI_Scanned_Maps/T05/T05-124","http://www.env.gov.bc.ca/esd/distdata/ecosystems/TEI_Scanned_Maps/T05/T05-124")</f>
        <v>http://www.env.gov.bc.ca/esd/distdata/ecosystems/TEI_Scanned_Maps/T05/T05-124</v>
      </c>
      <c r="U3164" t="s">
        <v>2490</v>
      </c>
      <c r="V3164" s="11" t="str">
        <f t="shared" si="187"/>
        <v>http://res.agr.ca/cansis/publications/surveys/bc/</v>
      </c>
      <c r="W3164" t="s">
        <v>269</v>
      </c>
      <c r="X3164" s="11" t="str">
        <f t="shared" si="188"/>
        <v>http://www.library.for.gov.bc.ca/#focus</v>
      </c>
      <c r="Y3164" t="s">
        <v>2500</v>
      </c>
      <c r="Z3164" s="11" t="str">
        <f t="shared" si="189"/>
        <v>http://www.crownpub.bc.ca/</v>
      </c>
      <c r="AA3164" t="s">
        <v>58</v>
      </c>
      <c r="AC3164" t="s">
        <v>58</v>
      </c>
      <c r="AE3164" t="s">
        <v>58</v>
      </c>
      <c r="AG3164" t="s">
        <v>63</v>
      </c>
      <c r="AH3164" s="11" t="str">
        <f t="shared" si="183"/>
        <v>mailto: soilterrain@victoria1.gov.bc.ca</v>
      </c>
    </row>
    <row r="3165" spans="1:34">
      <c r="A3165" t="s">
        <v>6642</v>
      </c>
      <c r="B3165" t="s">
        <v>56</v>
      </c>
      <c r="C3165" s="10" t="s">
        <v>1021</v>
      </c>
      <c r="D3165" t="s">
        <v>58</v>
      </c>
      <c r="E3165" t="s">
        <v>6624</v>
      </c>
      <c r="F3165" t="s">
        <v>6643</v>
      </c>
      <c r="G3165">
        <v>50000</v>
      </c>
      <c r="H3165">
        <v>1981</v>
      </c>
      <c r="I3165" t="s">
        <v>6589</v>
      </c>
      <c r="J3165" t="s">
        <v>61</v>
      </c>
      <c r="K3165" t="s">
        <v>58</v>
      </c>
      <c r="L3165" t="s">
        <v>58</v>
      </c>
      <c r="M3165" t="s">
        <v>58</v>
      </c>
      <c r="P3165" t="s">
        <v>61</v>
      </c>
      <c r="Q3165" t="s">
        <v>58</v>
      </c>
      <c r="R3165" s="11" t="str">
        <f>HYPERLINK("\\imagefiles.bcgov\imagery\scanned_maps\moe_terrain_maps\Scanned_T_maps_all\T05\T05-125","\\imagefiles.bcgov\imagery\scanned_maps\moe_terrain_maps\Scanned_T_maps_all\T05\T05-125")</f>
        <v>\\imagefiles.bcgov\imagery\scanned_maps\moe_terrain_maps\Scanned_T_maps_all\T05\T05-125</v>
      </c>
      <c r="S3165" t="s">
        <v>62</v>
      </c>
      <c r="T3165" s="11" t="str">
        <f>HYPERLINK("http://www.env.gov.bc.ca/esd/distdata/ecosystems/TEI_Scanned_Maps/T05/T05-125","http://www.env.gov.bc.ca/esd/distdata/ecosystems/TEI_Scanned_Maps/T05/T05-125")</f>
        <v>http://www.env.gov.bc.ca/esd/distdata/ecosystems/TEI_Scanned_Maps/T05/T05-125</v>
      </c>
      <c r="U3165" t="s">
        <v>2490</v>
      </c>
      <c r="V3165" s="11" t="str">
        <f t="shared" si="187"/>
        <v>http://res.agr.ca/cansis/publications/surveys/bc/</v>
      </c>
      <c r="W3165" t="s">
        <v>269</v>
      </c>
      <c r="X3165" s="11" t="str">
        <f t="shared" si="188"/>
        <v>http://www.library.for.gov.bc.ca/#focus</v>
      </c>
      <c r="Y3165" t="s">
        <v>2500</v>
      </c>
      <c r="Z3165" s="11" t="str">
        <f t="shared" si="189"/>
        <v>http://www.crownpub.bc.ca/</v>
      </c>
      <c r="AA3165" t="s">
        <v>58</v>
      </c>
      <c r="AC3165" t="s">
        <v>58</v>
      </c>
      <c r="AE3165" t="s">
        <v>58</v>
      </c>
      <c r="AG3165" t="s">
        <v>63</v>
      </c>
      <c r="AH3165" s="11" t="str">
        <f t="shared" si="183"/>
        <v>mailto: soilterrain@victoria1.gov.bc.ca</v>
      </c>
    </row>
    <row r="3166" spans="1:34">
      <c r="A3166" t="s">
        <v>6644</v>
      </c>
      <c r="B3166" t="s">
        <v>56</v>
      </c>
      <c r="C3166" s="10" t="s">
        <v>1021</v>
      </c>
      <c r="D3166" t="s">
        <v>58</v>
      </c>
      <c r="E3166" t="s">
        <v>6624</v>
      </c>
      <c r="F3166" t="s">
        <v>6645</v>
      </c>
      <c r="G3166">
        <v>50000</v>
      </c>
      <c r="H3166">
        <v>1981</v>
      </c>
      <c r="I3166" t="s">
        <v>6589</v>
      </c>
      <c r="J3166" t="s">
        <v>61</v>
      </c>
      <c r="K3166" t="s">
        <v>58</v>
      </c>
      <c r="L3166" t="s">
        <v>58</v>
      </c>
      <c r="M3166" t="s">
        <v>58</v>
      </c>
      <c r="P3166" t="s">
        <v>61</v>
      </c>
      <c r="Q3166" t="s">
        <v>58</v>
      </c>
      <c r="R3166" s="11" t="str">
        <f>HYPERLINK("\\imagefiles.bcgov\imagery\scanned_maps\moe_terrain_maps\Scanned_T_maps_all\T05\T05-126","\\imagefiles.bcgov\imagery\scanned_maps\moe_terrain_maps\Scanned_T_maps_all\T05\T05-126")</f>
        <v>\\imagefiles.bcgov\imagery\scanned_maps\moe_terrain_maps\Scanned_T_maps_all\T05\T05-126</v>
      </c>
      <c r="S3166" t="s">
        <v>62</v>
      </c>
      <c r="T3166" s="11" t="str">
        <f>HYPERLINK("http://www.env.gov.bc.ca/esd/distdata/ecosystems/TEI_Scanned_Maps/T05/T05-126","http://www.env.gov.bc.ca/esd/distdata/ecosystems/TEI_Scanned_Maps/T05/T05-126")</f>
        <v>http://www.env.gov.bc.ca/esd/distdata/ecosystems/TEI_Scanned_Maps/T05/T05-126</v>
      </c>
      <c r="U3166" t="s">
        <v>2490</v>
      </c>
      <c r="V3166" s="11" t="str">
        <f t="shared" si="187"/>
        <v>http://res.agr.ca/cansis/publications/surveys/bc/</v>
      </c>
      <c r="W3166" t="s">
        <v>269</v>
      </c>
      <c r="X3166" s="11" t="str">
        <f t="shared" si="188"/>
        <v>http://www.library.for.gov.bc.ca/#focus</v>
      </c>
      <c r="Y3166" t="s">
        <v>2500</v>
      </c>
      <c r="Z3166" s="11" t="str">
        <f t="shared" si="189"/>
        <v>http://www.crownpub.bc.ca/</v>
      </c>
      <c r="AA3166" t="s">
        <v>58</v>
      </c>
      <c r="AC3166" t="s">
        <v>58</v>
      </c>
      <c r="AE3166" t="s">
        <v>58</v>
      </c>
      <c r="AG3166" t="s">
        <v>63</v>
      </c>
      <c r="AH3166" s="11" t="str">
        <f t="shared" si="183"/>
        <v>mailto: soilterrain@victoria1.gov.bc.ca</v>
      </c>
    </row>
    <row r="3167" spans="1:34">
      <c r="A3167" t="s">
        <v>6646</v>
      </c>
      <c r="B3167" t="s">
        <v>56</v>
      </c>
      <c r="C3167" s="10" t="s">
        <v>1711</v>
      </c>
      <c r="D3167" t="s">
        <v>58</v>
      </c>
      <c r="E3167" t="s">
        <v>6647</v>
      </c>
      <c r="F3167" t="s">
        <v>6648</v>
      </c>
      <c r="G3167">
        <v>50000</v>
      </c>
      <c r="H3167">
        <v>1974</v>
      </c>
      <c r="I3167" t="s">
        <v>58</v>
      </c>
      <c r="J3167" t="s">
        <v>61</v>
      </c>
      <c r="K3167" t="s">
        <v>58</v>
      </c>
      <c r="L3167" t="s">
        <v>58</v>
      </c>
      <c r="M3167" t="s">
        <v>58</v>
      </c>
      <c r="P3167" t="s">
        <v>61</v>
      </c>
      <c r="Q3167" t="s">
        <v>58</v>
      </c>
      <c r="R3167" s="11" t="str">
        <f>HYPERLINK("\\imagefiles.bcgov\imagery\scanned_maps\moe_terrain_maps\Scanned_T_maps_all\T06\T06-2619","\\imagefiles.bcgov\imagery\scanned_maps\moe_terrain_maps\Scanned_T_maps_all\T06\T06-2619")</f>
        <v>\\imagefiles.bcgov\imagery\scanned_maps\moe_terrain_maps\Scanned_T_maps_all\T06\T06-2619</v>
      </c>
      <c r="S3167" t="s">
        <v>62</v>
      </c>
      <c r="T3167" s="11" t="str">
        <f>HYPERLINK("http://www.env.gov.bc.ca/esd/distdata/ecosystems/TEI_Scanned_Maps/T06/T06-2619","http://www.env.gov.bc.ca/esd/distdata/ecosystems/TEI_Scanned_Maps/T06/T06-2619")</f>
        <v>http://www.env.gov.bc.ca/esd/distdata/ecosystems/TEI_Scanned_Maps/T06/T06-2619</v>
      </c>
      <c r="U3167" t="s">
        <v>58</v>
      </c>
      <c r="V3167" t="s">
        <v>58</v>
      </c>
      <c r="W3167" t="s">
        <v>58</v>
      </c>
      <c r="X3167" t="s">
        <v>58</v>
      </c>
      <c r="Y3167" t="s">
        <v>58</v>
      </c>
      <c r="Z3167" t="s">
        <v>58</v>
      </c>
      <c r="AA3167" t="s">
        <v>58</v>
      </c>
      <c r="AC3167" t="s">
        <v>58</v>
      </c>
      <c r="AE3167" t="s">
        <v>58</v>
      </c>
      <c r="AG3167" t="s">
        <v>63</v>
      </c>
      <c r="AH3167" s="11" t="str">
        <f t="shared" si="183"/>
        <v>mailto: soilterrain@victoria1.gov.bc.ca</v>
      </c>
    </row>
    <row r="3168" spans="1:34">
      <c r="A3168" t="s">
        <v>6649</v>
      </c>
      <c r="B3168" t="s">
        <v>56</v>
      </c>
      <c r="C3168" s="10" t="s">
        <v>1711</v>
      </c>
      <c r="D3168" t="s">
        <v>58</v>
      </c>
      <c r="E3168" t="s">
        <v>6647</v>
      </c>
      <c r="F3168" t="s">
        <v>6650</v>
      </c>
      <c r="G3168">
        <v>50000</v>
      </c>
      <c r="H3168">
        <v>1974</v>
      </c>
      <c r="I3168" t="s">
        <v>58</v>
      </c>
      <c r="J3168" t="s">
        <v>61</v>
      </c>
      <c r="K3168" t="s">
        <v>58</v>
      </c>
      <c r="L3168" t="s">
        <v>58</v>
      </c>
      <c r="M3168" t="s">
        <v>58</v>
      </c>
      <c r="O3168" t="s">
        <v>61</v>
      </c>
      <c r="Q3168" t="s">
        <v>58</v>
      </c>
      <c r="R3168" s="11" t="str">
        <f>HYPERLINK("\\imagefiles.bcgov\imagery\scanned_maps\moe_terrain_maps\Scanned_T_maps_all\T06\T06-2621","\\imagefiles.bcgov\imagery\scanned_maps\moe_terrain_maps\Scanned_T_maps_all\T06\T06-2621")</f>
        <v>\\imagefiles.bcgov\imagery\scanned_maps\moe_terrain_maps\Scanned_T_maps_all\T06\T06-2621</v>
      </c>
      <c r="S3168" t="s">
        <v>62</v>
      </c>
      <c r="T3168" s="11" t="str">
        <f>HYPERLINK("http://www.env.gov.bc.ca/esd/distdata/ecosystems/TEI_Scanned_Maps/T06/T06-2621","http://www.env.gov.bc.ca/esd/distdata/ecosystems/TEI_Scanned_Maps/T06/T06-2621")</f>
        <v>http://www.env.gov.bc.ca/esd/distdata/ecosystems/TEI_Scanned_Maps/T06/T06-2621</v>
      </c>
      <c r="U3168" t="s">
        <v>58</v>
      </c>
      <c r="V3168" t="s">
        <v>58</v>
      </c>
      <c r="W3168" t="s">
        <v>58</v>
      </c>
      <c r="X3168" t="s">
        <v>58</v>
      </c>
      <c r="Y3168" t="s">
        <v>58</v>
      </c>
      <c r="Z3168" t="s">
        <v>58</v>
      </c>
      <c r="AA3168" t="s">
        <v>58</v>
      </c>
      <c r="AC3168" t="s">
        <v>58</v>
      </c>
      <c r="AE3168" t="s">
        <v>58</v>
      </c>
      <c r="AG3168" t="s">
        <v>63</v>
      </c>
      <c r="AH3168" s="11" t="str">
        <f t="shared" si="183"/>
        <v>mailto: soilterrain@victoria1.gov.bc.ca</v>
      </c>
    </row>
    <row r="3169" spans="1:34">
      <c r="A3169" t="s">
        <v>6651</v>
      </c>
      <c r="B3169" t="s">
        <v>56</v>
      </c>
      <c r="C3169" s="10" t="s">
        <v>1711</v>
      </c>
      <c r="D3169" t="s">
        <v>58</v>
      </c>
      <c r="E3169" t="s">
        <v>6647</v>
      </c>
      <c r="F3169" t="s">
        <v>6652</v>
      </c>
      <c r="G3169">
        <v>50000</v>
      </c>
      <c r="H3169">
        <v>1974</v>
      </c>
      <c r="I3169" t="s">
        <v>58</v>
      </c>
      <c r="J3169" t="s">
        <v>61</v>
      </c>
      <c r="K3169" t="s">
        <v>58</v>
      </c>
      <c r="L3169" t="s">
        <v>58</v>
      </c>
      <c r="M3169" t="s">
        <v>58</v>
      </c>
      <c r="O3169" t="s">
        <v>61</v>
      </c>
      <c r="Q3169" t="s">
        <v>58</v>
      </c>
      <c r="R3169" s="11" t="str">
        <f>HYPERLINK("\\imagefiles.bcgov\imagery\scanned_maps\moe_terrain_maps\Scanned_T_maps_all\T06\T06-2622","\\imagefiles.bcgov\imagery\scanned_maps\moe_terrain_maps\Scanned_T_maps_all\T06\T06-2622")</f>
        <v>\\imagefiles.bcgov\imagery\scanned_maps\moe_terrain_maps\Scanned_T_maps_all\T06\T06-2622</v>
      </c>
      <c r="S3169" t="s">
        <v>62</v>
      </c>
      <c r="T3169" s="11" t="str">
        <f>HYPERLINK("http://www.env.gov.bc.ca/esd/distdata/ecosystems/TEI_Scanned_Maps/T06/T06-2622","http://www.env.gov.bc.ca/esd/distdata/ecosystems/TEI_Scanned_Maps/T06/T06-2622")</f>
        <v>http://www.env.gov.bc.ca/esd/distdata/ecosystems/TEI_Scanned_Maps/T06/T06-2622</v>
      </c>
      <c r="U3169" t="s">
        <v>58</v>
      </c>
      <c r="V3169" t="s">
        <v>58</v>
      </c>
      <c r="W3169" t="s">
        <v>58</v>
      </c>
      <c r="X3169" t="s">
        <v>58</v>
      </c>
      <c r="Y3169" t="s">
        <v>58</v>
      </c>
      <c r="Z3169" t="s">
        <v>58</v>
      </c>
      <c r="AA3169" t="s">
        <v>58</v>
      </c>
      <c r="AC3169" t="s">
        <v>58</v>
      </c>
      <c r="AE3169" t="s">
        <v>58</v>
      </c>
      <c r="AG3169" t="s">
        <v>63</v>
      </c>
      <c r="AH3169" s="11" t="str">
        <f t="shared" si="183"/>
        <v>mailto: soilterrain@victoria1.gov.bc.ca</v>
      </c>
    </row>
    <row r="3170" spans="1:34">
      <c r="A3170" t="s">
        <v>6653</v>
      </c>
      <c r="B3170" t="s">
        <v>56</v>
      </c>
      <c r="C3170" s="10" t="s">
        <v>1711</v>
      </c>
      <c r="D3170" t="s">
        <v>58</v>
      </c>
      <c r="E3170" t="s">
        <v>6647</v>
      </c>
      <c r="F3170" t="s">
        <v>6654</v>
      </c>
      <c r="G3170">
        <v>50000</v>
      </c>
      <c r="H3170">
        <v>1974</v>
      </c>
      <c r="I3170" t="s">
        <v>58</v>
      </c>
      <c r="J3170" t="s">
        <v>61</v>
      </c>
      <c r="K3170" t="s">
        <v>58</v>
      </c>
      <c r="L3170" t="s">
        <v>58</v>
      </c>
      <c r="M3170" t="s">
        <v>58</v>
      </c>
      <c r="N3170" t="s">
        <v>61</v>
      </c>
      <c r="Q3170" t="s">
        <v>58</v>
      </c>
      <c r="R3170" s="11" t="str">
        <f>HYPERLINK("\\imagefiles.bcgov\imagery\scanned_maps\moe_terrain_maps\Scanned_T_maps_all\T06\T06-2623","\\imagefiles.bcgov\imagery\scanned_maps\moe_terrain_maps\Scanned_T_maps_all\T06\T06-2623")</f>
        <v>\\imagefiles.bcgov\imagery\scanned_maps\moe_terrain_maps\Scanned_T_maps_all\T06\T06-2623</v>
      </c>
      <c r="S3170" t="s">
        <v>62</v>
      </c>
      <c r="T3170" s="11" t="str">
        <f>HYPERLINK("http://www.env.gov.bc.ca/esd/distdata/ecosystems/TEI_Scanned_Maps/T06/T06-2623","http://www.env.gov.bc.ca/esd/distdata/ecosystems/TEI_Scanned_Maps/T06/T06-2623")</f>
        <v>http://www.env.gov.bc.ca/esd/distdata/ecosystems/TEI_Scanned_Maps/T06/T06-2623</v>
      </c>
      <c r="U3170" t="s">
        <v>58</v>
      </c>
      <c r="V3170" t="s">
        <v>58</v>
      </c>
      <c r="W3170" t="s">
        <v>58</v>
      </c>
      <c r="X3170" t="s">
        <v>58</v>
      </c>
      <c r="Y3170" t="s">
        <v>58</v>
      </c>
      <c r="Z3170" t="s">
        <v>58</v>
      </c>
      <c r="AA3170" t="s">
        <v>58</v>
      </c>
      <c r="AC3170" t="s">
        <v>58</v>
      </c>
      <c r="AE3170" t="s">
        <v>58</v>
      </c>
      <c r="AG3170" t="s">
        <v>63</v>
      </c>
      <c r="AH3170" s="11" t="str">
        <f t="shared" si="183"/>
        <v>mailto: soilterrain@victoria1.gov.bc.ca</v>
      </c>
    </row>
    <row r="3171" spans="1:34">
      <c r="A3171" t="s">
        <v>6655</v>
      </c>
      <c r="B3171" t="s">
        <v>56</v>
      </c>
      <c r="C3171" s="10" t="s">
        <v>1711</v>
      </c>
      <c r="D3171" t="s">
        <v>58</v>
      </c>
      <c r="E3171" t="s">
        <v>6647</v>
      </c>
      <c r="F3171" t="s">
        <v>6656</v>
      </c>
      <c r="G3171">
        <v>50000</v>
      </c>
      <c r="H3171">
        <v>1974</v>
      </c>
      <c r="I3171" t="s">
        <v>58</v>
      </c>
      <c r="J3171" t="s">
        <v>61</v>
      </c>
      <c r="K3171" t="s">
        <v>58</v>
      </c>
      <c r="L3171" t="s">
        <v>58</v>
      </c>
      <c r="M3171" t="s">
        <v>58</v>
      </c>
      <c r="N3171" t="s">
        <v>61</v>
      </c>
      <c r="Q3171" t="s">
        <v>58</v>
      </c>
      <c r="R3171" s="11" t="str">
        <f>HYPERLINK("\\imagefiles.bcgov\imagery\scanned_maps\moe_terrain_maps\Scanned_T_maps_all\T06\T06-2625","\\imagefiles.bcgov\imagery\scanned_maps\moe_terrain_maps\Scanned_T_maps_all\T06\T06-2625")</f>
        <v>\\imagefiles.bcgov\imagery\scanned_maps\moe_terrain_maps\Scanned_T_maps_all\T06\T06-2625</v>
      </c>
      <c r="S3171" t="s">
        <v>62</v>
      </c>
      <c r="T3171" s="11" t="str">
        <f>HYPERLINK("http://www.env.gov.bc.ca/esd/distdata/ecosystems/TEI_Scanned_Maps/T06/T06-2625","http://www.env.gov.bc.ca/esd/distdata/ecosystems/TEI_Scanned_Maps/T06/T06-2625")</f>
        <v>http://www.env.gov.bc.ca/esd/distdata/ecosystems/TEI_Scanned_Maps/T06/T06-2625</v>
      </c>
      <c r="U3171" t="s">
        <v>58</v>
      </c>
      <c r="V3171" t="s">
        <v>58</v>
      </c>
      <c r="W3171" t="s">
        <v>58</v>
      </c>
      <c r="X3171" t="s">
        <v>58</v>
      </c>
      <c r="Y3171" t="s">
        <v>58</v>
      </c>
      <c r="Z3171" t="s">
        <v>58</v>
      </c>
      <c r="AA3171" t="s">
        <v>58</v>
      </c>
      <c r="AC3171" t="s">
        <v>58</v>
      </c>
      <c r="AE3171" t="s">
        <v>58</v>
      </c>
      <c r="AG3171" t="s">
        <v>63</v>
      </c>
      <c r="AH3171" s="11" t="str">
        <f t="shared" si="183"/>
        <v>mailto: soilterrain@victoria1.gov.bc.ca</v>
      </c>
    </row>
    <row r="3172" spans="1:34">
      <c r="A3172" t="s">
        <v>6657</v>
      </c>
      <c r="B3172" t="s">
        <v>56</v>
      </c>
      <c r="C3172" s="10" t="s">
        <v>3084</v>
      </c>
      <c r="D3172" t="s">
        <v>58</v>
      </c>
      <c r="E3172" t="s">
        <v>6658</v>
      </c>
      <c r="F3172" t="s">
        <v>6659</v>
      </c>
      <c r="G3172">
        <v>100000</v>
      </c>
      <c r="H3172">
        <v>1979</v>
      </c>
      <c r="I3172" t="s">
        <v>6660</v>
      </c>
      <c r="J3172" t="s">
        <v>61</v>
      </c>
      <c r="K3172" t="s">
        <v>58</v>
      </c>
      <c r="L3172" t="s">
        <v>58</v>
      </c>
      <c r="M3172" t="s">
        <v>58</v>
      </c>
      <c r="P3172" t="s">
        <v>61</v>
      </c>
      <c r="Q3172" t="s">
        <v>58</v>
      </c>
      <c r="R3172" s="11" t="str">
        <f>HYPERLINK("\\imagefiles.bcgov\imagery\scanned_maps\moe_terrain_maps\Scanned_T_maps_all\T08\T08-1743","\\imagefiles.bcgov\imagery\scanned_maps\moe_terrain_maps\Scanned_T_maps_all\T08\T08-1743")</f>
        <v>\\imagefiles.bcgov\imagery\scanned_maps\moe_terrain_maps\Scanned_T_maps_all\T08\T08-1743</v>
      </c>
      <c r="S3172" t="s">
        <v>62</v>
      </c>
      <c r="T3172" s="11" t="str">
        <f>HYPERLINK("http://www.env.gov.bc.ca/esd/distdata/ecosystems/TEI_Scanned_Maps/T08/T08-1743","http://www.env.gov.bc.ca/esd/distdata/ecosystems/TEI_Scanned_Maps/T08/T08-1743")</f>
        <v>http://www.env.gov.bc.ca/esd/distdata/ecosystems/TEI_Scanned_Maps/T08/T08-1743</v>
      </c>
      <c r="U3172" t="s">
        <v>269</v>
      </c>
      <c r="V3172" s="11" t="str">
        <f>HYPERLINK("http://www.library.for.gov.bc.ca/#focus","http://www.library.for.gov.bc.ca/#focus")</f>
        <v>http://www.library.for.gov.bc.ca/#focus</v>
      </c>
      <c r="W3172" t="s">
        <v>58</v>
      </c>
      <c r="X3172" t="s">
        <v>58</v>
      </c>
      <c r="Y3172" t="s">
        <v>58</v>
      </c>
      <c r="Z3172" t="s">
        <v>58</v>
      </c>
      <c r="AA3172" t="s">
        <v>58</v>
      </c>
      <c r="AC3172" t="s">
        <v>58</v>
      </c>
      <c r="AE3172" t="s">
        <v>58</v>
      </c>
      <c r="AG3172" t="s">
        <v>63</v>
      </c>
      <c r="AH3172" s="11" t="str">
        <f t="shared" si="183"/>
        <v>mailto: soilterrain@victoria1.gov.bc.ca</v>
      </c>
    </row>
    <row r="3173" spans="1:34">
      <c r="A3173" t="s">
        <v>6661</v>
      </c>
      <c r="B3173" t="s">
        <v>56</v>
      </c>
      <c r="C3173" s="10" t="s">
        <v>6662</v>
      </c>
      <c r="D3173" t="s">
        <v>61</v>
      </c>
      <c r="E3173" t="s">
        <v>6663</v>
      </c>
      <c r="F3173" t="s">
        <v>6664</v>
      </c>
      <c r="G3173">
        <v>50000</v>
      </c>
      <c r="H3173">
        <v>1971</v>
      </c>
      <c r="I3173" t="s">
        <v>6665</v>
      </c>
      <c r="J3173" t="s">
        <v>61</v>
      </c>
      <c r="K3173" t="s">
        <v>61</v>
      </c>
      <c r="L3173" t="s">
        <v>61</v>
      </c>
      <c r="M3173" t="s">
        <v>58</v>
      </c>
      <c r="Q3173" t="s">
        <v>58</v>
      </c>
      <c r="R3173" s="11" t="str">
        <f>HYPERLINK("\\imagefiles.bcgov\imagery\scanned_maps\moe_terrain_maps\Scanned_T_maps_all\T08\T08-2201","\\imagefiles.bcgov\imagery\scanned_maps\moe_terrain_maps\Scanned_T_maps_all\T08\T08-2201")</f>
        <v>\\imagefiles.bcgov\imagery\scanned_maps\moe_terrain_maps\Scanned_T_maps_all\T08\T08-2201</v>
      </c>
      <c r="S3173" t="s">
        <v>62</v>
      </c>
      <c r="T3173" s="11" t="str">
        <f>HYPERLINK("http://www.env.gov.bc.ca/esd/distdata/ecosystems/TEI_Scanned_Maps/T08/T08-2201","http://www.env.gov.bc.ca/esd/distdata/ecosystems/TEI_Scanned_Maps/T08/T08-2201")</f>
        <v>http://www.env.gov.bc.ca/esd/distdata/ecosystems/TEI_Scanned_Maps/T08/T08-2201</v>
      </c>
      <c r="U3173" t="s">
        <v>58</v>
      </c>
      <c r="V3173" t="s">
        <v>58</v>
      </c>
      <c r="W3173" t="s">
        <v>58</v>
      </c>
      <c r="X3173" t="s">
        <v>58</v>
      </c>
      <c r="Y3173" t="s">
        <v>58</v>
      </c>
      <c r="Z3173" t="s">
        <v>58</v>
      </c>
      <c r="AA3173" t="s">
        <v>58</v>
      </c>
      <c r="AC3173" t="s">
        <v>58</v>
      </c>
      <c r="AE3173" t="s">
        <v>58</v>
      </c>
      <c r="AG3173" t="s">
        <v>63</v>
      </c>
      <c r="AH3173" s="11" t="str">
        <f t="shared" si="183"/>
        <v>mailto: soilterrain@victoria1.gov.bc.ca</v>
      </c>
    </row>
    <row r="3174" spans="1:34">
      <c r="A3174" t="s">
        <v>6666</v>
      </c>
      <c r="B3174" t="s">
        <v>56</v>
      </c>
      <c r="C3174" s="10" t="s">
        <v>6667</v>
      </c>
      <c r="D3174" t="s">
        <v>61</v>
      </c>
      <c r="E3174" t="s">
        <v>6663</v>
      </c>
      <c r="F3174" t="s">
        <v>6668</v>
      </c>
      <c r="G3174">
        <v>50000</v>
      </c>
      <c r="H3174">
        <v>1971</v>
      </c>
      <c r="I3174" t="s">
        <v>6665</v>
      </c>
      <c r="J3174" t="s">
        <v>61</v>
      </c>
      <c r="K3174" t="s">
        <v>61</v>
      </c>
      <c r="L3174" t="s">
        <v>61</v>
      </c>
      <c r="M3174" t="s">
        <v>58</v>
      </c>
      <c r="Q3174" t="s">
        <v>58</v>
      </c>
      <c r="R3174" s="11" t="str">
        <f>HYPERLINK("\\imagefiles.bcgov\imagery\scanned_maps\moe_terrain_maps\Scanned_T_maps_all\T08\T08-2202","\\imagefiles.bcgov\imagery\scanned_maps\moe_terrain_maps\Scanned_T_maps_all\T08\T08-2202")</f>
        <v>\\imagefiles.bcgov\imagery\scanned_maps\moe_terrain_maps\Scanned_T_maps_all\T08\T08-2202</v>
      </c>
      <c r="S3174" t="s">
        <v>62</v>
      </c>
      <c r="T3174" s="11" t="str">
        <f>HYPERLINK("http://www.env.gov.bc.ca/esd/distdata/ecosystems/TEI_Scanned_Maps/T08/T08-2202","http://www.env.gov.bc.ca/esd/distdata/ecosystems/TEI_Scanned_Maps/T08/T08-2202")</f>
        <v>http://www.env.gov.bc.ca/esd/distdata/ecosystems/TEI_Scanned_Maps/T08/T08-2202</v>
      </c>
      <c r="U3174" t="s">
        <v>58</v>
      </c>
      <c r="V3174" t="s">
        <v>58</v>
      </c>
      <c r="W3174" t="s">
        <v>58</v>
      </c>
      <c r="X3174" t="s">
        <v>58</v>
      </c>
      <c r="Y3174" t="s">
        <v>58</v>
      </c>
      <c r="Z3174" t="s">
        <v>58</v>
      </c>
      <c r="AA3174" t="s">
        <v>58</v>
      </c>
      <c r="AC3174" t="s">
        <v>58</v>
      </c>
      <c r="AE3174" t="s">
        <v>58</v>
      </c>
      <c r="AG3174" t="s">
        <v>63</v>
      </c>
      <c r="AH3174" s="11" t="str">
        <f t="shared" si="183"/>
        <v>mailto: soilterrain@victoria1.gov.bc.ca</v>
      </c>
    </row>
    <row r="3175" spans="1:34">
      <c r="A3175" t="s">
        <v>6669</v>
      </c>
      <c r="B3175" t="s">
        <v>56</v>
      </c>
      <c r="C3175" s="10" t="s">
        <v>6670</v>
      </c>
      <c r="D3175" t="s">
        <v>61</v>
      </c>
      <c r="E3175" t="s">
        <v>6663</v>
      </c>
      <c r="F3175" t="s">
        <v>6671</v>
      </c>
      <c r="G3175">
        <v>50000</v>
      </c>
      <c r="H3175">
        <v>1972</v>
      </c>
      <c r="I3175" t="s">
        <v>6665</v>
      </c>
      <c r="J3175" t="s">
        <v>61</v>
      </c>
      <c r="K3175" t="s">
        <v>61</v>
      </c>
      <c r="L3175" t="s">
        <v>61</v>
      </c>
      <c r="M3175" t="s">
        <v>58</v>
      </c>
      <c r="Q3175" t="s">
        <v>58</v>
      </c>
      <c r="R3175" s="11" t="str">
        <f>HYPERLINK("\\imagefiles.bcgov\imagery\scanned_maps\moe_terrain_maps\Scanned_T_maps_all\T08\T08-2205","\\imagefiles.bcgov\imagery\scanned_maps\moe_terrain_maps\Scanned_T_maps_all\T08\T08-2205")</f>
        <v>\\imagefiles.bcgov\imagery\scanned_maps\moe_terrain_maps\Scanned_T_maps_all\T08\T08-2205</v>
      </c>
      <c r="S3175" t="s">
        <v>62</v>
      </c>
      <c r="T3175" s="11" t="str">
        <f>HYPERLINK("http://www.env.gov.bc.ca/esd/distdata/ecosystems/TEI_Scanned_Maps/T08/T08-2205","http://www.env.gov.bc.ca/esd/distdata/ecosystems/TEI_Scanned_Maps/T08/T08-2205")</f>
        <v>http://www.env.gov.bc.ca/esd/distdata/ecosystems/TEI_Scanned_Maps/T08/T08-2205</v>
      </c>
      <c r="U3175" t="s">
        <v>58</v>
      </c>
      <c r="V3175" t="s">
        <v>58</v>
      </c>
      <c r="W3175" t="s">
        <v>58</v>
      </c>
      <c r="X3175" t="s">
        <v>58</v>
      </c>
      <c r="Y3175" t="s">
        <v>58</v>
      </c>
      <c r="Z3175" t="s">
        <v>58</v>
      </c>
      <c r="AA3175" t="s">
        <v>58</v>
      </c>
      <c r="AC3175" t="s">
        <v>58</v>
      </c>
      <c r="AE3175" t="s">
        <v>58</v>
      </c>
      <c r="AG3175" t="s">
        <v>63</v>
      </c>
      <c r="AH3175" s="11" t="str">
        <f t="shared" si="183"/>
        <v>mailto: soilterrain@victoria1.gov.bc.ca</v>
      </c>
    </row>
    <row r="3176" spans="1:34">
      <c r="A3176" t="s">
        <v>6672</v>
      </c>
      <c r="B3176" t="s">
        <v>56</v>
      </c>
      <c r="C3176" s="10" t="s">
        <v>6673</v>
      </c>
      <c r="D3176" t="s">
        <v>61</v>
      </c>
      <c r="E3176" t="s">
        <v>6663</v>
      </c>
      <c r="F3176" t="s">
        <v>6674</v>
      </c>
      <c r="G3176">
        <v>50000</v>
      </c>
      <c r="H3176">
        <v>1972</v>
      </c>
      <c r="I3176" t="s">
        <v>6665</v>
      </c>
      <c r="J3176" t="s">
        <v>61</v>
      </c>
      <c r="K3176" t="s">
        <v>61</v>
      </c>
      <c r="L3176" t="s">
        <v>61</v>
      </c>
      <c r="M3176" t="s">
        <v>58</v>
      </c>
      <c r="Q3176" t="s">
        <v>58</v>
      </c>
      <c r="R3176" s="11" t="str">
        <f>HYPERLINK("\\imagefiles.bcgov\imagery\scanned_maps\moe_terrain_maps\Scanned_T_maps_all\T08\T08-2206","\\imagefiles.bcgov\imagery\scanned_maps\moe_terrain_maps\Scanned_T_maps_all\T08\T08-2206")</f>
        <v>\\imagefiles.bcgov\imagery\scanned_maps\moe_terrain_maps\Scanned_T_maps_all\T08\T08-2206</v>
      </c>
      <c r="S3176" t="s">
        <v>62</v>
      </c>
      <c r="T3176" s="11" t="str">
        <f>HYPERLINK("http://www.env.gov.bc.ca/esd/distdata/ecosystems/TEI_Scanned_Maps/T08/T08-2206","http://www.env.gov.bc.ca/esd/distdata/ecosystems/TEI_Scanned_Maps/T08/T08-2206")</f>
        <v>http://www.env.gov.bc.ca/esd/distdata/ecosystems/TEI_Scanned_Maps/T08/T08-2206</v>
      </c>
      <c r="U3176" t="s">
        <v>58</v>
      </c>
      <c r="V3176" t="s">
        <v>58</v>
      </c>
      <c r="W3176" t="s">
        <v>58</v>
      </c>
      <c r="X3176" t="s">
        <v>58</v>
      </c>
      <c r="Y3176" t="s">
        <v>58</v>
      </c>
      <c r="Z3176" t="s">
        <v>58</v>
      </c>
      <c r="AA3176" t="s">
        <v>58</v>
      </c>
      <c r="AC3176" t="s">
        <v>58</v>
      </c>
      <c r="AE3176" t="s">
        <v>58</v>
      </c>
      <c r="AG3176" t="s">
        <v>63</v>
      </c>
      <c r="AH3176" s="11" t="str">
        <f t="shared" si="183"/>
        <v>mailto: soilterrain@victoria1.gov.bc.ca</v>
      </c>
    </row>
    <row r="3177" spans="1:34">
      <c r="A3177" t="s">
        <v>6675</v>
      </c>
      <c r="B3177" t="s">
        <v>56</v>
      </c>
      <c r="C3177" s="10" t="s">
        <v>6676</v>
      </c>
      <c r="D3177" t="s">
        <v>61</v>
      </c>
      <c r="E3177" t="s">
        <v>6663</v>
      </c>
      <c r="F3177" t="s">
        <v>6677</v>
      </c>
      <c r="G3177">
        <v>50000</v>
      </c>
      <c r="H3177">
        <v>1972</v>
      </c>
      <c r="I3177" t="s">
        <v>6665</v>
      </c>
      <c r="J3177" t="s">
        <v>61</v>
      </c>
      <c r="K3177" t="s">
        <v>61</v>
      </c>
      <c r="L3177" t="s">
        <v>61</v>
      </c>
      <c r="M3177" t="s">
        <v>58</v>
      </c>
      <c r="Q3177" t="s">
        <v>58</v>
      </c>
      <c r="R3177" s="11" t="str">
        <f>HYPERLINK("\\imagefiles.bcgov\imagery\scanned_maps\moe_terrain_maps\Scanned_T_maps_all\T08\T08-2635","\\imagefiles.bcgov\imagery\scanned_maps\moe_terrain_maps\Scanned_T_maps_all\T08\T08-2635")</f>
        <v>\\imagefiles.bcgov\imagery\scanned_maps\moe_terrain_maps\Scanned_T_maps_all\T08\T08-2635</v>
      </c>
      <c r="S3177" t="s">
        <v>62</v>
      </c>
      <c r="T3177" s="11" t="str">
        <f>HYPERLINK("http://www.env.gov.bc.ca/esd/distdata/ecosystems/TEI_Scanned_Maps/T08/T08-2635","http://www.env.gov.bc.ca/esd/distdata/ecosystems/TEI_Scanned_Maps/T08/T08-2635")</f>
        <v>http://www.env.gov.bc.ca/esd/distdata/ecosystems/TEI_Scanned_Maps/T08/T08-2635</v>
      </c>
      <c r="U3177" t="s">
        <v>58</v>
      </c>
      <c r="V3177" t="s">
        <v>58</v>
      </c>
      <c r="W3177" t="s">
        <v>58</v>
      </c>
      <c r="X3177" t="s">
        <v>58</v>
      </c>
      <c r="Y3177" t="s">
        <v>58</v>
      </c>
      <c r="Z3177" t="s">
        <v>58</v>
      </c>
      <c r="AA3177" t="s">
        <v>58</v>
      </c>
      <c r="AC3177" t="s">
        <v>58</v>
      </c>
      <c r="AE3177" t="s">
        <v>58</v>
      </c>
      <c r="AG3177" t="s">
        <v>63</v>
      </c>
      <c r="AH3177" s="11" t="str">
        <f t="shared" si="183"/>
        <v>mailto: soilterrain@victoria1.gov.bc.ca</v>
      </c>
    </row>
    <row r="3178" spans="1:34">
      <c r="A3178" t="s">
        <v>6678</v>
      </c>
      <c r="B3178" t="s">
        <v>56</v>
      </c>
      <c r="C3178" s="10" t="s">
        <v>639</v>
      </c>
      <c r="D3178" t="s">
        <v>58</v>
      </c>
      <c r="E3178" t="s">
        <v>6679</v>
      </c>
      <c r="F3178" t="s">
        <v>6680</v>
      </c>
      <c r="G3178">
        <v>25000</v>
      </c>
      <c r="H3178">
        <v>1972</v>
      </c>
      <c r="I3178" t="s">
        <v>58</v>
      </c>
      <c r="J3178" t="s">
        <v>61</v>
      </c>
      <c r="K3178" t="s">
        <v>61</v>
      </c>
      <c r="L3178" t="s">
        <v>58</v>
      </c>
      <c r="M3178" t="s">
        <v>58</v>
      </c>
      <c r="Q3178" t="s">
        <v>58</v>
      </c>
      <c r="R3178" s="11" t="str">
        <f>HYPERLINK("\\imagefiles.bcgov\imagery\scanned_maps\moe_terrain_maps\Scanned_T_maps_all\T09\T09-1385","\\imagefiles.bcgov\imagery\scanned_maps\moe_terrain_maps\Scanned_T_maps_all\T09\T09-1385")</f>
        <v>\\imagefiles.bcgov\imagery\scanned_maps\moe_terrain_maps\Scanned_T_maps_all\T09\T09-1385</v>
      </c>
      <c r="S3178" t="s">
        <v>62</v>
      </c>
      <c r="T3178" s="11" t="str">
        <f>HYPERLINK("http://www.env.gov.bc.ca/esd/distdata/ecosystems/TEI_Scanned_Maps/T09/T09-1385","http://www.env.gov.bc.ca/esd/distdata/ecosystems/TEI_Scanned_Maps/T09/T09-1385")</f>
        <v>http://www.env.gov.bc.ca/esd/distdata/ecosystems/TEI_Scanned_Maps/T09/T09-1385</v>
      </c>
      <c r="U3178" t="s">
        <v>58</v>
      </c>
      <c r="V3178" t="s">
        <v>58</v>
      </c>
      <c r="W3178" t="s">
        <v>58</v>
      </c>
      <c r="X3178" t="s">
        <v>58</v>
      </c>
      <c r="Y3178" t="s">
        <v>58</v>
      </c>
      <c r="Z3178" t="s">
        <v>58</v>
      </c>
      <c r="AA3178" t="s">
        <v>58</v>
      </c>
      <c r="AC3178" t="s">
        <v>58</v>
      </c>
      <c r="AE3178" t="s">
        <v>58</v>
      </c>
      <c r="AG3178" t="s">
        <v>63</v>
      </c>
      <c r="AH3178" s="11" t="str">
        <f t="shared" si="183"/>
        <v>mailto: soilterrain@victoria1.gov.bc.ca</v>
      </c>
    </row>
    <row r="3179" spans="1:34">
      <c r="A3179" t="s">
        <v>6681</v>
      </c>
      <c r="B3179" t="s">
        <v>56</v>
      </c>
      <c r="C3179" s="10" t="s">
        <v>639</v>
      </c>
      <c r="D3179" t="s">
        <v>58</v>
      </c>
      <c r="E3179" t="s">
        <v>6679</v>
      </c>
      <c r="F3179" t="s">
        <v>6682</v>
      </c>
      <c r="G3179">
        <v>25000</v>
      </c>
      <c r="H3179" t="s">
        <v>187</v>
      </c>
      <c r="I3179" t="s">
        <v>58</v>
      </c>
      <c r="J3179" t="s">
        <v>61</v>
      </c>
      <c r="K3179" t="s">
        <v>58</v>
      </c>
      <c r="L3179" t="s">
        <v>58</v>
      </c>
      <c r="M3179" t="s">
        <v>58</v>
      </c>
      <c r="P3179" t="s">
        <v>61</v>
      </c>
      <c r="Q3179" t="s">
        <v>58</v>
      </c>
      <c r="R3179" s="11" t="str">
        <f>HYPERLINK("\\imagefiles.bcgov\imagery\scanned_maps\moe_terrain_maps\Scanned_T_maps_all\T09\T09-1386","\\imagefiles.bcgov\imagery\scanned_maps\moe_terrain_maps\Scanned_T_maps_all\T09\T09-1386")</f>
        <v>\\imagefiles.bcgov\imagery\scanned_maps\moe_terrain_maps\Scanned_T_maps_all\T09\T09-1386</v>
      </c>
      <c r="S3179" t="s">
        <v>62</v>
      </c>
      <c r="T3179" s="11" t="str">
        <f>HYPERLINK("http://www.env.gov.bc.ca/esd/distdata/ecosystems/TEI_Scanned_Maps/T09/T09-1386","http://www.env.gov.bc.ca/esd/distdata/ecosystems/TEI_Scanned_Maps/T09/T09-1386")</f>
        <v>http://www.env.gov.bc.ca/esd/distdata/ecosystems/TEI_Scanned_Maps/T09/T09-1386</v>
      </c>
      <c r="U3179" t="s">
        <v>58</v>
      </c>
      <c r="V3179" t="s">
        <v>58</v>
      </c>
      <c r="W3179" t="s">
        <v>58</v>
      </c>
      <c r="X3179" t="s">
        <v>58</v>
      </c>
      <c r="Y3179" t="s">
        <v>58</v>
      </c>
      <c r="Z3179" t="s">
        <v>58</v>
      </c>
      <c r="AA3179" t="s">
        <v>58</v>
      </c>
      <c r="AC3179" t="s">
        <v>58</v>
      </c>
      <c r="AE3179" t="s">
        <v>58</v>
      </c>
      <c r="AG3179" t="s">
        <v>63</v>
      </c>
      <c r="AH3179" s="11" t="str">
        <f t="shared" si="183"/>
        <v>mailto: soilterrain@victoria1.gov.bc.ca</v>
      </c>
    </row>
    <row r="3180" spans="1:34">
      <c r="A3180" t="s">
        <v>6683</v>
      </c>
      <c r="B3180" t="s">
        <v>56</v>
      </c>
      <c r="C3180" s="10" t="s">
        <v>639</v>
      </c>
      <c r="D3180" t="s">
        <v>58</v>
      </c>
      <c r="E3180" t="s">
        <v>6679</v>
      </c>
      <c r="F3180" t="s">
        <v>6684</v>
      </c>
      <c r="G3180">
        <v>25000</v>
      </c>
      <c r="H3180">
        <v>1972</v>
      </c>
      <c r="I3180" t="s">
        <v>58</v>
      </c>
      <c r="J3180" t="s">
        <v>61</v>
      </c>
      <c r="K3180" t="s">
        <v>58</v>
      </c>
      <c r="L3180" t="s">
        <v>58</v>
      </c>
      <c r="M3180" t="s">
        <v>58</v>
      </c>
      <c r="P3180" t="s">
        <v>61</v>
      </c>
      <c r="Q3180" t="s">
        <v>58</v>
      </c>
      <c r="R3180" s="11" t="str">
        <f>HYPERLINK("\\imagefiles.bcgov\imagery\scanned_maps\moe_terrain_maps\Scanned_T_maps_all\T09\T09-1388","\\imagefiles.bcgov\imagery\scanned_maps\moe_terrain_maps\Scanned_T_maps_all\T09\T09-1388")</f>
        <v>\\imagefiles.bcgov\imagery\scanned_maps\moe_terrain_maps\Scanned_T_maps_all\T09\T09-1388</v>
      </c>
      <c r="S3180" t="s">
        <v>62</v>
      </c>
      <c r="T3180" s="11" t="str">
        <f>HYPERLINK("http://www.env.gov.bc.ca/esd/distdata/ecosystems/TEI_Scanned_Maps/T09/T09-1388","http://www.env.gov.bc.ca/esd/distdata/ecosystems/TEI_Scanned_Maps/T09/T09-1388")</f>
        <v>http://www.env.gov.bc.ca/esd/distdata/ecosystems/TEI_Scanned_Maps/T09/T09-1388</v>
      </c>
      <c r="U3180" t="s">
        <v>58</v>
      </c>
      <c r="V3180" t="s">
        <v>58</v>
      </c>
      <c r="W3180" t="s">
        <v>58</v>
      </c>
      <c r="X3180" t="s">
        <v>58</v>
      </c>
      <c r="Y3180" t="s">
        <v>58</v>
      </c>
      <c r="Z3180" t="s">
        <v>58</v>
      </c>
      <c r="AA3180" t="s">
        <v>58</v>
      </c>
      <c r="AC3180" t="s">
        <v>58</v>
      </c>
      <c r="AE3180" t="s">
        <v>58</v>
      </c>
      <c r="AG3180" t="s">
        <v>63</v>
      </c>
      <c r="AH3180" s="11" t="str">
        <f t="shared" si="183"/>
        <v>mailto: soilterrain@victoria1.gov.bc.ca</v>
      </c>
    </row>
    <row r="3181" spans="1:34">
      <c r="A3181" t="s">
        <v>6685</v>
      </c>
      <c r="B3181" t="s">
        <v>56</v>
      </c>
      <c r="C3181" s="10" t="s">
        <v>639</v>
      </c>
      <c r="D3181" t="s">
        <v>58</v>
      </c>
      <c r="E3181" t="s">
        <v>6679</v>
      </c>
      <c r="F3181" t="s">
        <v>6686</v>
      </c>
      <c r="G3181">
        <v>12500</v>
      </c>
      <c r="H3181">
        <v>1983</v>
      </c>
      <c r="I3181" t="s">
        <v>58</v>
      </c>
      <c r="J3181" t="s">
        <v>61</v>
      </c>
      <c r="K3181" t="s">
        <v>58</v>
      </c>
      <c r="L3181" t="s">
        <v>58</v>
      </c>
      <c r="M3181" t="s">
        <v>58</v>
      </c>
      <c r="P3181" t="s">
        <v>61</v>
      </c>
      <c r="Q3181" t="s">
        <v>132</v>
      </c>
      <c r="R3181" s="11" t="str">
        <f>HYPERLINK("\\imagefiles.bcgov\imagery\scanned_maps\moe_terrain_maps\Scanned_T_maps_all\T09\T09-1390","\\imagefiles.bcgov\imagery\scanned_maps\moe_terrain_maps\Scanned_T_maps_all\T09\T09-1390")</f>
        <v>\\imagefiles.bcgov\imagery\scanned_maps\moe_terrain_maps\Scanned_T_maps_all\T09\T09-1390</v>
      </c>
      <c r="S3181" t="s">
        <v>62</v>
      </c>
      <c r="T3181" s="11" t="str">
        <f>HYPERLINK("http://www.env.gov.bc.ca/esd/distdata/ecosystems/TEI_Scanned_Maps/T09/T09-1390","http://www.env.gov.bc.ca/esd/distdata/ecosystems/TEI_Scanned_Maps/T09/T09-1390")</f>
        <v>http://www.env.gov.bc.ca/esd/distdata/ecosystems/TEI_Scanned_Maps/T09/T09-1390</v>
      </c>
      <c r="U3181" t="s">
        <v>58</v>
      </c>
      <c r="V3181" t="s">
        <v>58</v>
      </c>
      <c r="W3181" t="s">
        <v>58</v>
      </c>
      <c r="X3181" t="s">
        <v>58</v>
      </c>
      <c r="Y3181" t="s">
        <v>58</v>
      </c>
      <c r="Z3181" t="s">
        <v>58</v>
      </c>
      <c r="AA3181" t="s">
        <v>58</v>
      </c>
      <c r="AC3181" t="s">
        <v>58</v>
      </c>
      <c r="AE3181" t="s">
        <v>58</v>
      </c>
      <c r="AG3181" t="s">
        <v>63</v>
      </c>
      <c r="AH3181" s="11" t="str">
        <f t="shared" si="183"/>
        <v>mailto: soilterrain@victoria1.gov.bc.ca</v>
      </c>
    </row>
    <row r="3182" spans="1:34">
      <c r="A3182" t="s">
        <v>6687</v>
      </c>
      <c r="B3182" t="s">
        <v>56</v>
      </c>
      <c r="C3182" s="10" t="s">
        <v>639</v>
      </c>
      <c r="D3182" t="s">
        <v>58</v>
      </c>
      <c r="E3182" t="s">
        <v>6679</v>
      </c>
      <c r="F3182" t="s">
        <v>6688</v>
      </c>
      <c r="G3182">
        <v>25000</v>
      </c>
      <c r="H3182" t="s">
        <v>187</v>
      </c>
      <c r="I3182" t="s">
        <v>58</v>
      </c>
      <c r="J3182" t="s">
        <v>61</v>
      </c>
      <c r="K3182" t="s">
        <v>58</v>
      </c>
      <c r="L3182" t="s">
        <v>58</v>
      </c>
      <c r="M3182" t="s">
        <v>58</v>
      </c>
      <c r="P3182" t="s">
        <v>61</v>
      </c>
      <c r="Q3182" t="s">
        <v>58</v>
      </c>
      <c r="R3182" s="11" t="str">
        <f>HYPERLINK("\\imagefiles.bcgov\imagery\scanned_maps\moe_terrain_maps\Scanned_T_maps_all\T09\T09-4541","\\imagefiles.bcgov\imagery\scanned_maps\moe_terrain_maps\Scanned_T_maps_all\T09\T09-4541")</f>
        <v>\\imagefiles.bcgov\imagery\scanned_maps\moe_terrain_maps\Scanned_T_maps_all\T09\T09-4541</v>
      </c>
      <c r="S3182" t="s">
        <v>62</v>
      </c>
      <c r="T3182" s="11" t="str">
        <f>HYPERLINK("http://www.env.gov.bc.ca/esd/distdata/ecosystems/TEI_Scanned_Maps/T09/T09-4541","http://www.env.gov.bc.ca/esd/distdata/ecosystems/TEI_Scanned_Maps/T09/T09-4541")</f>
        <v>http://www.env.gov.bc.ca/esd/distdata/ecosystems/TEI_Scanned_Maps/T09/T09-4541</v>
      </c>
      <c r="U3182" t="s">
        <v>58</v>
      </c>
      <c r="V3182" t="s">
        <v>58</v>
      </c>
      <c r="W3182" t="s">
        <v>58</v>
      </c>
      <c r="X3182" t="s">
        <v>58</v>
      </c>
      <c r="Y3182" t="s">
        <v>58</v>
      </c>
      <c r="Z3182" t="s">
        <v>58</v>
      </c>
      <c r="AA3182" t="s">
        <v>58</v>
      </c>
      <c r="AC3182" t="s">
        <v>58</v>
      </c>
      <c r="AE3182" t="s">
        <v>58</v>
      </c>
      <c r="AG3182" t="s">
        <v>63</v>
      </c>
      <c r="AH3182" s="11" t="str">
        <f t="shared" si="183"/>
        <v>mailto: soilterrain@victoria1.gov.bc.ca</v>
      </c>
    </row>
    <row r="3183" spans="1:34">
      <c r="A3183" t="s">
        <v>6689</v>
      </c>
      <c r="B3183" t="s">
        <v>56</v>
      </c>
      <c r="C3183" s="10" t="s">
        <v>639</v>
      </c>
      <c r="D3183" t="s">
        <v>58</v>
      </c>
      <c r="E3183" t="s">
        <v>6690</v>
      </c>
      <c r="F3183" t="s">
        <v>6691</v>
      </c>
      <c r="G3183">
        <v>12500</v>
      </c>
      <c r="H3183" t="s">
        <v>187</v>
      </c>
      <c r="I3183" t="s">
        <v>6692</v>
      </c>
      <c r="J3183" t="s">
        <v>61</v>
      </c>
      <c r="K3183" t="s">
        <v>58</v>
      </c>
      <c r="L3183" t="s">
        <v>58</v>
      </c>
      <c r="M3183" t="s">
        <v>58</v>
      </c>
      <c r="P3183" t="s">
        <v>61</v>
      </c>
      <c r="Q3183" t="s">
        <v>132</v>
      </c>
      <c r="R3183" s="11" t="str">
        <f>HYPERLINK("\\imagefiles.bcgov\imagery\scanned_maps\moe_terrain_maps\Scanned_T_maps_all\T09\T09-4543","\\imagefiles.bcgov\imagery\scanned_maps\moe_terrain_maps\Scanned_T_maps_all\T09\T09-4543")</f>
        <v>\\imagefiles.bcgov\imagery\scanned_maps\moe_terrain_maps\Scanned_T_maps_all\T09\T09-4543</v>
      </c>
      <c r="S3183" t="s">
        <v>62</v>
      </c>
      <c r="T3183" s="11" t="str">
        <f>HYPERLINK("http://www.env.gov.bc.ca/esd/distdata/ecosystems/TEI_Scanned_Maps/T09/T09-4543","http://www.env.gov.bc.ca/esd/distdata/ecosystems/TEI_Scanned_Maps/T09/T09-4543")</f>
        <v>http://www.env.gov.bc.ca/esd/distdata/ecosystems/TEI_Scanned_Maps/T09/T09-4543</v>
      </c>
      <c r="U3183" t="s">
        <v>269</v>
      </c>
      <c r="V3183" s="11" t="str">
        <f>HYPERLINK("http://www.library.for.gov.bc.ca/#focus","http://www.library.for.gov.bc.ca/#focus")</f>
        <v>http://www.library.for.gov.bc.ca/#focus</v>
      </c>
      <c r="W3183" t="s">
        <v>58</v>
      </c>
      <c r="X3183" t="s">
        <v>58</v>
      </c>
      <c r="Y3183" t="s">
        <v>58</v>
      </c>
      <c r="Z3183" t="s">
        <v>58</v>
      </c>
      <c r="AA3183" t="s">
        <v>58</v>
      </c>
      <c r="AC3183" t="s">
        <v>58</v>
      </c>
      <c r="AE3183" t="s">
        <v>58</v>
      </c>
      <c r="AG3183" t="s">
        <v>63</v>
      </c>
      <c r="AH3183" s="11" t="str">
        <f t="shared" si="183"/>
        <v>mailto: soilterrain@victoria1.gov.bc.ca</v>
      </c>
    </row>
    <row r="3184" spans="1:34">
      <c r="A3184" t="s">
        <v>6693</v>
      </c>
      <c r="B3184" t="s">
        <v>56</v>
      </c>
      <c r="C3184" s="10" t="s">
        <v>639</v>
      </c>
      <c r="D3184" t="s">
        <v>58</v>
      </c>
      <c r="E3184" t="s">
        <v>6690</v>
      </c>
      <c r="F3184" t="s">
        <v>6694</v>
      </c>
      <c r="G3184">
        <v>12500</v>
      </c>
      <c r="H3184" t="s">
        <v>187</v>
      </c>
      <c r="I3184" t="s">
        <v>6692</v>
      </c>
      <c r="J3184" t="s">
        <v>61</v>
      </c>
      <c r="K3184" t="s">
        <v>61</v>
      </c>
      <c r="L3184" t="s">
        <v>58</v>
      </c>
      <c r="M3184" t="s">
        <v>58</v>
      </c>
      <c r="Q3184" t="s">
        <v>132</v>
      </c>
      <c r="R3184" s="11" t="str">
        <f>HYPERLINK("\\imagefiles.bcgov\imagery\scanned_maps\moe_terrain_maps\Scanned_T_maps_all\T09\T09-5114","\\imagefiles.bcgov\imagery\scanned_maps\moe_terrain_maps\Scanned_T_maps_all\T09\T09-5114")</f>
        <v>\\imagefiles.bcgov\imagery\scanned_maps\moe_terrain_maps\Scanned_T_maps_all\T09\T09-5114</v>
      </c>
      <c r="S3184" t="s">
        <v>62</v>
      </c>
      <c r="T3184" s="11" t="str">
        <f>HYPERLINK("http://www.env.gov.bc.ca/esd/distdata/ecosystems/TEI_Scanned_Maps/T09/T09-5114","http://www.env.gov.bc.ca/esd/distdata/ecosystems/TEI_Scanned_Maps/T09/T09-5114")</f>
        <v>http://www.env.gov.bc.ca/esd/distdata/ecosystems/TEI_Scanned_Maps/T09/T09-5114</v>
      </c>
      <c r="U3184" t="s">
        <v>269</v>
      </c>
      <c r="V3184" s="11" t="str">
        <f>HYPERLINK("http://www.library.for.gov.bc.ca/#focus","http://www.library.for.gov.bc.ca/#focus")</f>
        <v>http://www.library.for.gov.bc.ca/#focus</v>
      </c>
      <c r="W3184" t="s">
        <v>58</v>
      </c>
      <c r="X3184" t="s">
        <v>58</v>
      </c>
      <c r="Y3184" t="s">
        <v>58</v>
      </c>
      <c r="Z3184" t="s">
        <v>58</v>
      </c>
      <c r="AA3184" t="s">
        <v>58</v>
      </c>
      <c r="AC3184" t="s">
        <v>58</v>
      </c>
      <c r="AE3184" t="s">
        <v>58</v>
      </c>
      <c r="AG3184" t="s">
        <v>63</v>
      </c>
      <c r="AH3184" s="11" t="str">
        <f t="shared" si="183"/>
        <v>mailto: soilterrain@victoria1.gov.bc.ca</v>
      </c>
    </row>
    <row r="3185" spans="1:34">
      <c r="A3185" t="s">
        <v>6695</v>
      </c>
      <c r="B3185" t="s">
        <v>56</v>
      </c>
      <c r="C3185" s="10" t="s">
        <v>1379</v>
      </c>
      <c r="D3185" t="s">
        <v>58</v>
      </c>
      <c r="E3185" t="s">
        <v>6696</v>
      </c>
      <c r="F3185" t="s">
        <v>6697</v>
      </c>
      <c r="G3185">
        <v>50000</v>
      </c>
      <c r="H3185">
        <v>1983</v>
      </c>
      <c r="I3185" t="s">
        <v>58</v>
      </c>
      <c r="J3185" t="s">
        <v>61</v>
      </c>
      <c r="K3185" t="s">
        <v>58</v>
      </c>
      <c r="L3185" t="s">
        <v>58</v>
      </c>
      <c r="M3185" t="s">
        <v>58</v>
      </c>
      <c r="O3185" t="s">
        <v>61</v>
      </c>
      <c r="Q3185" t="s">
        <v>58</v>
      </c>
      <c r="R3185" s="11" t="str">
        <f>HYPERLINK("\\imagefiles.bcgov\imagery\scanned_maps\moe_terrain_maps\Scanned_T_maps_all\T11\T11-1998","\\imagefiles.bcgov\imagery\scanned_maps\moe_terrain_maps\Scanned_T_maps_all\T11\T11-1998")</f>
        <v>\\imagefiles.bcgov\imagery\scanned_maps\moe_terrain_maps\Scanned_T_maps_all\T11\T11-1998</v>
      </c>
      <c r="S3185" t="s">
        <v>62</v>
      </c>
      <c r="T3185" s="11" t="str">
        <f>HYPERLINK("http://www.env.gov.bc.ca/esd/distdata/ecosystems/TEI_Scanned_Maps/T11/T11-1998","http://www.env.gov.bc.ca/esd/distdata/ecosystems/TEI_Scanned_Maps/T11/T11-1998")</f>
        <v>http://www.env.gov.bc.ca/esd/distdata/ecosystems/TEI_Scanned_Maps/T11/T11-1998</v>
      </c>
      <c r="U3185" t="s">
        <v>58</v>
      </c>
      <c r="V3185" t="s">
        <v>58</v>
      </c>
      <c r="W3185" t="s">
        <v>58</v>
      </c>
      <c r="X3185" t="s">
        <v>58</v>
      </c>
      <c r="Y3185" t="s">
        <v>58</v>
      </c>
      <c r="Z3185" t="s">
        <v>58</v>
      </c>
      <c r="AA3185" t="s">
        <v>58</v>
      </c>
      <c r="AC3185" t="s">
        <v>58</v>
      </c>
      <c r="AE3185" t="s">
        <v>58</v>
      </c>
      <c r="AG3185" t="s">
        <v>63</v>
      </c>
      <c r="AH3185" s="11" t="str">
        <f t="shared" si="183"/>
        <v>mailto: soilterrain@victoria1.gov.bc.ca</v>
      </c>
    </row>
    <row r="3186" spans="1:34">
      <c r="A3186" t="s">
        <v>6698</v>
      </c>
      <c r="B3186" t="s">
        <v>56</v>
      </c>
      <c r="C3186" s="10" t="s">
        <v>1379</v>
      </c>
      <c r="D3186" t="s">
        <v>58</v>
      </c>
      <c r="E3186" t="s">
        <v>6696</v>
      </c>
      <c r="F3186" t="s">
        <v>6699</v>
      </c>
      <c r="G3186">
        <v>50000</v>
      </c>
      <c r="H3186">
        <v>1971</v>
      </c>
      <c r="I3186" t="s">
        <v>58</v>
      </c>
      <c r="J3186" t="s">
        <v>61</v>
      </c>
      <c r="K3186" t="s">
        <v>58</v>
      </c>
      <c r="L3186" t="s">
        <v>58</v>
      </c>
      <c r="M3186" t="s">
        <v>58</v>
      </c>
      <c r="O3186" t="s">
        <v>61</v>
      </c>
      <c r="Q3186" t="s">
        <v>58</v>
      </c>
      <c r="R3186" s="11" t="str">
        <f>HYPERLINK("\\imagefiles.bcgov\imagery\scanned_maps\moe_terrain_maps\Scanned_T_maps_all\T11\T11-1999","\\imagefiles.bcgov\imagery\scanned_maps\moe_terrain_maps\Scanned_T_maps_all\T11\T11-1999")</f>
        <v>\\imagefiles.bcgov\imagery\scanned_maps\moe_terrain_maps\Scanned_T_maps_all\T11\T11-1999</v>
      </c>
      <c r="S3186" t="s">
        <v>62</v>
      </c>
      <c r="T3186" s="11" t="str">
        <f>HYPERLINK("http://www.env.gov.bc.ca/esd/distdata/ecosystems/TEI_Scanned_Maps/T11/T11-1999","http://www.env.gov.bc.ca/esd/distdata/ecosystems/TEI_Scanned_Maps/T11/T11-1999")</f>
        <v>http://www.env.gov.bc.ca/esd/distdata/ecosystems/TEI_Scanned_Maps/T11/T11-1999</v>
      </c>
      <c r="U3186" t="s">
        <v>58</v>
      </c>
      <c r="V3186" t="s">
        <v>58</v>
      </c>
      <c r="W3186" t="s">
        <v>58</v>
      </c>
      <c r="X3186" t="s">
        <v>58</v>
      </c>
      <c r="Y3186" t="s">
        <v>58</v>
      </c>
      <c r="Z3186" t="s">
        <v>58</v>
      </c>
      <c r="AA3186" t="s">
        <v>58</v>
      </c>
      <c r="AC3186" t="s">
        <v>58</v>
      </c>
      <c r="AE3186" t="s">
        <v>58</v>
      </c>
      <c r="AG3186" t="s">
        <v>63</v>
      </c>
      <c r="AH3186" s="11" t="str">
        <f t="shared" si="183"/>
        <v>mailto: soilterrain@victoria1.gov.bc.ca</v>
      </c>
    </row>
    <row r="3187" spans="1:34">
      <c r="A3187" t="s">
        <v>6700</v>
      </c>
      <c r="B3187" t="s">
        <v>56</v>
      </c>
      <c r="C3187" s="10" t="s">
        <v>1379</v>
      </c>
      <c r="D3187" t="s">
        <v>58</v>
      </c>
      <c r="E3187" t="s">
        <v>6696</v>
      </c>
      <c r="F3187" t="s">
        <v>6701</v>
      </c>
      <c r="G3187">
        <v>50000</v>
      </c>
      <c r="H3187">
        <v>1970</v>
      </c>
      <c r="I3187" t="s">
        <v>58</v>
      </c>
      <c r="J3187" t="s">
        <v>61</v>
      </c>
      <c r="K3187" t="s">
        <v>58</v>
      </c>
      <c r="L3187" t="s">
        <v>58</v>
      </c>
      <c r="M3187" t="s">
        <v>58</v>
      </c>
      <c r="N3187" t="s">
        <v>61</v>
      </c>
      <c r="Q3187" t="s">
        <v>58</v>
      </c>
      <c r="R3187" s="11" t="str">
        <f>HYPERLINK("\\imagefiles.bcgov\imagery\scanned_maps\moe_terrain_maps\Scanned_T_maps_all\T11\T11-2004","\\imagefiles.bcgov\imagery\scanned_maps\moe_terrain_maps\Scanned_T_maps_all\T11\T11-2004")</f>
        <v>\\imagefiles.bcgov\imagery\scanned_maps\moe_terrain_maps\Scanned_T_maps_all\T11\T11-2004</v>
      </c>
      <c r="S3187" t="s">
        <v>62</v>
      </c>
      <c r="T3187" s="11" t="str">
        <f>HYPERLINK("http://www.env.gov.bc.ca/esd/distdata/ecosystems/TEI_Scanned_Maps/T11/T11-2004","http://www.env.gov.bc.ca/esd/distdata/ecosystems/TEI_Scanned_Maps/T11/T11-2004")</f>
        <v>http://www.env.gov.bc.ca/esd/distdata/ecosystems/TEI_Scanned_Maps/T11/T11-2004</v>
      </c>
      <c r="U3187" t="s">
        <v>58</v>
      </c>
      <c r="V3187" t="s">
        <v>58</v>
      </c>
      <c r="W3187" t="s">
        <v>58</v>
      </c>
      <c r="X3187" t="s">
        <v>58</v>
      </c>
      <c r="Y3187" t="s">
        <v>58</v>
      </c>
      <c r="Z3187" t="s">
        <v>58</v>
      </c>
      <c r="AA3187" t="s">
        <v>58</v>
      </c>
      <c r="AC3187" t="s">
        <v>58</v>
      </c>
      <c r="AE3187" t="s">
        <v>58</v>
      </c>
      <c r="AG3187" t="s">
        <v>63</v>
      </c>
      <c r="AH3187" s="11" t="str">
        <f t="shared" si="183"/>
        <v>mailto: soilterrain@victoria1.gov.bc.ca</v>
      </c>
    </row>
    <row r="3188" spans="1:34">
      <c r="A3188" t="s">
        <v>6702</v>
      </c>
      <c r="B3188" t="s">
        <v>56</v>
      </c>
      <c r="C3188" s="10" t="s">
        <v>1379</v>
      </c>
      <c r="D3188" t="s">
        <v>58</v>
      </c>
      <c r="E3188" t="s">
        <v>6696</v>
      </c>
      <c r="F3188" t="s">
        <v>6703</v>
      </c>
      <c r="G3188">
        <v>50000</v>
      </c>
      <c r="H3188">
        <v>1971</v>
      </c>
      <c r="I3188" t="s">
        <v>58</v>
      </c>
      <c r="J3188" t="s">
        <v>61</v>
      </c>
      <c r="K3188" t="s">
        <v>61</v>
      </c>
      <c r="L3188" t="s">
        <v>58</v>
      </c>
      <c r="M3188" t="s">
        <v>58</v>
      </c>
      <c r="Q3188" t="s">
        <v>58</v>
      </c>
      <c r="R3188" s="11" t="str">
        <f>HYPERLINK("\\imagefiles.bcgov\imagery\scanned_maps\moe_terrain_maps\Scanned_T_maps_all\T11\T11-2005","\\imagefiles.bcgov\imagery\scanned_maps\moe_terrain_maps\Scanned_T_maps_all\T11\T11-2005")</f>
        <v>\\imagefiles.bcgov\imagery\scanned_maps\moe_terrain_maps\Scanned_T_maps_all\T11\T11-2005</v>
      </c>
      <c r="S3188" t="s">
        <v>62</v>
      </c>
      <c r="T3188" s="11" t="str">
        <f>HYPERLINK("http://www.env.gov.bc.ca/esd/distdata/ecosystems/TEI_Scanned_Maps/T11/T11-2005","http://www.env.gov.bc.ca/esd/distdata/ecosystems/TEI_Scanned_Maps/T11/T11-2005")</f>
        <v>http://www.env.gov.bc.ca/esd/distdata/ecosystems/TEI_Scanned_Maps/T11/T11-2005</v>
      </c>
      <c r="U3188" t="s">
        <v>58</v>
      </c>
      <c r="V3188" t="s">
        <v>58</v>
      </c>
      <c r="W3188" t="s">
        <v>58</v>
      </c>
      <c r="X3188" t="s">
        <v>58</v>
      </c>
      <c r="Y3188" t="s">
        <v>58</v>
      </c>
      <c r="Z3188" t="s">
        <v>58</v>
      </c>
      <c r="AA3188" t="s">
        <v>58</v>
      </c>
      <c r="AC3188" t="s">
        <v>58</v>
      </c>
      <c r="AE3188" t="s">
        <v>58</v>
      </c>
      <c r="AG3188" t="s">
        <v>63</v>
      </c>
      <c r="AH3188" s="11" t="str">
        <f t="shared" si="183"/>
        <v>mailto: soilterrain@victoria1.gov.bc.ca</v>
      </c>
    </row>
    <row r="3189" spans="1:34">
      <c r="A3189" t="s">
        <v>6704</v>
      </c>
      <c r="B3189" t="s">
        <v>56</v>
      </c>
      <c r="C3189" s="10" t="s">
        <v>1952</v>
      </c>
      <c r="D3189" t="s">
        <v>58</v>
      </c>
      <c r="E3189" t="s">
        <v>6705</v>
      </c>
      <c r="F3189" t="s">
        <v>6706</v>
      </c>
      <c r="G3189">
        <v>125000</v>
      </c>
      <c r="H3189">
        <v>1970</v>
      </c>
      <c r="I3189" t="s">
        <v>58</v>
      </c>
      <c r="J3189" t="s">
        <v>61</v>
      </c>
      <c r="K3189" t="s">
        <v>58</v>
      </c>
      <c r="L3189" t="s">
        <v>58</v>
      </c>
      <c r="M3189" t="s">
        <v>58</v>
      </c>
      <c r="P3189" t="s">
        <v>61</v>
      </c>
      <c r="Q3189" t="s">
        <v>58</v>
      </c>
      <c r="R3189" s="11" t="str">
        <f>HYPERLINK("\\imagefiles.bcgov\imagery\scanned_maps\moe_terrain_maps\Scanned_T_maps_all\T13\T13-2218","\\imagefiles.bcgov\imagery\scanned_maps\moe_terrain_maps\Scanned_T_maps_all\T13\T13-2218")</f>
        <v>\\imagefiles.bcgov\imagery\scanned_maps\moe_terrain_maps\Scanned_T_maps_all\T13\T13-2218</v>
      </c>
      <c r="S3189" t="s">
        <v>62</v>
      </c>
      <c r="T3189" s="11" t="str">
        <f>HYPERLINK("http://www.env.gov.bc.ca/esd/distdata/ecosystems/TEI_Scanned_Maps/T13/T13-2218","http://www.env.gov.bc.ca/esd/distdata/ecosystems/TEI_Scanned_Maps/T13/T13-2218")</f>
        <v>http://www.env.gov.bc.ca/esd/distdata/ecosystems/TEI_Scanned_Maps/T13/T13-2218</v>
      </c>
      <c r="U3189" t="s">
        <v>58</v>
      </c>
      <c r="V3189" t="s">
        <v>58</v>
      </c>
      <c r="W3189" t="s">
        <v>58</v>
      </c>
      <c r="X3189" t="s">
        <v>58</v>
      </c>
      <c r="Y3189" t="s">
        <v>58</v>
      </c>
      <c r="Z3189" t="s">
        <v>58</v>
      </c>
      <c r="AA3189" t="s">
        <v>58</v>
      </c>
      <c r="AC3189" t="s">
        <v>58</v>
      </c>
      <c r="AE3189" t="s">
        <v>58</v>
      </c>
      <c r="AG3189" t="s">
        <v>63</v>
      </c>
      <c r="AH3189" s="11" t="str">
        <f t="shared" si="183"/>
        <v>mailto: soilterrain@victoria1.gov.bc.ca</v>
      </c>
    </row>
    <row r="3190" spans="1:34">
      <c r="A3190" t="s">
        <v>6707</v>
      </c>
      <c r="B3190" t="s">
        <v>56</v>
      </c>
      <c r="C3190" s="10" t="s">
        <v>1952</v>
      </c>
      <c r="D3190" t="s">
        <v>58</v>
      </c>
      <c r="E3190" t="s">
        <v>6705</v>
      </c>
      <c r="F3190" t="s">
        <v>6708</v>
      </c>
      <c r="G3190">
        <v>125000</v>
      </c>
      <c r="H3190">
        <v>1971</v>
      </c>
      <c r="I3190" t="s">
        <v>58</v>
      </c>
      <c r="J3190" t="s">
        <v>61</v>
      </c>
      <c r="K3190" t="s">
        <v>58</v>
      </c>
      <c r="L3190" t="s">
        <v>58</v>
      </c>
      <c r="M3190" t="s">
        <v>58</v>
      </c>
      <c r="P3190" t="s">
        <v>61</v>
      </c>
      <c r="Q3190" t="s">
        <v>58</v>
      </c>
      <c r="R3190" s="11" t="str">
        <f>HYPERLINK("\\imagefiles.bcgov\imagery\scanned_maps\moe_terrain_maps\Scanned_T_maps_all\T13\T13-2219","\\imagefiles.bcgov\imagery\scanned_maps\moe_terrain_maps\Scanned_T_maps_all\T13\T13-2219")</f>
        <v>\\imagefiles.bcgov\imagery\scanned_maps\moe_terrain_maps\Scanned_T_maps_all\T13\T13-2219</v>
      </c>
      <c r="S3190" t="s">
        <v>62</v>
      </c>
      <c r="T3190" s="11" t="str">
        <f>HYPERLINK("http://www.env.gov.bc.ca/esd/distdata/ecosystems/TEI_Scanned_Maps/T13/T13-2219","http://www.env.gov.bc.ca/esd/distdata/ecosystems/TEI_Scanned_Maps/T13/T13-2219")</f>
        <v>http://www.env.gov.bc.ca/esd/distdata/ecosystems/TEI_Scanned_Maps/T13/T13-2219</v>
      </c>
      <c r="U3190" t="s">
        <v>58</v>
      </c>
      <c r="V3190" t="s">
        <v>58</v>
      </c>
      <c r="W3190" t="s">
        <v>58</v>
      </c>
      <c r="X3190" t="s">
        <v>58</v>
      </c>
      <c r="Y3190" t="s">
        <v>58</v>
      </c>
      <c r="Z3190" t="s">
        <v>58</v>
      </c>
      <c r="AA3190" t="s">
        <v>58</v>
      </c>
      <c r="AC3190" t="s">
        <v>58</v>
      </c>
      <c r="AE3190" t="s">
        <v>58</v>
      </c>
      <c r="AG3190" t="s">
        <v>63</v>
      </c>
      <c r="AH3190" s="11" t="str">
        <f t="shared" si="183"/>
        <v>mailto: soilterrain@victoria1.gov.bc.ca</v>
      </c>
    </row>
    <row r="3191" spans="1:34">
      <c r="A3191" t="s">
        <v>6709</v>
      </c>
      <c r="B3191" t="s">
        <v>56</v>
      </c>
      <c r="C3191" s="10" t="s">
        <v>1952</v>
      </c>
      <c r="D3191" t="s">
        <v>58</v>
      </c>
      <c r="E3191" t="s">
        <v>6705</v>
      </c>
      <c r="F3191" t="s">
        <v>6710</v>
      </c>
      <c r="G3191">
        <v>125000</v>
      </c>
      <c r="H3191">
        <v>1970</v>
      </c>
      <c r="I3191" t="s">
        <v>58</v>
      </c>
      <c r="J3191" t="s">
        <v>61</v>
      </c>
      <c r="K3191" t="s">
        <v>58</v>
      </c>
      <c r="L3191" t="s">
        <v>58</v>
      </c>
      <c r="M3191" t="s">
        <v>58</v>
      </c>
      <c r="P3191" t="s">
        <v>61</v>
      </c>
      <c r="Q3191" t="s">
        <v>58</v>
      </c>
      <c r="R3191" s="11" t="str">
        <f>HYPERLINK("\\imagefiles.bcgov\imagery\scanned_maps\moe_terrain_maps\Scanned_T_maps_all\T13\T13-2220","\\imagefiles.bcgov\imagery\scanned_maps\moe_terrain_maps\Scanned_T_maps_all\T13\T13-2220")</f>
        <v>\\imagefiles.bcgov\imagery\scanned_maps\moe_terrain_maps\Scanned_T_maps_all\T13\T13-2220</v>
      </c>
      <c r="S3191" t="s">
        <v>62</v>
      </c>
      <c r="T3191" s="11" t="str">
        <f>HYPERLINK("http://www.env.gov.bc.ca/esd/distdata/ecosystems/TEI_Scanned_Maps/T13/T13-2220","http://www.env.gov.bc.ca/esd/distdata/ecosystems/TEI_Scanned_Maps/T13/T13-2220")</f>
        <v>http://www.env.gov.bc.ca/esd/distdata/ecosystems/TEI_Scanned_Maps/T13/T13-2220</v>
      </c>
      <c r="U3191" t="s">
        <v>58</v>
      </c>
      <c r="V3191" t="s">
        <v>58</v>
      </c>
      <c r="W3191" t="s">
        <v>58</v>
      </c>
      <c r="X3191" t="s">
        <v>58</v>
      </c>
      <c r="Y3191" t="s">
        <v>58</v>
      </c>
      <c r="Z3191" t="s">
        <v>58</v>
      </c>
      <c r="AA3191" t="s">
        <v>58</v>
      </c>
      <c r="AC3191" t="s">
        <v>58</v>
      </c>
      <c r="AE3191" t="s">
        <v>58</v>
      </c>
      <c r="AG3191" t="s">
        <v>63</v>
      </c>
      <c r="AH3191" s="11" t="str">
        <f t="shared" si="183"/>
        <v>mailto: soilterrain@victoria1.gov.bc.ca</v>
      </c>
    </row>
    <row r="3192" spans="1:34">
      <c r="A3192" t="s">
        <v>6711</v>
      </c>
      <c r="B3192" t="s">
        <v>56</v>
      </c>
      <c r="C3192" s="10" t="s">
        <v>1952</v>
      </c>
      <c r="D3192" t="s">
        <v>61</v>
      </c>
      <c r="E3192" t="s">
        <v>6705</v>
      </c>
      <c r="F3192" t="s">
        <v>6712</v>
      </c>
      <c r="G3192">
        <v>125000</v>
      </c>
      <c r="H3192">
        <v>1974</v>
      </c>
      <c r="I3192" t="s">
        <v>58</v>
      </c>
      <c r="J3192" t="s">
        <v>61</v>
      </c>
      <c r="K3192" t="s">
        <v>58</v>
      </c>
      <c r="L3192" t="s">
        <v>58</v>
      </c>
      <c r="M3192" t="s">
        <v>58</v>
      </c>
      <c r="P3192" t="s">
        <v>61</v>
      </c>
      <c r="Q3192" t="s">
        <v>58</v>
      </c>
      <c r="R3192" s="11" t="str">
        <f>HYPERLINK("\\imagefiles.bcgov\imagery\scanned_maps\moe_terrain_maps\Scanned_T_maps_all\T13\T13-2221","\\imagefiles.bcgov\imagery\scanned_maps\moe_terrain_maps\Scanned_T_maps_all\T13\T13-2221")</f>
        <v>\\imagefiles.bcgov\imagery\scanned_maps\moe_terrain_maps\Scanned_T_maps_all\T13\T13-2221</v>
      </c>
      <c r="S3192" t="s">
        <v>62</v>
      </c>
      <c r="T3192" s="11" t="str">
        <f>HYPERLINK("http://www.env.gov.bc.ca/esd/distdata/ecosystems/TEI_Scanned_Maps/T13/T13-2221","http://www.env.gov.bc.ca/esd/distdata/ecosystems/TEI_Scanned_Maps/T13/T13-2221")</f>
        <v>http://www.env.gov.bc.ca/esd/distdata/ecosystems/TEI_Scanned_Maps/T13/T13-2221</v>
      </c>
      <c r="U3192" t="s">
        <v>58</v>
      </c>
      <c r="V3192" t="s">
        <v>58</v>
      </c>
      <c r="W3192" t="s">
        <v>58</v>
      </c>
      <c r="X3192" t="s">
        <v>58</v>
      </c>
      <c r="Y3192" t="s">
        <v>58</v>
      </c>
      <c r="Z3192" t="s">
        <v>58</v>
      </c>
      <c r="AA3192" t="s">
        <v>58</v>
      </c>
      <c r="AC3192" t="s">
        <v>58</v>
      </c>
      <c r="AE3192" t="s">
        <v>58</v>
      </c>
      <c r="AG3192" t="s">
        <v>63</v>
      </c>
      <c r="AH3192" s="11" t="str">
        <f t="shared" si="183"/>
        <v>mailto: soilterrain@victoria1.gov.bc.ca</v>
      </c>
    </row>
    <row r="3193" spans="1:34">
      <c r="A3193" t="s">
        <v>6713</v>
      </c>
      <c r="B3193" t="s">
        <v>56</v>
      </c>
      <c r="C3193" s="10" t="s">
        <v>1955</v>
      </c>
      <c r="D3193" t="s">
        <v>58</v>
      </c>
      <c r="E3193" t="s">
        <v>6705</v>
      </c>
      <c r="F3193" t="s">
        <v>6714</v>
      </c>
      <c r="G3193">
        <v>125000</v>
      </c>
      <c r="H3193">
        <v>1971</v>
      </c>
      <c r="I3193" t="s">
        <v>58</v>
      </c>
      <c r="J3193" t="s">
        <v>61</v>
      </c>
      <c r="K3193" t="s">
        <v>58</v>
      </c>
      <c r="L3193" t="s">
        <v>58</v>
      </c>
      <c r="M3193" t="s">
        <v>58</v>
      </c>
      <c r="P3193" t="s">
        <v>61</v>
      </c>
      <c r="Q3193" t="s">
        <v>58</v>
      </c>
      <c r="R3193" s="11" t="str">
        <f>HYPERLINK("\\imagefiles.bcgov\imagery\scanned_maps\moe_terrain_maps\Scanned_T_maps_all\T13\T13-2246","\\imagefiles.bcgov\imagery\scanned_maps\moe_terrain_maps\Scanned_T_maps_all\T13\T13-2246")</f>
        <v>\\imagefiles.bcgov\imagery\scanned_maps\moe_terrain_maps\Scanned_T_maps_all\T13\T13-2246</v>
      </c>
      <c r="S3193" t="s">
        <v>62</v>
      </c>
      <c r="T3193" s="11" t="str">
        <f>HYPERLINK("http://www.env.gov.bc.ca/esd/distdata/ecosystems/TEI_Scanned_Maps/T13/T13-2246","http://www.env.gov.bc.ca/esd/distdata/ecosystems/TEI_Scanned_Maps/T13/T13-2246")</f>
        <v>http://www.env.gov.bc.ca/esd/distdata/ecosystems/TEI_Scanned_Maps/T13/T13-2246</v>
      </c>
      <c r="U3193" t="s">
        <v>58</v>
      </c>
      <c r="V3193" t="s">
        <v>58</v>
      </c>
      <c r="W3193" t="s">
        <v>58</v>
      </c>
      <c r="X3193" t="s">
        <v>58</v>
      </c>
      <c r="Y3193" t="s">
        <v>58</v>
      </c>
      <c r="Z3193" t="s">
        <v>58</v>
      </c>
      <c r="AA3193" t="s">
        <v>58</v>
      </c>
      <c r="AC3193" t="s">
        <v>58</v>
      </c>
      <c r="AE3193" t="s">
        <v>58</v>
      </c>
      <c r="AG3193" t="s">
        <v>63</v>
      </c>
      <c r="AH3193" s="11" t="str">
        <f t="shared" si="183"/>
        <v>mailto: soilterrain@victoria1.gov.bc.ca</v>
      </c>
    </row>
    <row r="3194" spans="1:34">
      <c r="A3194" t="s">
        <v>6715</v>
      </c>
      <c r="B3194" t="s">
        <v>56</v>
      </c>
      <c r="C3194" s="10" t="s">
        <v>1955</v>
      </c>
      <c r="D3194" t="s">
        <v>58</v>
      </c>
      <c r="E3194" t="s">
        <v>6705</v>
      </c>
      <c r="F3194" t="s">
        <v>6716</v>
      </c>
      <c r="G3194">
        <v>125000</v>
      </c>
      <c r="H3194">
        <v>1970</v>
      </c>
      <c r="I3194" t="s">
        <v>58</v>
      </c>
      <c r="J3194" t="s">
        <v>61</v>
      </c>
      <c r="K3194" t="s">
        <v>58</v>
      </c>
      <c r="L3194" t="s">
        <v>58</v>
      </c>
      <c r="M3194" t="s">
        <v>58</v>
      </c>
      <c r="P3194" t="s">
        <v>61</v>
      </c>
      <c r="Q3194" t="s">
        <v>58</v>
      </c>
      <c r="R3194" s="11" t="str">
        <f>HYPERLINK("\\imagefiles.bcgov\imagery\scanned_maps\moe_terrain_maps\Scanned_T_maps_all\T13\T13-2247","\\imagefiles.bcgov\imagery\scanned_maps\moe_terrain_maps\Scanned_T_maps_all\T13\T13-2247")</f>
        <v>\\imagefiles.bcgov\imagery\scanned_maps\moe_terrain_maps\Scanned_T_maps_all\T13\T13-2247</v>
      </c>
      <c r="S3194" t="s">
        <v>62</v>
      </c>
      <c r="T3194" s="11" t="str">
        <f>HYPERLINK("http://www.env.gov.bc.ca/esd/distdata/ecosystems/TEI_Scanned_Maps/T13/T13-2247","http://www.env.gov.bc.ca/esd/distdata/ecosystems/TEI_Scanned_Maps/T13/T13-2247")</f>
        <v>http://www.env.gov.bc.ca/esd/distdata/ecosystems/TEI_Scanned_Maps/T13/T13-2247</v>
      </c>
      <c r="U3194" t="s">
        <v>58</v>
      </c>
      <c r="V3194" t="s">
        <v>58</v>
      </c>
      <c r="W3194" t="s">
        <v>58</v>
      </c>
      <c r="X3194" t="s">
        <v>58</v>
      </c>
      <c r="Y3194" t="s">
        <v>58</v>
      </c>
      <c r="Z3194" t="s">
        <v>58</v>
      </c>
      <c r="AA3194" t="s">
        <v>58</v>
      </c>
      <c r="AC3194" t="s">
        <v>58</v>
      </c>
      <c r="AE3194" t="s">
        <v>58</v>
      </c>
      <c r="AG3194" t="s">
        <v>63</v>
      </c>
      <c r="AH3194" s="11" t="str">
        <f t="shared" si="183"/>
        <v>mailto: soilterrain@victoria1.gov.bc.ca</v>
      </c>
    </row>
    <row r="3195" spans="1:34">
      <c r="A3195" t="s">
        <v>6717</v>
      </c>
      <c r="B3195" t="s">
        <v>56</v>
      </c>
      <c r="C3195" s="10" t="s">
        <v>1955</v>
      </c>
      <c r="D3195" t="s">
        <v>58</v>
      </c>
      <c r="E3195" t="s">
        <v>6705</v>
      </c>
      <c r="F3195" t="s">
        <v>6718</v>
      </c>
      <c r="G3195">
        <v>125000</v>
      </c>
      <c r="H3195">
        <v>1971</v>
      </c>
      <c r="I3195" t="s">
        <v>58</v>
      </c>
      <c r="J3195" t="s">
        <v>61</v>
      </c>
      <c r="K3195" t="s">
        <v>58</v>
      </c>
      <c r="L3195" t="s">
        <v>58</v>
      </c>
      <c r="M3195" t="s">
        <v>58</v>
      </c>
      <c r="P3195" t="s">
        <v>61</v>
      </c>
      <c r="Q3195" t="s">
        <v>58</v>
      </c>
      <c r="R3195" s="11" t="str">
        <f>HYPERLINK("\\imagefiles.bcgov\imagery\scanned_maps\moe_terrain_maps\Scanned_T_maps_all\T13\T13-2248","\\imagefiles.bcgov\imagery\scanned_maps\moe_terrain_maps\Scanned_T_maps_all\T13\T13-2248")</f>
        <v>\\imagefiles.bcgov\imagery\scanned_maps\moe_terrain_maps\Scanned_T_maps_all\T13\T13-2248</v>
      </c>
      <c r="S3195" t="s">
        <v>62</v>
      </c>
      <c r="T3195" s="11" t="str">
        <f>HYPERLINK("http://www.env.gov.bc.ca/esd/distdata/ecosystems/TEI_Scanned_Maps/T13/T13-2248","http://www.env.gov.bc.ca/esd/distdata/ecosystems/TEI_Scanned_Maps/T13/T13-2248")</f>
        <v>http://www.env.gov.bc.ca/esd/distdata/ecosystems/TEI_Scanned_Maps/T13/T13-2248</v>
      </c>
      <c r="U3195" t="s">
        <v>58</v>
      </c>
      <c r="V3195" t="s">
        <v>58</v>
      </c>
      <c r="W3195" t="s">
        <v>58</v>
      </c>
      <c r="X3195" t="s">
        <v>58</v>
      </c>
      <c r="Y3195" t="s">
        <v>58</v>
      </c>
      <c r="Z3195" t="s">
        <v>58</v>
      </c>
      <c r="AA3195" t="s">
        <v>58</v>
      </c>
      <c r="AC3195" t="s">
        <v>58</v>
      </c>
      <c r="AE3195" t="s">
        <v>58</v>
      </c>
      <c r="AG3195" t="s">
        <v>63</v>
      </c>
      <c r="AH3195" s="11" t="str">
        <f t="shared" si="183"/>
        <v>mailto: soilterrain@victoria1.gov.bc.ca</v>
      </c>
    </row>
    <row r="3196" spans="1:34">
      <c r="A3196" t="s">
        <v>6719</v>
      </c>
      <c r="B3196" t="s">
        <v>56</v>
      </c>
      <c r="C3196" s="10" t="s">
        <v>1958</v>
      </c>
      <c r="D3196" t="s">
        <v>58</v>
      </c>
      <c r="E3196" t="s">
        <v>6705</v>
      </c>
      <c r="F3196" t="s">
        <v>6720</v>
      </c>
      <c r="G3196">
        <v>125000</v>
      </c>
      <c r="H3196">
        <v>1970</v>
      </c>
      <c r="I3196" t="s">
        <v>58</v>
      </c>
      <c r="J3196" t="s">
        <v>61</v>
      </c>
      <c r="K3196" t="s">
        <v>58</v>
      </c>
      <c r="L3196" t="s">
        <v>58</v>
      </c>
      <c r="M3196" t="s">
        <v>58</v>
      </c>
      <c r="P3196" t="s">
        <v>61</v>
      </c>
      <c r="Q3196" t="s">
        <v>58</v>
      </c>
      <c r="R3196" s="11" t="str">
        <f>HYPERLINK("\\imagefiles.bcgov\imagery\scanned_maps\moe_terrain_maps\Scanned_T_maps_all\T13\T13-2255","\\imagefiles.bcgov\imagery\scanned_maps\moe_terrain_maps\Scanned_T_maps_all\T13\T13-2255")</f>
        <v>\\imagefiles.bcgov\imagery\scanned_maps\moe_terrain_maps\Scanned_T_maps_all\T13\T13-2255</v>
      </c>
      <c r="S3196" t="s">
        <v>62</v>
      </c>
      <c r="T3196" s="11" t="str">
        <f>HYPERLINK("http://www.env.gov.bc.ca/esd/distdata/ecosystems/TEI_Scanned_Maps/T13/T13-2255","http://www.env.gov.bc.ca/esd/distdata/ecosystems/TEI_Scanned_Maps/T13/T13-2255")</f>
        <v>http://www.env.gov.bc.ca/esd/distdata/ecosystems/TEI_Scanned_Maps/T13/T13-2255</v>
      </c>
      <c r="U3196" t="s">
        <v>58</v>
      </c>
      <c r="V3196" t="s">
        <v>58</v>
      </c>
      <c r="W3196" t="s">
        <v>58</v>
      </c>
      <c r="X3196" t="s">
        <v>58</v>
      </c>
      <c r="Y3196" t="s">
        <v>58</v>
      </c>
      <c r="Z3196" t="s">
        <v>58</v>
      </c>
      <c r="AA3196" t="s">
        <v>58</v>
      </c>
      <c r="AC3196" t="s">
        <v>58</v>
      </c>
      <c r="AE3196" t="s">
        <v>58</v>
      </c>
      <c r="AG3196" t="s">
        <v>63</v>
      </c>
      <c r="AH3196" s="11" t="str">
        <f t="shared" si="183"/>
        <v>mailto: soilterrain@victoria1.gov.bc.ca</v>
      </c>
    </row>
    <row r="3197" spans="1:34">
      <c r="A3197" t="s">
        <v>6721</v>
      </c>
      <c r="B3197" t="s">
        <v>56</v>
      </c>
      <c r="C3197" s="10" t="s">
        <v>1958</v>
      </c>
      <c r="D3197" t="s">
        <v>58</v>
      </c>
      <c r="E3197" t="s">
        <v>6705</v>
      </c>
      <c r="F3197" t="s">
        <v>6722</v>
      </c>
      <c r="G3197">
        <v>125000</v>
      </c>
      <c r="H3197">
        <v>1970</v>
      </c>
      <c r="I3197" t="s">
        <v>58</v>
      </c>
      <c r="J3197" t="s">
        <v>61</v>
      </c>
      <c r="K3197" t="s">
        <v>58</v>
      </c>
      <c r="L3197" t="s">
        <v>58</v>
      </c>
      <c r="M3197" t="s">
        <v>58</v>
      </c>
      <c r="P3197" t="s">
        <v>61</v>
      </c>
      <c r="Q3197" t="s">
        <v>58</v>
      </c>
      <c r="R3197" s="11" t="str">
        <f>HYPERLINK("\\imagefiles.bcgov\imagery\scanned_maps\moe_terrain_maps\Scanned_T_maps_all\T13\T13-2256","\\imagefiles.bcgov\imagery\scanned_maps\moe_terrain_maps\Scanned_T_maps_all\T13\T13-2256")</f>
        <v>\\imagefiles.bcgov\imagery\scanned_maps\moe_terrain_maps\Scanned_T_maps_all\T13\T13-2256</v>
      </c>
      <c r="S3197" t="s">
        <v>62</v>
      </c>
      <c r="T3197" s="11" t="str">
        <f>HYPERLINK("http://www.env.gov.bc.ca/esd/distdata/ecosystems/TEI_Scanned_Maps/T13/T13-2256","http://www.env.gov.bc.ca/esd/distdata/ecosystems/TEI_Scanned_Maps/T13/T13-2256")</f>
        <v>http://www.env.gov.bc.ca/esd/distdata/ecosystems/TEI_Scanned_Maps/T13/T13-2256</v>
      </c>
      <c r="U3197" t="s">
        <v>58</v>
      </c>
      <c r="V3197" t="s">
        <v>58</v>
      </c>
      <c r="W3197" t="s">
        <v>58</v>
      </c>
      <c r="X3197" t="s">
        <v>58</v>
      </c>
      <c r="Y3197" t="s">
        <v>58</v>
      </c>
      <c r="Z3197" t="s">
        <v>58</v>
      </c>
      <c r="AA3197" t="s">
        <v>58</v>
      </c>
      <c r="AC3197" t="s">
        <v>58</v>
      </c>
      <c r="AE3197" t="s">
        <v>58</v>
      </c>
      <c r="AG3197" t="s">
        <v>63</v>
      </c>
      <c r="AH3197" s="11" t="str">
        <f t="shared" si="183"/>
        <v>mailto: soilterrain@victoria1.gov.bc.ca</v>
      </c>
    </row>
    <row r="3198" spans="1:34">
      <c r="A3198" t="s">
        <v>6723</v>
      </c>
      <c r="B3198" t="s">
        <v>56</v>
      </c>
      <c r="C3198" s="10" t="s">
        <v>1958</v>
      </c>
      <c r="D3198" t="s">
        <v>58</v>
      </c>
      <c r="E3198" t="s">
        <v>6705</v>
      </c>
      <c r="F3198" t="s">
        <v>6724</v>
      </c>
      <c r="G3198">
        <v>125000</v>
      </c>
      <c r="H3198">
        <v>1971</v>
      </c>
      <c r="I3198" t="s">
        <v>58</v>
      </c>
      <c r="J3198" t="s">
        <v>61</v>
      </c>
      <c r="K3198" t="s">
        <v>58</v>
      </c>
      <c r="L3198" t="s">
        <v>58</v>
      </c>
      <c r="M3198" t="s">
        <v>58</v>
      </c>
      <c r="P3198" t="s">
        <v>61</v>
      </c>
      <c r="Q3198" t="s">
        <v>58</v>
      </c>
      <c r="R3198" s="11" t="str">
        <f>HYPERLINK("\\imagefiles.bcgov\imagery\scanned_maps\moe_terrain_maps\Scanned_T_maps_all\T13\T13-2257","\\imagefiles.bcgov\imagery\scanned_maps\moe_terrain_maps\Scanned_T_maps_all\T13\T13-2257")</f>
        <v>\\imagefiles.bcgov\imagery\scanned_maps\moe_terrain_maps\Scanned_T_maps_all\T13\T13-2257</v>
      </c>
      <c r="S3198" t="s">
        <v>62</v>
      </c>
      <c r="T3198" s="11" t="str">
        <f>HYPERLINK("http://www.env.gov.bc.ca/esd/distdata/ecosystems/TEI_Scanned_Maps/T13/T13-2257","http://www.env.gov.bc.ca/esd/distdata/ecosystems/TEI_Scanned_Maps/T13/T13-2257")</f>
        <v>http://www.env.gov.bc.ca/esd/distdata/ecosystems/TEI_Scanned_Maps/T13/T13-2257</v>
      </c>
      <c r="U3198" t="s">
        <v>58</v>
      </c>
      <c r="V3198" t="s">
        <v>58</v>
      </c>
      <c r="W3198" t="s">
        <v>58</v>
      </c>
      <c r="X3198" t="s">
        <v>58</v>
      </c>
      <c r="Y3198" t="s">
        <v>58</v>
      </c>
      <c r="Z3198" t="s">
        <v>58</v>
      </c>
      <c r="AA3198" t="s">
        <v>58</v>
      </c>
      <c r="AC3198" t="s">
        <v>58</v>
      </c>
      <c r="AE3198" t="s">
        <v>58</v>
      </c>
      <c r="AG3198" t="s">
        <v>63</v>
      </c>
      <c r="AH3198" s="11" t="str">
        <f t="shared" si="183"/>
        <v>mailto: soilterrain@victoria1.gov.bc.ca</v>
      </c>
    </row>
    <row r="3199" spans="1:34">
      <c r="A3199" t="s">
        <v>6725</v>
      </c>
      <c r="B3199" t="s">
        <v>56</v>
      </c>
      <c r="C3199" s="10" t="s">
        <v>1958</v>
      </c>
      <c r="D3199" t="s">
        <v>58</v>
      </c>
      <c r="E3199" t="s">
        <v>6705</v>
      </c>
      <c r="F3199" t="s">
        <v>6726</v>
      </c>
      <c r="G3199">
        <v>125000</v>
      </c>
      <c r="H3199">
        <v>1974</v>
      </c>
      <c r="I3199" t="s">
        <v>58</v>
      </c>
      <c r="J3199" t="s">
        <v>61</v>
      </c>
      <c r="K3199" t="s">
        <v>58</v>
      </c>
      <c r="L3199" t="s">
        <v>58</v>
      </c>
      <c r="M3199" t="s">
        <v>58</v>
      </c>
      <c r="P3199" t="s">
        <v>61</v>
      </c>
      <c r="Q3199" t="s">
        <v>58</v>
      </c>
      <c r="R3199" s="11" t="str">
        <f>HYPERLINK("\\imagefiles.bcgov\imagery\scanned_maps\moe_terrain_maps\Scanned_T_maps_all\T13\T13-2258","\\imagefiles.bcgov\imagery\scanned_maps\moe_terrain_maps\Scanned_T_maps_all\T13\T13-2258")</f>
        <v>\\imagefiles.bcgov\imagery\scanned_maps\moe_terrain_maps\Scanned_T_maps_all\T13\T13-2258</v>
      </c>
      <c r="S3199" t="s">
        <v>62</v>
      </c>
      <c r="T3199" s="11" t="str">
        <f>HYPERLINK("http://www.env.gov.bc.ca/esd/distdata/ecosystems/TEI_Scanned_Maps/T13/T13-2258","http://www.env.gov.bc.ca/esd/distdata/ecosystems/TEI_Scanned_Maps/T13/T13-2258")</f>
        <v>http://www.env.gov.bc.ca/esd/distdata/ecosystems/TEI_Scanned_Maps/T13/T13-2258</v>
      </c>
      <c r="U3199" t="s">
        <v>58</v>
      </c>
      <c r="V3199" t="s">
        <v>58</v>
      </c>
      <c r="W3199" t="s">
        <v>58</v>
      </c>
      <c r="X3199" t="s">
        <v>58</v>
      </c>
      <c r="Y3199" t="s">
        <v>58</v>
      </c>
      <c r="Z3199" t="s">
        <v>58</v>
      </c>
      <c r="AA3199" t="s">
        <v>58</v>
      </c>
      <c r="AC3199" t="s">
        <v>58</v>
      </c>
      <c r="AE3199" t="s">
        <v>58</v>
      </c>
      <c r="AG3199" t="s">
        <v>63</v>
      </c>
      <c r="AH3199" s="11" t="str">
        <f t="shared" si="183"/>
        <v>mailto: soilterrain@victoria1.gov.bc.ca</v>
      </c>
    </row>
    <row r="3200" spans="1:34">
      <c r="A3200" t="s">
        <v>6727</v>
      </c>
      <c r="B3200" t="s">
        <v>56</v>
      </c>
      <c r="C3200" s="10" t="s">
        <v>1985</v>
      </c>
      <c r="D3200" t="s">
        <v>58</v>
      </c>
      <c r="E3200" t="s">
        <v>6705</v>
      </c>
      <c r="F3200" t="s">
        <v>6728</v>
      </c>
      <c r="G3200">
        <v>125000</v>
      </c>
      <c r="H3200">
        <v>1970</v>
      </c>
      <c r="I3200" t="s">
        <v>58</v>
      </c>
      <c r="J3200" t="s">
        <v>61</v>
      </c>
      <c r="K3200" t="s">
        <v>58</v>
      </c>
      <c r="L3200" t="s">
        <v>58</v>
      </c>
      <c r="M3200" t="s">
        <v>58</v>
      </c>
      <c r="P3200" t="s">
        <v>61</v>
      </c>
      <c r="Q3200" t="s">
        <v>58</v>
      </c>
      <c r="R3200" s="11" t="str">
        <f>HYPERLINK("\\imagefiles.bcgov\imagery\scanned_maps\moe_terrain_maps\Scanned_T_maps_all\T13\T13-2449","\\imagefiles.bcgov\imagery\scanned_maps\moe_terrain_maps\Scanned_T_maps_all\T13\T13-2449")</f>
        <v>\\imagefiles.bcgov\imagery\scanned_maps\moe_terrain_maps\Scanned_T_maps_all\T13\T13-2449</v>
      </c>
      <c r="S3200" t="s">
        <v>62</v>
      </c>
      <c r="T3200" s="11" t="str">
        <f>HYPERLINK("http://www.env.gov.bc.ca/esd/distdata/ecosystems/TEI_Scanned_Maps/T13/T13-2449","http://www.env.gov.bc.ca/esd/distdata/ecosystems/TEI_Scanned_Maps/T13/T13-2449")</f>
        <v>http://www.env.gov.bc.ca/esd/distdata/ecosystems/TEI_Scanned_Maps/T13/T13-2449</v>
      </c>
      <c r="U3200" t="s">
        <v>58</v>
      </c>
      <c r="V3200" t="s">
        <v>58</v>
      </c>
      <c r="W3200" t="s">
        <v>58</v>
      </c>
      <c r="X3200" t="s">
        <v>58</v>
      </c>
      <c r="Y3200" t="s">
        <v>58</v>
      </c>
      <c r="Z3200" t="s">
        <v>58</v>
      </c>
      <c r="AA3200" t="s">
        <v>58</v>
      </c>
      <c r="AC3200" t="s">
        <v>58</v>
      </c>
      <c r="AE3200" t="s">
        <v>58</v>
      </c>
      <c r="AG3200" t="s">
        <v>63</v>
      </c>
      <c r="AH3200" s="11" t="str">
        <f t="shared" si="183"/>
        <v>mailto: soilterrain@victoria1.gov.bc.ca</v>
      </c>
    </row>
    <row r="3201" spans="1:34">
      <c r="A3201" t="s">
        <v>6729</v>
      </c>
      <c r="B3201" t="s">
        <v>56</v>
      </c>
      <c r="C3201" s="10" t="s">
        <v>1985</v>
      </c>
      <c r="D3201" t="s">
        <v>58</v>
      </c>
      <c r="E3201" t="s">
        <v>6705</v>
      </c>
      <c r="F3201" t="s">
        <v>6730</v>
      </c>
      <c r="G3201">
        <v>125000</v>
      </c>
      <c r="H3201">
        <v>1978</v>
      </c>
      <c r="I3201" t="s">
        <v>58</v>
      </c>
      <c r="J3201" t="s">
        <v>61</v>
      </c>
      <c r="K3201" t="s">
        <v>58</v>
      </c>
      <c r="L3201" t="s">
        <v>58</v>
      </c>
      <c r="M3201" t="s">
        <v>58</v>
      </c>
      <c r="P3201" t="s">
        <v>61</v>
      </c>
      <c r="Q3201" t="s">
        <v>58</v>
      </c>
      <c r="R3201" s="11" t="str">
        <f>HYPERLINK("\\imagefiles.bcgov\imagery\scanned_maps\moe_terrain_maps\Scanned_T_maps_all\T13\T13-2450","\\imagefiles.bcgov\imagery\scanned_maps\moe_terrain_maps\Scanned_T_maps_all\T13\T13-2450")</f>
        <v>\\imagefiles.bcgov\imagery\scanned_maps\moe_terrain_maps\Scanned_T_maps_all\T13\T13-2450</v>
      </c>
      <c r="S3201" t="s">
        <v>62</v>
      </c>
      <c r="T3201" s="11" t="str">
        <f>HYPERLINK("http://www.env.gov.bc.ca/esd/distdata/ecosystems/TEI_Scanned_Maps/T13/T13-2450","http://www.env.gov.bc.ca/esd/distdata/ecosystems/TEI_Scanned_Maps/T13/T13-2450")</f>
        <v>http://www.env.gov.bc.ca/esd/distdata/ecosystems/TEI_Scanned_Maps/T13/T13-2450</v>
      </c>
      <c r="U3201" t="s">
        <v>58</v>
      </c>
      <c r="V3201" t="s">
        <v>58</v>
      </c>
      <c r="W3201" t="s">
        <v>58</v>
      </c>
      <c r="X3201" t="s">
        <v>58</v>
      </c>
      <c r="Y3201" t="s">
        <v>58</v>
      </c>
      <c r="Z3201" t="s">
        <v>58</v>
      </c>
      <c r="AA3201" t="s">
        <v>58</v>
      </c>
      <c r="AC3201" t="s">
        <v>58</v>
      </c>
      <c r="AE3201" t="s">
        <v>58</v>
      </c>
      <c r="AG3201" t="s">
        <v>63</v>
      </c>
      <c r="AH3201" s="11" t="str">
        <f t="shared" si="183"/>
        <v>mailto: soilterrain@victoria1.gov.bc.ca</v>
      </c>
    </row>
    <row r="3202" spans="1:34">
      <c r="A3202" t="s">
        <v>6731</v>
      </c>
      <c r="B3202" t="s">
        <v>56</v>
      </c>
      <c r="C3202" s="10" t="s">
        <v>1985</v>
      </c>
      <c r="D3202" t="s">
        <v>58</v>
      </c>
      <c r="E3202" t="s">
        <v>6705</v>
      </c>
      <c r="F3202" t="s">
        <v>6732</v>
      </c>
      <c r="G3202">
        <v>125000</v>
      </c>
      <c r="H3202">
        <v>1978</v>
      </c>
      <c r="I3202" t="s">
        <v>58</v>
      </c>
      <c r="J3202" t="s">
        <v>61</v>
      </c>
      <c r="K3202" t="s">
        <v>58</v>
      </c>
      <c r="L3202" t="s">
        <v>58</v>
      </c>
      <c r="M3202" t="s">
        <v>58</v>
      </c>
      <c r="P3202" t="s">
        <v>61</v>
      </c>
      <c r="Q3202" t="s">
        <v>58</v>
      </c>
      <c r="R3202" s="11" t="str">
        <f>HYPERLINK("\\imagefiles.bcgov\imagery\scanned_maps\moe_terrain_maps\Scanned_T_maps_all\T13\T13-2451","\\imagefiles.bcgov\imagery\scanned_maps\moe_terrain_maps\Scanned_T_maps_all\T13\T13-2451")</f>
        <v>\\imagefiles.bcgov\imagery\scanned_maps\moe_terrain_maps\Scanned_T_maps_all\T13\T13-2451</v>
      </c>
      <c r="S3202" t="s">
        <v>62</v>
      </c>
      <c r="T3202" s="11" t="str">
        <f>HYPERLINK("http://www.env.gov.bc.ca/esd/distdata/ecosystems/TEI_Scanned_Maps/T13/T13-2451","http://www.env.gov.bc.ca/esd/distdata/ecosystems/TEI_Scanned_Maps/T13/T13-2451")</f>
        <v>http://www.env.gov.bc.ca/esd/distdata/ecosystems/TEI_Scanned_Maps/T13/T13-2451</v>
      </c>
      <c r="U3202" t="s">
        <v>58</v>
      </c>
      <c r="V3202" t="s">
        <v>58</v>
      </c>
      <c r="W3202" t="s">
        <v>58</v>
      </c>
      <c r="X3202" t="s">
        <v>58</v>
      </c>
      <c r="Y3202" t="s">
        <v>58</v>
      </c>
      <c r="Z3202" t="s">
        <v>58</v>
      </c>
      <c r="AA3202" t="s">
        <v>58</v>
      </c>
      <c r="AC3202" t="s">
        <v>58</v>
      </c>
      <c r="AE3202" t="s">
        <v>58</v>
      </c>
      <c r="AG3202" t="s">
        <v>63</v>
      </c>
      <c r="AH3202" s="11" t="str">
        <f t="shared" ref="AH3202:AH3236" si="190">HYPERLINK("mailto: soilterrain@victoria1.gov.bc.ca","mailto: soilterrain@victoria1.gov.bc.ca")</f>
        <v>mailto: soilterrain@victoria1.gov.bc.ca</v>
      </c>
    </row>
    <row r="3203" spans="1:34">
      <c r="A3203" t="s">
        <v>6733</v>
      </c>
      <c r="B3203" t="s">
        <v>56</v>
      </c>
      <c r="C3203" s="10" t="s">
        <v>1988</v>
      </c>
      <c r="D3203" t="s">
        <v>58</v>
      </c>
      <c r="E3203" t="s">
        <v>6705</v>
      </c>
      <c r="F3203" t="s">
        <v>6734</v>
      </c>
      <c r="G3203">
        <v>125000</v>
      </c>
      <c r="H3203">
        <v>1971</v>
      </c>
      <c r="I3203" t="s">
        <v>58</v>
      </c>
      <c r="J3203" t="s">
        <v>61</v>
      </c>
      <c r="K3203" t="s">
        <v>58</v>
      </c>
      <c r="L3203" t="s">
        <v>58</v>
      </c>
      <c r="M3203" t="s">
        <v>58</v>
      </c>
      <c r="P3203" t="s">
        <v>61</v>
      </c>
      <c r="Q3203" t="s">
        <v>58</v>
      </c>
      <c r="R3203" s="11" t="str">
        <f>HYPERLINK("\\imagefiles.bcgov\imagery\scanned_maps\moe_terrain_maps\Scanned_T_maps_all\T13\T13-2458","\\imagefiles.bcgov\imagery\scanned_maps\moe_terrain_maps\Scanned_T_maps_all\T13\T13-2458")</f>
        <v>\\imagefiles.bcgov\imagery\scanned_maps\moe_terrain_maps\Scanned_T_maps_all\T13\T13-2458</v>
      </c>
      <c r="S3203" t="s">
        <v>62</v>
      </c>
      <c r="T3203" s="11" t="str">
        <f>HYPERLINK("http://www.env.gov.bc.ca/esd/distdata/ecosystems/TEI_Scanned_Maps/T13/T13-2458","http://www.env.gov.bc.ca/esd/distdata/ecosystems/TEI_Scanned_Maps/T13/T13-2458")</f>
        <v>http://www.env.gov.bc.ca/esd/distdata/ecosystems/TEI_Scanned_Maps/T13/T13-2458</v>
      </c>
      <c r="U3203" t="s">
        <v>58</v>
      </c>
      <c r="V3203" t="s">
        <v>58</v>
      </c>
      <c r="W3203" t="s">
        <v>58</v>
      </c>
      <c r="X3203" t="s">
        <v>58</v>
      </c>
      <c r="Y3203" t="s">
        <v>58</v>
      </c>
      <c r="Z3203" t="s">
        <v>58</v>
      </c>
      <c r="AA3203" t="s">
        <v>58</v>
      </c>
      <c r="AC3203" t="s">
        <v>58</v>
      </c>
      <c r="AE3203" t="s">
        <v>58</v>
      </c>
      <c r="AG3203" t="s">
        <v>63</v>
      </c>
      <c r="AH3203" s="11" t="str">
        <f t="shared" si="190"/>
        <v>mailto: soilterrain@victoria1.gov.bc.ca</v>
      </c>
    </row>
    <row r="3204" spans="1:34">
      <c r="A3204" t="s">
        <v>6735</v>
      </c>
      <c r="B3204" t="s">
        <v>56</v>
      </c>
      <c r="C3204" s="10" t="s">
        <v>1988</v>
      </c>
      <c r="D3204" t="s">
        <v>58</v>
      </c>
      <c r="E3204" t="s">
        <v>6705</v>
      </c>
      <c r="F3204" t="s">
        <v>6736</v>
      </c>
      <c r="G3204">
        <v>125000</v>
      </c>
      <c r="H3204">
        <v>1971</v>
      </c>
      <c r="I3204" t="s">
        <v>58</v>
      </c>
      <c r="J3204" t="s">
        <v>61</v>
      </c>
      <c r="K3204" t="s">
        <v>58</v>
      </c>
      <c r="L3204" t="s">
        <v>58</v>
      </c>
      <c r="M3204" t="s">
        <v>58</v>
      </c>
      <c r="P3204" t="s">
        <v>61</v>
      </c>
      <c r="Q3204" t="s">
        <v>58</v>
      </c>
      <c r="R3204" s="11" t="str">
        <f>HYPERLINK("\\imagefiles.bcgov\imagery\scanned_maps\moe_terrain_maps\Scanned_T_maps_all\T13\T13-2459","\\imagefiles.bcgov\imagery\scanned_maps\moe_terrain_maps\Scanned_T_maps_all\T13\T13-2459")</f>
        <v>\\imagefiles.bcgov\imagery\scanned_maps\moe_terrain_maps\Scanned_T_maps_all\T13\T13-2459</v>
      </c>
      <c r="S3204" t="s">
        <v>62</v>
      </c>
      <c r="T3204" s="11" t="str">
        <f>HYPERLINK("http://www.env.gov.bc.ca/esd/distdata/ecosystems/TEI_Scanned_Maps/T13/T13-2459","http://www.env.gov.bc.ca/esd/distdata/ecosystems/TEI_Scanned_Maps/T13/T13-2459")</f>
        <v>http://www.env.gov.bc.ca/esd/distdata/ecosystems/TEI_Scanned_Maps/T13/T13-2459</v>
      </c>
      <c r="U3204" t="s">
        <v>58</v>
      </c>
      <c r="V3204" t="s">
        <v>58</v>
      </c>
      <c r="W3204" t="s">
        <v>58</v>
      </c>
      <c r="X3204" t="s">
        <v>58</v>
      </c>
      <c r="Y3204" t="s">
        <v>58</v>
      </c>
      <c r="Z3204" t="s">
        <v>58</v>
      </c>
      <c r="AA3204" t="s">
        <v>58</v>
      </c>
      <c r="AC3204" t="s">
        <v>58</v>
      </c>
      <c r="AE3204" t="s">
        <v>58</v>
      </c>
      <c r="AG3204" t="s">
        <v>63</v>
      </c>
      <c r="AH3204" s="11" t="str">
        <f t="shared" si="190"/>
        <v>mailto: soilterrain@victoria1.gov.bc.ca</v>
      </c>
    </row>
    <row r="3205" spans="1:34">
      <c r="A3205" t="s">
        <v>6737</v>
      </c>
      <c r="B3205" t="s">
        <v>56</v>
      </c>
      <c r="C3205" s="10" t="s">
        <v>1988</v>
      </c>
      <c r="D3205" t="s">
        <v>58</v>
      </c>
      <c r="E3205" t="s">
        <v>6705</v>
      </c>
      <c r="F3205" t="s">
        <v>6738</v>
      </c>
      <c r="G3205">
        <v>125000</v>
      </c>
      <c r="H3205">
        <v>1975</v>
      </c>
      <c r="I3205" t="s">
        <v>58</v>
      </c>
      <c r="J3205" t="s">
        <v>61</v>
      </c>
      <c r="K3205" t="s">
        <v>58</v>
      </c>
      <c r="L3205" t="s">
        <v>58</v>
      </c>
      <c r="M3205" t="s">
        <v>58</v>
      </c>
      <c r="P3205" t="s">
        <v>61</v>
      </c>
      <c r="Q3205" t="s">
        <v>58</v>
      </c>
      <c r="R3205" s="11" t="str">
        <f>HYPERLINK("\\imagefiles.bcgov\imagery\scanned_maps\moe_terrain_maps\Scanned_T_maps_all\T13\T13-2460","\\imagefiles.bcgov\imagery\scanned_maps\moe_terrain_maps\Scanned_T_maps_all\T13\T13-2460")</f>
        <v>\\imagefiles.bcgov\imagery\scanned_maps\moe_terrain_maps\Scanned_T_maps_all\T13\T13-2460</v>
      </c>
      <c r="S3205" t="s">
        <v>62</v>
      </c>
      <c r="T3205" s="11" t="str">
        <f>HYPERLINK("http://www.env.gov.bc.ca/esd/distdata/ecosystems/TEI_Scanned_Maps/T13/T13-2460","http://www.env.gov.bc.ca/esd/distdata/ecosystems/TEI_Scanned_Maps/T13/T13-2460")</f>
        <v>http://www.env.gov.bc.ca/esd/distdata/ecosystems/TEI_Scanned_Maps/T13/T13-2460</v>
      </c>
      <c r="U3205" t="s">
        <v>58</v>
      </c>
      <c r="V3205" t="s">
        <v>58</v>
      </c>
      <c r="W3205" t="s">
        <v>58</v>
      </c>
      <c r="X3205" t="s">
        <v>58</v>
      </c>
      <c r="Y3205" t="s">
        <v>58</v>
      </c>
      <c r="Z3205" t="s">
        <v>58</v>
      </c>
      <c r="AA3205" t="s">
        <v>58</v>
      </c>
      <c r="AC3205" t="s">
        <v>58</v>
      </c>
      <c r="AE3205" t="s">
        <v>58</v>
      </c>
      <c r="AG3205" t="s">
        <v>63</v>
      </c>
      <c r="AH3205" s="11" t="str">
        <f t="shared" si="190"/>
        <v>mailto: soilterrain@victoria1.gov.bc.ca</v>
      </c>
    </row>
    <row r="3206" spans="1:34">
      <c r="A3206" t="s">
        <v>6739</v>
      </c>
      <c r="B3206" t="s">
        <v>56</v>
      </c>
      <c r="C3206" s="10" t="s">
        <v>1988</v>
      </c>
      <c r="D3206" t="s">
        <v>58</v>
      </c>
      <c r="E3206" t="s">
        <v>6705</v>
      </c>
      <c r="F3206" t="s">
        <v>6740</v>
      </c>
      <c r="G3206">
        <v>125000</v>
      </c>
      <c r="H3206">
        <v>1974</v>
      </c>
      <c r="I3206" t="s">
        <v>58</v>
      </c>
      <c r="J3206" t="s">
        <v>61</v>
      </c>
      <c r="K3206" t="s">
        <v>58</v>
      </c>
      <c r="L3206" t="s">
        <v>58</v>
      </c>
      <c r="M3206" t="s">
        <v>58</v>
      </c>
      <c r="P3206" t="s">
        <v>61</v>
      </c>
      <c r="Q3206" t="s">
        <v>58</v>
      </c>
      <c r="R3206" s="11" t="str">
        <f>HYPERLINK("\\imagefiles.bcgov\imagery\scanned_maps\moe_terrain_maps\Scanned_T_maps_all\T13\T13-2461","\\imagefiles.bcgov\imagery\scanned_maps\moe_terrain_maps\Scanned_T_maps_all\T13\T13-2461")</f>
        <v>\\imagefiles.bcgov\imagery\scanned_maps\moe_terrain_maps\Scanned_T_maps_all\T13\T13-2461</v>
      </c>
      <c r="S3206" t="s">
        <v>62</v>
      </c>
      <c r="T3206" s="11" t="str">
        <f>HYPERLINK("http://www.env.gov.bc.ca/esd/distdata/ecosystems/TEI_Scanned_Maps/T13/T13-2461","http://www.env.gov.bc.ca/esd/distdata/ecosystems/TEI_Scanned_Maps/T13/T13-2461")</f>
        <v>http://www.env.gov.bc.ca/esd/distdata/ecosystems/TEI_Scanned_Maps/T13/T13-2461</v>
      </c>
      <c r="U3206" t="s">
        <v>58</v>
      </c>
      <c r="V3206" t="s">
        <v>58</v>
      </c>
      <c r="W3206" t="s">
        <v>58</v>
      </c>
      <c r="X3206" t="s">
        <v>58</v>
      </c>
      <c r="Y3206" t="s">
        <v>58</v>
      </c>
      <c r="Z3206" t="s">
        <v>58</v>
      </c>
      <c r="AA3206" t="s">
        <v>58</v>
      </c>
      <c r="AC3206" t="s">
        <v>58</v>
      </c>
      <c r="AE3206" t="s">
        <v>58</v>
      </c>
      <c r="AG3206" t="s">
        <v>63</v>
      </c>
      <c r="AH3206" s="11" t="str">
        <f t="shared" si="190"/>
        <v>mailto: soilterrain@victoria1.gov.bc.ca</v>
      </c>
    </row>
    <row r="3207" spans="1:34">
      <c r="A3207" t="s">
        <v>6741</v>
      </c>
      <c r="B3207" t="s">
        <v>56</v>
      </c>
      <c r="C3207" s="10" t="s">
        <v>1991</v>
      </c>
      <c r="D3207" t="s">
        <v>58</v>
      </c>
      <c r="E3207" t="s">
        <v>6705</v>
      </c>
      <c r="F3207" t="s">
        <v>6742</v>
      </c>
      <c r="G3207">
        <v>125000</v>
      </c>
      <c r="H3207" t="s">
        <v>187</v>
      </c>
      <c r="I3207" t="s">
        <v>58</v>
      </c>
      <c r="J3207" t="s">
        <v>61</v>
      </c>
      <c r="K3207" t="s">
        <v>58</v>
      </c>
      <c r="L3207" t="s">
        <v>58</v>
      </c>
      <c r="M3207" t="s">
        <v>58</v>
      </c>
      <c r="P3207" t="s">
        <v>61</v>
      </c>
      <c r="Q3207" t="s">
        <v>58</v>
      </c>
      <c r="R3207" s="11" t="str">
        <f>HYPERLINK("\\imagefiles.bcgov\imagery\scanned_maps\moe_terrain_maps\Scanned_T_maps_all\T13\T13-2514","\\imagefiles.bcgov\imagery\scanned_maps\moe_terrain_maps\Scanned_T_maps_all\T13\T13-2514")</f>
        <v>\\imagefiles.bcgov\imagery\scanned_maps\moe_terrain_maps\Scanned_T_maps_all\T13\T13-2514</v>
      </c>
      <c r="S3207" t="s">
        <v>62</v>
      </c>
      <c r="T3207" s="11" t="str">
        <f>HYPERLINK("http://www.env.gov.bc.ca/esd/distdata/ecosystems/TEI_Scanned_Maps/T13/T13-2514","http://www.env.gov.bc.ca/esd/distdata/ecosystems/TEI_Scanned_Maps/T13/T13-2514")</f>
        <v>http://www.env.gov.bc.ca/esd/distdata/ecosystems/TEI_Scanned_Maps/T13/T13-2514</v>
      </c>
      <c r="U3207" t="s">
        <v>58</v>
      </c>
      <c r="V3207" t="s">
        <v>58</v>
      </c>
      <c r="W3207" t="s">
        <v>58</v>
      </c>
      <c r="X3207" t="s">
        <v>58</v>
      </c>
      <c r="Y3207" t="s">
        <v>58</v>
      </c>
      <c r="Z3207" t="s">
        <v>58</v>
      </c>
      <c r="AA3207" t="s">
        <v>58</v>
      </c>
      <c r="AC3207" t="s">
        <v>58</v>
      </c>
      <c r="AE3207" t="s">
        <v>58</v>
      </c>
      <c r="AG3207" t="s">
        <v>63</v>
      </c>
      <c r="AH3207" s="11" t="str">
        <f t="shared" si="190"/>
        <v>mailto: soilterrain@victoria1.gov.bc.ca</v>
      </c>
    </row>
    <row r="3208" spans="1:34">
      <c r="A3208" t="s">
        <v>6743</v>
      </c>
      <c r="B3208" t="s">
        <v>56</v>
      </c>
      <c r="C3208" s="10" t="s">
        <v>1991</v>
      </c>
      <c r="D3208" t="s">
        <v>58</v>
      </c>
      <c r="E3208" t="s">
        <v>6705</v>
      </c>
      <c r="F3208" t="s">
        <v>6744</v>
      </c>
      <c r="G3208">
        <v>125000</v>
      </c>
      <c r="H3208">
        <v>1974</v>
      </c>
      <c r="I3208" t="s">
        <v>58</v>
      </c>
      <c r="J3208" t="s">
        <v>61</v>
      </c>
      <c r="K3208" t="s">
        <v>58</v>
      </c>
      <c r="L3208" t="s">
        <v>58</v>
      </c>
      <c r="M3208" t="s">
        <v>58</v>
      </c>
      <c r="P3208" t="s">
        <v>61</v>
      </c>
      <c r="Q3208" t="s">
        <v>58</v>
      </c>
      <c r="R3208" s="11" t="str">
        <f>HYPERLINK("\\imagefiles.bcgov\imagery\scanned_maps\moe_terrain_maps\Scanned_T_maps_all\T13\T13-2515","\\imagefiles.bcgov\imagery\scanned_maps\moe_terrain_maps\Scanned_T_maps_all\T13\T13-2515")</f>
        <v>\\imagefiles.bcgov\imagery\scanned_maps\moe_terrain_maps\Scanned_T_maps_all\T13\T13-2515</v>
      </c>
      <c r="S3208" t="s">
        <v>62</v>
      </c>
      <c r="T3208" s="11" t="str">
        <f>HYPERLINK("http://www.env.gov.bc.ca/esd/distdata/ecosystems/TEI_Scanned_Maps/T13/T13-2515","http://www.env.gov.bc.ca/esd/distdata/ecosystems/TEI_Scanned_Maps/T13/T13-2515")</f>
        <v>http://www.env.gov.bc.ca/esd/distdata/ecosystems/TEI_Scanned_Maps/T13/T13-2515</v>
      </c>
      <c r="U3208" t="s">
        <v>58</v>
      </c>
      <c r="V3208" t="s">
        <v>58</v>
      </c>
      <c r="W3208" t="s">
        <v>58</v>
      </c>
      <c r="X3208" t="s">
        <v>58</v>
      </c>
      <c r="Y3208" t="s">
        <v>58</v>
      </c>
      <c r="Z3208" t="s">
        <v>58</v>
      </c>
      <c r="AA3208" t="s">
        <v>58</v>
      </c>
      <c r="AC3208" t="s">
        <v>58</v>
      </c>
      <c r="AE3208" t="s">
        <v>58</v>
      </c>
      <c r="AG3208" t="s">
        <v>63</v>
      </c>
      <c r="AH3208" s="11" t="str">
        <f t="shared" si="190"/>
        <v>mailto: soilterrain@victoria1.gov.bc.ca</v>
      </c>
    </row>
    <row r="3209" spans="1:34">
      <c r="A3209" t="s">
        <v>6745</v>
      </c>
      <c r="B3209" t="s">
        <v>56</v>
      </c>
      <c r="C3209" s="10" t="s">
        <v>1991</v>
      </c>
      <c r="D3209" t="s">
        <v>58</v>
      </c>
      <c r="E3209" t="s">
        <v>6705</v>
      </c>
      <c r="F3209" t="s">
        <v>6746</v>
      </c>
      <c r="G3209">
        <v>125000</v>
      </c>
      <c r="H3209" t="s">
        <v>187</v>
      </c>
      <c r="I3209" t="s">
        <v>58</v>
      </c>
      <c r="J3209" t="s">
        <v>61</v>
      </c>
      <c r="K3209" t="s">
        <v>58</v>
      </c>
      <c r="L3209" t="s">
        <v>58</v>
      </c>
      <c r="M3209" t="s">
        <v>58</v>
      </c>
      <c r="P3209" t="s">
        <v>61</v>
      </c>
      <c r="Q3209" t="s">
        <v>58</v>
      </c>
      <c r="R3209" s="11" t="str">
        <f>HYPERLINK("\\imagefiles.bcgov\imagery\scanned_maps\moe_terrain_maps\Scanned_T_maps_all\T13\T13-2516","\\imagefiles.bcgov\imagery\scanned_maps\moe_terrain_maps\Scanned_T_maps_all\T13\T13-2516")</f>
        <v>\\imagefiles.bcgov\imagery\scanned_maps\moe_terrain_maps\Scanned_T_maps_all\T13\T13-2516</v>
      </c>
      <c r="S3209" t="s">
        <v>62</v>
      </c>
      <c r="T3209" s="11" t="str">
        <f>HYPERLINK("http://www.env.gov.bc.ca/esd/distdata/ecosystems/TEI_Scanned_Maps/T13/T13-2516","http://www.env.gov.bc.ca/esd/distdata/ecosystems/TEI_Scanned_Maps/T13/T13-2516")</f>
        <v>http://www.env.gov.bc.ca/esd/distdata/ecosystems/TEI_Scanned_Maps/T13/T13-2516</v>
      </c>
      <c r="U3209" t="s">
        <v>58</v>
      </c>
      <c r="V3209" t="s">
        <v>58</v>
      </c>
      <c r="W3209" t="s">
        <v>58</v>
      </c>
      <c r="X3209" t="s">
        <v>58</v>
      </c>
      <c r="Y3209" t="s">
        <v>58</v>
      </c>
      <c r="Z3209" t="s">
        <v>58</v>
      </c>
      <c r="AA3209" t="s">
        <v>58</v>
      </c>
      <c r="AC3209" t="s">
        <v>58</v>
      </c>
      <c r="AE3209" t="s">
        <v>58</v>
      </c>
      <c r="AG3209" t="s">
        <v>63</v>
      </c>
      <c r="AH3209" s="11" t="str">
        <f t="shared" si="190"/>
        <v>mailto: soilterrain@victoria1.gov.bc.ca</v>
      </c>
    </row>
    <row r="3210" spans="1:34">
      <c r="A3210" t="s">
        <v>6747</v>
      </c>
      <c r="B3210" t="s">
        <v>56</v>
      </c>
      <c r="C3210" s="10" t="s">
        <v>1991</v>
      </c>
      <c r="D3210" t="s">
        <v>58</v>
      </c>
      <c r="E3210" t="s">
        <v>6705</v>
      </c>
      <c r="F3210" t="s">
        <v>6748</v>
      </c>
      <c r="G3210">
        <v>125000</v>
      </c>
      <c r="H3210">
        <v>1974</v>
      </c>
      <c r="I3210" t="s">
        <v>58</v>
      </c>
      <c r="J3210" t="s">
        <v>61</v>
      </c>
      <c r="K3210" t="s">
        <v>58</v>
      </c>
      <c r="L3210" t="s">
        <v>58</v>
      </c>
      <c r="M3210" t="s">
        <v>58</v>
      </c>
      <c r="P3210" t="s">
        <v>61</v>
      </c>
      <c r="Q3210" t="s">
        <v>58</v>
      </c>
      <c r="R3210" s="11" t="str">
        <f>HYPERLINK("\\imagefiles.bcgov\imagery\scanned_maps\moe_terrain_maps\Scanned_T_maps_all\T13\T13-2517","\\imagefiles.bcgov\imagery\scanned_maps\moe_terrain_maps\Scanned_T_maps_all\T13\T13-2517")</f>
        <v>\\imagefiles.bcgov\imagery\scanned_maps\moe_terrain_maps\Scanned_T_maps_all\T13\T13-2517</v>
      </c>
      <c r="S3210" t="s">
        <v>62</v>
      </c>
      <c r="T3210" s="11" t="str">
        <f>HYPERLINK("http://www.env.gov.bc.ca/esd/distdata/ecosystems/TEI_Scanned_Maps/T13/T13-2517","http://www.env.gov.bc.ca/esd/distdata/ecosystems/TEI_Scanned_Maps/T13/T13-2517")</f>
        <v>http://www.env.gov.bc.ca/esd/distdata/ecosystems/TEI_Scanned_Maps/T13/T13-2517</v>
      </c>
      <c r="U3210" t="s">
        <v>58</v>
      </c>
      <c r="V3210" t="s">
        <v>58</v>
      </c>
      <c r="W3210" t="s">
        <v>58</v>
      </c>
      <c r="X3210" t="s">
        <v>58</v>
      </c>
      <c r="Y3210" t="s">
        <v>58</v>
      </c>
      <c r="Z3210" t="s">
        <v>58</v>
      </c>
      <c r="AA3210" t="s">
        <v>58</v>
      </c>
      <c r="AC3210" t="s">
        <v>58</v>
      </c>
      <c r="AE3210" t="s">
        <v>58</v>
      </c>
      <c r="AG3210" t="s">
        <v>63</v>
      </c>
      <c r="AH3210" s="11" t="str">
        <f t="shared" si="190"/>
        <v>mailto: soilterrain@victoria1.gov.bc.ca</v>
      </c>
    </row>
    <row r="3211" spans="1:34">
      <c r="A3211" t="s">
        <v>6749</v>
      </c>
      <c r="B3211" t="s">
        <v>56</v>
      </c>
      <c r="C3211" s="10" t="s">
        <v>1994</v>
      </c>
      <c r="D3211" t="s">
        <v>58</v>
      </c>
      <c r="E3211" t="s">
        <v>6705</v>
      </c>
      <c r="F3211" t="s">
        <v>6750</v>
      </c>
      <c r="G3211">
        <v>125000</v>
      </c>
      <c r="H3211" t="s">
        <v>187</v>
      </c>
      <c r="I3211" t="s">
        <v>58</v>
      </c>
      <c r="J3211" t="s">
        <v>61</v>
      </c>
      <c r="K3211" t="s">
        <v>58</v>
      </c>
      <c r="L3211" t="s">
        <v>58</v>
      </c>
      <c r="M3211" t="s">
        <v>58</v>
      </c>
      <c r="P3211" t="s">
        <v>61</v>
      </c>
      <c r="Q3211" t="s">
        <v>58</v>
      </c>
      <c r="R3211" s="11" t="str">
        <f>HYPERLINK("\\imagefiles.bcgov\imagery\scanned_maps\moe_terrain_maps\Scanned_T_maps_all\T13\T13-2524","\\imagefiles.bcgov\imagery\scanned_maps\moe_terrain_maps\Scanned_T_maps_all\T13\T13-2524")</f>
        <v>\\imagefiles.bcgov\imagery\scanned_maps\moe_terrain_maps\Scanned_T_maps_all\T13\T13-2524</v>
      </c>
      <c r="S3211" t="s">
        <v>62</v>
      </c>
      <c r="T3211" s="11" t="str">
        <f>HYPERLINK("http://www.env.gov.bc.ca/esd/distdata/ecosystems/TEI_Scanned_Maps/T13/T13-2524","http://www.env.gov.bc.ca/esd/distdata/ecosystems/TEI_Scanned_Maps/T13/T13-2524")</f>
        <v>http://www.env.gov.bc.ca/esd/distdata/ecosystems/TEI_Scanned_Maps/T13/T13-2524</v>
      </c>
      <c r="U3211" t="s">
        <v>58</v>
      </c>
      <c r="V3211" t="s">
        <v>58</v>
      </c>
      <c r="W3211" t="s">
        <v>58</v>
      </c>
      <c r="X3211" t="s">
        <v>58</v>
      </c>
      <c r="Y3211" t="s">
        <v>58</v>
      </c>
      <c r="Z3211" t="s">
        <v>58</v>
      </c>
      <c r="AA3211" t="s">
        <v>58</v>
      </c>
      <c r="AC3211" t="s">
        <v>58</v>
      </c>
      <c r="AE3211" t="s">
        <v>58</v>
      </c>
      <c r="AG3211" t="s">
        <v>63</v>
      </c>
      <c r="AH3211" s="11" t="str">
        <f t="shared" si="190"/>
        <v>mailto: soilterrain@victoria1.gov.bc.ca</v>
      </c>
    </row>
    <row r="3212" spans="1:34">
      <c r="A3212" t="s">
        <v>6751</v>
      </c>
      <c r="B3212" t="s">
        <v>56</v>
      </c>
      <c r="C3212" s="10" t="s">
        <v>1994</v>
      </c>
      <c r="D3212" t="s">
        <v>58</v>
      </c>
      <c r="E3212" t="s">
        <v>6705</v>
      </c>
      <c r="F3212" t="s">
        <v>6752</v>
      </c>
      <c r="G3212">
        <v>125000</v>
      </c>
      <c r="H3212">
        <v>1974</v>
      </c>
      <c r="I3212" t="s">
        <v>58</v>
      </c>
      <c r="J3212" t="s">
        <v>61</v>
      </c>
      <c r="K3212" t="s">
        <v>58</v>
      </c>
      <c r="L3212" t="s">
        <v>58</v>
      </c>
      <c r="M3212" t="s">
        <v>58</v>
      </c>
      <c r="P3212" t="s">
        <v>61</v>
      </c>
      <c r="Q3212" t="s">
        <v>58</v>
      </c>
      <c r="R3212" s="11" t="str">
        <f>HYPERLINK("\\imagefiles.bcgov\imagery\scanned_maps\moe_terrain_maps\Scanned_T_maps_all\T13\T13-2525","\\imagefiles.bcgov\imagery\scanned_maps\moe_terrain_maps\Scanned_T_maps_all\T13\T13-2525")</f>
        <v>\\imagefiles.bcgov\imagery\scanned_maps\moe_terrain_maps\Scanned_T_maps_all\T13\T13-2525</v>
      </c>
      <c r="S3212" t="s">
        <v>62</v>
      </c>
      <c r="T3212" s="11" t="str">
        <f>HYPERLINK("http://www.env.gov.bc.ca/esd/distdata/ecosystems/TEI_Scanned_Maps/T13/T13-2525","http://www.env.gov.bc.ca/esd/distdata/ecosystems/TEI_Scanned_Maps/T13/T13-2525")</f>
        <v>http://www.env.gov.bc.ca/esd/distdata/ecosystems/TEI_Scanned_Maps/T13/T13-2525</v>
      </c>
      <c r="U3212" t="s">
        <v>58</v>
      </c>
      <c r="V3212" t="s">
        <v>58</v>
      </c>
      <c r="W3212" t="s">
        <v>58</v>
      </c>
      <c r="X3212" t="s">
        <v>58</v>
      </c>
      <c r="Y3212" t="s">
        <v>58</v>
      </c>
      <c r="Z3212" t="s">
        <v>58</v>
      </c>
      <c r="AA3212" t="s">
        <v>58</v>
      </c>
      <c r="AC3212" t="s">
        <v>58</v>
      </c>
      <c r="AE3212" t="s">
        <v>58</v>
      </c>
      <c r="AG3212" t="s">
        <v>63</v>
      </c>
      <c r="AH3212" s="11" t="str">
        <f t="shared" si="190"/>
        <v>mailto: soilterrain@victoria1.gov.bc.ca</v>
      </c>
    </row>
    <row r="3213" spans="1:34">
      <c r="A3213" t="s">
        <v>6753</v>
      </c>
      <c r="B3213" t="s">
        <v>56</v>
      </c>
      <c r="C3213" s="10" t="s">
        <v>1994</v>
      </c>
      <c r="D3213" t="s">
        <v>58</v>
      </c>
      <c r="E3213" t="s">
        <v>6705</v>
      </c>
      <c r="F3213" t="s">
        <v>6754</v>
      </c>
      <c r="G3213">
        <v>125000</v>
      </c>
      <c r="H3213" t="s">
        <v>187</v>
      </c>
      <c r="I3213" t="s">
        <v>58</v>
      </c>
      <c r="J3213" t="s">
        <v>61</v>
      </c>
      <c r="K3213" t="s">
        <v>58</v>
      </c>
      <c r="L3213" t="s">
        <v>58</v>
      </c>
      <c r="M3213" t="s">
        <v>58</v>
      </c>
      <c r="P3213" t="s">
        <v>61</v>
      </c>
      <c r="Q3213" t="s">
        <v>58</v>
      </c>
      <c r="R3213" s="11" t="str">
        <f>HYPERLINK("\\imagefiles.bcgov\imagery\scanned_maps\moe_terrain_maps\Scanned_T_maps_all\T13\T13-2526","\\imagefiles.bcgov\imagery\scanned_maps\moe_terrain_maps\Scanned_T_maps_all\T13\T13-2526")</f>
        <v>\\imagefiles.bcgov\imagery\scanned_maps\moe_terrain_maps\Scanned_T_maps_all\T13\T13-2526</v>
      </c>
      <c r="S3213" t="s">
        <v>62</v>
      </c>
      <c r="T3213" s="11" t="str">
        <f>HYPERLINK("http://www.env.gov.bc.ca/esd/distdata/ecosystems/TEI_Scanned_Maps/T13/T13-2526","http://www.env.gov.bc.ca/esd/distdata/ecosystems/TEI_Scanned_Maps/T13/T13-2526")</f>
        <v>http://www.env.gov.bc.ca/esd/distdata/ecosystems/TEI_Scanned_Maps/T13/T13-2526</v>
      </c>
      <c r="U3213" t="s">
        <v>58</v>
      </c>
      <c r="V3213" t="s">
        <v>58</v>
      </c>
      <c r="W3213" t="s">
        <v>58</v>
      </c>
      <c r="X3213" t="s">
        <v>58</v>
      </c>
      <c r="Y3213" t="s">
        <v>58</v>
      </c>
      <c r="Z3213" t="s">
        <v>58</v>
      </c>
      <c r="AA3213" t="s">
        <v>58</v>
      </c>
      <c r="AC3213" t="s">
        <v>58</v>
      </c>
      <c r="AE3213" t="s">
        <v>58</v>
      </c>
      <c r="AG3213" t="s">
        <v>63</v>
      </c>
      <c r="AH3213" s="11" t="str">
        <f t="shared" si="190"/>
        <v>mailto: soilterrain@victoria1.gov.bc.ca</v>
      </c>
    </row>
    <row r="3214" spans="1:34">
      <c r="A3214" t="s">
        <v>6755</v>
      </c>
      <c r="B3214" t="s">
        <v>56</v>
      </c>
      <c r="C3214" s="10" t="s">
        <v>1994</v>
      </c>
      <c r="D3214" t="s">
        <v>58</v>
      </c>
      <c r="E3214" t="s">
        <v>6705</v>
      </c>
      <c r="F3214" t="s">
        <v>6756</v>
      </c>
      <c r="G3214">
        <v>125000</v>
      </c>
      <c r="H3214">
        <v>1974</v>
      </c>
      <c r="I3214" t="s">
        <v>58</v>
      </c>
      <c r="J3214" t="s">
        <v>61</v>
      </c>
      <c r="K3214" t="s">
        <v>58</v>
      </c>
      <c r="L3214" t="s">
        <v>58</v>
      </c>
      <c r="M3214" t="s">
        <v>58</v>
      </c>
      <c r="P3214" t="s">
        <v>61</v>
      </c>
      <c r="Q3214" t="s">
        <v>58</v>
      </c>
      <c r="R3214" s="11" t="str">
        <f>HYPERLINK("\\imagefiles.bcgov\imagery\scanned_maps\moe_terrain_maps\Scanned_T_maps_all\T13\T13-2527","\\imagefiles.bcgov\imagery\scanned_maps\moe_terrain_maps\Scanned_T_maps_all\T13\T13-2527")</f>
        <v>\\imagefiles.bcgov\imagery\scanned_maps\moe_terrain_maps\Scanned_T_maps_all\T13\T13-2527</v>
      </c>
      <c r="S3214" t="s">
        <v>62</v>
      </c>
      <c r="T3214" s="11" t="str">
        <f>HYPERLINK("http://www.env.gov.bc.ca/esd/distdata/ecosystems/TEI_Scanned_Maps/T13/T13-2527","http://www.env.gov.bc.ca/esd/distdata/ecosystems/TEI_Scanned_Maps/T13/T13-2527")</f>
        <v>http://www.env.gov.bc.ca/esd/distdata/ecosystems/TEI_Scanned_Maps/T13/T13-2527</v>
      </c>
      <c r="U3214" t="s">
        <v>58</v>
      </c>
      <c r="V3214" t="s">
        <v>58</v>
      </c>
      <c r="W3214" t="s">
        <v>58</v>
      </c>
      <c r="X3214" t="s">
        <v>58</v>
      </c>
      <c r="Y3214" t="s">
        <v>58</v>
      </c>
      <c r="Z3214" t="s">
        <v>58</v>
      </c>
      <c r="AA3214" t="s">
        <v>58</v>
      </c>
      <c r="AC3214" t="s">
        <v>58</v>
      </c>
      <c r="AE3214" t="s">
        <v>58</v>
      </c>
      <c r="AG3214" t="s">
        <v>63</v>
      </c>
      <c r="AH3214" s="11" t="str">
        <f t="shared" si="190"/>
        <v>mailto: soilterrain@victoria1.gov.bc.ca</v>
      </c>
    </row>
    <row r="3215" spans="1:34">
      <c r="A3215" t="s">
        <v>6757</v>
      </c>
      <c r="B3215" t="s">
        <v>56</v>
      </c>
      <c r="C3215" s="10" t="s">
        <v>977</v>
      </c>
      <c r="D3215" t="s">
        <v>61</v>
      </c>
      <c r="E3215" t="s">
        <v>6705</v>
      </c>
      <c r="F3215" t="s">
        <v>6758</v>
      </c>
      <c r="G3215">
        <v>125000</v>
      </c>
      <c r="H3215">
        <v>1974</v>
      </c>
      <c r="I3215" t="s">
        <v>58</v>
      </c>
      <c r="J3215" t="s">
        <v>61</v>
      </c>
      <c r="K3215" t="s">
        <v>58</v>
      </c>
      <c r="L3215" t="s">
        <v>58</v>
      </c>
      <c r="M3215" t="s">
        <v>58</v>
      </c>
      <c r="P3215" t="s">
        <v>61</v>
      </c>
      <c r="Q3215" t="s">
        <v>58</v>
      </c>
      <c r="R3215" s="11" t="str">
        <f>HYPERLINK("\\imagefiles.bcgov\imagery\scanned_maps\moe_terrain_maps\Scanned_T_maps_all\T13\T13-2534","\\imagefiles.bcgov\imagery\scanned_maps\moe_terrain_maps\Scanned_T_maps_all\T13\T13-2534")</f>
        <v>\\imagefiles.bcgov\imagery\scanned_maps\moe_terrain_maps\Scanned_T_maps_all\T13\T13-2534</v>
      </c>
      <c r="S3215" t="s">
        <v>62</v>
      </c>
      <c r="T3215" s="11" t="str">
        <f>HYPERLINK("http://www.env.gov.bc.ca/esd/distdata/ecosystems/TEI_Scanned_Maps/T13/T13-2534","http://www.env.gov.bc.ca/esd/distdata/ecosystems/TEI_Scanned_Maps/T13/T13-2534")</f>
        <v>http://www.env.gov.bc.ca/esd/distdata/ecosystems/TEI_Scanned_Maps/T13/T13-2534</v>
      </c>
      <c r="U3215" t="s">
        <v>58</v>
      </c>
      <c r="V3215" t="s">
        <v>58</v>
      </c>
      <c r="W3215" t="s">
        <v>58</v>
      </c>
      <c r="X3215" t="s">
        <v>58</v>
      </c>
      <c r="Y3215" t="s">
        <v>58</v>
      </c>
      <c r="Z3215" t="s">
        <v>58</v>
      </c>
      <c r="AA3215" t="s">
        <v>58</v>
      </c>
      <c r="AC3215" t="s">
        <v>58</v>
      </c>
      <c r="AE3215" t="s">
        <v>58</v>
      </c>
      <c r="AG3215" t="s">
        <v>63</v>
      </c>
      <c r="AH3215" s="11" t="str">
        <f t="shared" si="190"/>
        <v>mailto: soilterrain@victoria1.gov.bc.ca</v>
      </c>
    </row>
    <row r="3216" spans="1:34">
      <c r="A3216" t="s">
        <v>6759</v>
      </c>
      <c r="B3216" t="s">
        <v>56</v>
      </c>
      <c r="C3216" s="10" t="s">
        <v>977</v>
      </c>
      <c r="D3216" t="s">
        <v>58</v>
      </c>
      <c r="E3216" t="s">
        <v>6705</v>
      </c>
      <c r="F3216" t="s">
        <v>6760</v>
      </c>
      <c r="G3216">
        <v>125000</v>
      </c>
      <c r="H3216">
        <v>1970</v>
      </c>
      <c r="I3216" t="s">
        <v>58</v>
      </c>
      <c r="J3216" t="s">
        <v>61</v>
      </c>
      <c r="K3216" t="s">
        <v>58</v>
      </c>
      <c r="L3216" t="s">
        <v>58</v>
      </c>
      <c r="M3216" t="s">
        <v>58</v>
      </c>
      <c r="P3216" t="s">
        <v>61</v>
      </c>
      <c r="Q3216" t="s">
        <v>58</v>
      </c>
      <c r="R3216" s="11" t="str">
        <f>HYPERLINK("\\imagefiles.bcgov\imagery\scanned_maps\moe_terrain_maps\Scanned_T_maps_all\T13\T13-2536","\\imagefiles.bcgov\imagery\scanned_maps\moe_terrain_maps\Scanned_T_maps_all\T13\T13-2536")</f>
        <v>\\imagefiles.bcgov\imagery\scanned_maps\moe_terrain_maps\Scanned_T_maps_all\T13\T13-2536</v>
      </c>
      <c r="S3216" t="s">
        <v>62</v>
      </c>
      <c r="T3216" s="11" t="str">
        <f>HYPERLINK("http://www.env.gov.bc.ca/esd/distdata/ecosystems/TEI_Scanned_Maps/T13/T13-2536","http://www.env.gov.bc.ca/esd/distdata/ecosystems/TEI_Scanned_Maps/T13/T13-2536")</f>
        <v>http://www.env.gov.bc.ca/esd/distdata/ecosystems/TEI_Scanned_Maps/T13/T13-2536</v>
      </c>
      <c r="U3216" t="s">
        <v>58</v>
      </c>
      <c r="V3216" t="s">
        <v>58</v>
      </c>
      <c r="W3216" t="s">
        <v>58</v>
      </c>
      <c r="X3216" t="s">
        <v>58</v>
      </c>
      <c r="Y3216" t="s">
        <v>58</v>
      </c>
      <c r="Z3216" t="s">
        <v>58</v>
      </c>
      <c r="AA3216" t="s">
        <v>58</v>
      </c>
      <c r="AC3216" t="s">
        <v>58</v>
      </c>
      <c r="AE3216" t="s">
        <v>58</v>
      </c>
      <c r="AG3216" t="s">
        <v>63</v>
      </c>
      <c r="AH3216" s="11" t="str">
        <f t="shared" si="190"/>
        <v>mailto: soilterrain@victoria1.gov.bc.ca</v>
      </c>
    </row>
    <row r="3217" spans="1:34">
      <c r="A3217" t="s">
        <v>6761</v>
      </c>
      <c r="B3217" t="s">
        <v>56</v>
      </c>
      <c r="C3217" s="10" t="s">
        <v>977</v>
      </c>
      <c r="D3217" t="s">
        <v>58</v>
      </c>
      <c r="E3217" t="s">
        <v>6705</v>
      </c>
      <c r="F3217" t="s">
        <v>6762</v>
      </c>
      <c r="G3217">
        <v>125000</v>
      </c>
      <c r="H3217">
        <v>1972</v>
      </c>
      <c r="I3217" t="s">
        <v>58</v>
      </c>
      <c r="J3217" t="s">
        <v>61</v>
      </c>
      <c r="K3217" t="s">
        <v>58</v>
      </c>
      <c r="L3217" t="s">
        <v>58</v>
      </c>
      <c r="M3217" t="s">
        <v>58</v>
      </c>
      <c r="P3217" t="s">
        <v>61</v>
      </c>
      <c r="Q3217" t="s">
        <v>58</v>
      </c>
      <c r="R3217" s="11" t="str">
        <f>HYPERLINK("\\imagefiles.bcgov\imagery\scanned_maps\moe_terrain_maps\Scanned_T_maps_all\T13\T13-2537","\\imagefiles.bcgov\imagery\scanned_maps\moe_terrain_maps\Scanned_T_maps_all\T13\T13-2537")</f>
        <v>\\imagefiles.bcgov\imagery\scanned_maps\moe_terrain_maps\Scanned_T_maps_all\T13\T13-2537</v>
      </c>
      <c r="S3217" t="s">
        <v>62</v>
      </c>
      <c r="T3217" s="11" t="str">
        <f>HYPERLINK("http://www.env.gov.bc.ca/esd/distdata/ecosystems/TEI_Scanned_Maps/T13/T13-2537","http://www.env.gov.bc.ca/esd/distdata/ecosystems/TEI_Scanned_Maps/T13/T13-2537")</f>
        <v>http://www.env.gov.bc.ca/esd/distdata/ecosystems/TEI_Scanned_Maps/T13/T13-2537</v>
      </c>
      <c r="U3217" t="s">
        <v>58</v>
      </c>
      <c r="V3217" t="s">
        <v>58</v>
      </c>
      <c r="W3217" t="s">
        <v>58</v>
      </c>
      <c r="X3217" t="s">
        <v>58</v>
      </c>
      <c r="Y3217" t="s">
        <v>58</v>
      </c>
      <c r="Z3217" t="s">
        <v>58</v>
      </c>
      <c r="AA3217" t="s">
        <v>58</v>
      </c>
      <c r="AC3217" t="s">
        <v>58</v>
      </c>
      <c r="AE3217" t="s">
        <v>58</v>
      </c>
      <c r="AG3217" t="s">
        <v>63</v>
      </c>
      <c r="AH3217" s="11" t="str">
        <f t="shared" si="190"/>
        <v>mailto: soilterrain@victoria1.gov.bc.ca</v>
      </c>
    </row>
    <row r="3218" spans="1:34">
      <c r="A3218" t="s">
        <v>6763</v>
      </c>
      <c r="B3218" t="s">
        <v>56</v>
      </c>
      <c r="C3218" s="10" t="s">
        <v>977</v>
      </c>
      <c r="D3218" t="s">
        <v>58</v>
      </c>
      <c r="E3218" t="s">
        <v>6705</v>
      </c>
      <c r="F3218" t="s">
        <v>6764</v>
      </c>
      <c r="G3218">
        <v>125000</v>
      </c>
      <c r="H3218">
        <v>1972</v>
      </c>
      <c r="I3218" t="s">
        <v>58</v>
      </c>
      <c r="J3218" t="s">
        <v>61</v>
      </c>
      <c r="K3218" t="s">
        <v>58</v>
      </c>
      <c r="L3218" t="s">
        <v>58</v>
      </c>
      <c r="M3218" t="s">
        <v>58</v>
      </c>
      <c r="P3218" t="s">
        <v>61</v>
      </c>
      <c r="Q3218" t="s">
        <v>58</v>
      </c>
      <c r="R3218" s="11" t="str">
        <f>HYPERLINK("\\imagefiles.bcgov\imagery\scanned_maps\moe_terrain_maps\Scanned_T_maps_all\T13\T13-2538","\\imagefiles.bcgov\imagery\scanned_maps\moe_terrain_maps\Scanned_T_maps_all\T13\T13-2538")</f>
        <v>\\imagefiles.bcgov\imagery\scanned_maps\moe_terrain_maps\Scanned_T_maps_all\T13\T13-2538</v>
      </c>
      <c r="S3218" t="s">
        <v>62</v>
      </c>
      <c r="T3218" s="11" t="str">
        <f>HYPERLINK("http://www.env.gov.bc.ca/esd/distdata/ecosystems/TEI_Scanned_Maps/T13/T13-2538","http://www.env.gov.bc.ca/esd/distdata/ecosystems/TEI_Scanned_Maps/T13/T13-2538")</f>
        <v>http://www.env.gov.bc.ca/esd/distdata/ecosystems/TEI_Scanned_Maps/T13/T13-2538</v>
      </c>
      <c r="U3218" t="s">
        <v>58</v>
      </c>
      <c r="V3218" t="s">
        <v>58</v>
      </c>
      <c r="W3218" t="s">
        <v>58</v>
      </c>
      <c r="X3218" t="s">
        <v>58</v>
      </c>
      <c r="Y3218" t="s">
        <v>58</v>
      </c>
      <c r="Z3218" t="s">
        <v>58</v>
      </c>
      <c r="AA3218" t="s">
        <v>58</v>
      </c>
      <c r="AC3218" t="s">
        <v>58</v>
      </c>
      <c r="AE3218" t="s">
        <v>58</v>
      </c>
      <c r="AG3218" t="s">
        <v>63</v>
      </c>
      <c r="AH3218" s="11" t="str">
        <f t="shared" si="190"/>
        <v>mailto: soilterrain@victoria1.gov.bc.ca</v>
      </c>
    </row>
    <row r="3219" spans="1:34">
      <c r="A3219" t="s">
        <v>6765</v>
      </c>
      <c r="B3219" t="s">
        <v>56</v>
      </c>
      <c r="C3219" s="10" t="s">
        <v>977</v>
      </c>
      <c r="D3219" t="s">
        <v>58</v>
      </c>
      <c r="E3219" t="s">
        <v>6705</v>
      </c>
      <c r="F3219" t="s">
        <v>6766</v>
      </c>
      <c r="G3219">
        <v>125000</v>
      </c>
      <c r="H3219">
        <v>1974</v>
      </c>
      <c r="I3219" t="s">
        <v>58</v>
      </c>
      <c r="J3219" t="s">
        <v>61</v>
      </c>
      <c r="K3219" t="s">
        <v>58</v>
      </c>
      <c r="L3219" t="s">
        <v>58</v>
      </c>
      <c r="M3219" t="s">
        <v>58</v>
      </c>
      <c r="P3219" t="s">
        <v>61</v>
      </c>
      <c r="Q3219" t="s">
        <v>58</v>
      </c>
      <c r="R3219" s="11" t="str">
        <f>HYPERLINK("\\imagefiles.bcgov\imagery\scanned_maps\moe_terrain_maps\Scanned_T_maps_all\T13\T13-2539","\\imagefiles.bcgov\imagery\scanned_maps\moe_terrain_maps\Scanned_T_maps_all\T13\T13-2539")</f>
        <v>\\imagefiles.bcgov\imagery\scanned_maps\moe_terrain_maps\Scanned_T_maps_all\T13\T13-2539</v>
      </c>
      <c r="S3219" t="s">
        <v>62</v>
      </c>
      <c r="T3219" s="11" t="str">
        <f>HYPERLINK("http://www.env.gov.bc.ca/esd/distdata/ecosystems/TEI_Scanned_Maps/T13/T13-2539","http://www.env.gov.bc.ca/esd/distdata/ecosystems/TEI_Scanned_Maps/T13/T13-2539")</f>
        <v>http://www.env.gov.bc.ca/esd/distdata/ecosystems/TEI_Scanned_Maps/T13/T13-2539</v>
      </c>
      <c r="U3219" t="s">
        <v>58</v>
      </c>
      <c r="V3219" t="s">
        <v>58</v>
      </c>
      <c r="W3219" t="s">
        <v>58</v>
      </c>
      <c r="X3219" t="s">
        <v>58</v>
      </c>
      <c r="Y3219" t="s">
        <v>58</v>
      </c>
      <c r="Z3219" t="s">
        <v>58</v>
      </c>
      <c r="AA3219" t="s">
        <v>58</v>
      </c>
      <c r="AC3219" t="s">
        <v>58</v>
      </c>
      <c r="AE3219" t="s">
        <v>58</v>
      </c>
      <c r="AG3219" t="s">
        <v>63</v>
      </c>
      <c r="AH3219" s="11" t="str">
        <f t="shared" si="190"/>
        <v>mailto: soilterrain@victoria1.gov.bc.ca</v>
      </c>
    </row>
    <row r="3220" spans="1:34">
      <c r="A3220" t="s">
        <v>6767</v>
      </c>
      <c r="B3220" t="s">
        <v>56</v>
      </c>
      <c r="C3220" s="10" t="s">
        <v>981</v>
      </c>
      <c r="D3220" t="s">
        <v>58</v>
      </c>
      <c r="E3220" t="s">
        <v>6705</v>
      </c>
      <c r="F3220" t="s">
        <v>6768</v>
      </c>
      <c r="G3220">
        <v>125000</v>
      </c>
      <c r="H3220">
        <v>1982</v>
      </c>
      <c r="I3220" t="s">
        <v>58</v>
      </c>
      <c r="J3220" t="s">
        <v>61</v>
      </c>
      <c r="K3220" t="s">
        <v>58</v>
      </c>
      <c r="L3220" t="s">
        <v>58</v>
      </c>
      <c r="M3220" t="s">
        <v>58</v>
      </c>
      <c r="P3220" t="s">
        <v>61</v>
      </c>
      <c r="Q3220" t="s">
        <v>58</v>
      </c>
      <c r="R3220" s="11" t="str">
        <f>HYPERLINK("\\imagefiles.bcgov\imagery\scanned_maps\moe_terrain_maps\Scanned_T_maps_all\T13\T13-2575","\\imagefiles.bcgov\imagery\scanned_maps\moe_terrain_maps\Scanned_T_maps_all\T13\T13-2575")</f>
        <v>\\imagefiles.bcgov\imagery\scanned_maps\moe_terrain_maps\Scanned_T_maps_all\T13\T13-2575</v>
      </c>
      <c r="S3220" t="s">
        <v>62</v>
      </c>
      <c r="T3220" s="11" t="str">
        <f>HYPERLINK("http://www.env.gov.bc.ca/esd/distdata/ecosystems/TEI_Scanned_Maps/T13/T13-2575","http://www.env.gov.bc.ca/esd/distdata/ecosystems/TEI_Scanned_Maps/T13/T13-2575")</f>
        <v>http://www.env.gov.bc.ca/esd/distdata/ecosystems/TEI_Scanned_Maps/T13/T13-2575</v>
      </c>
      <c r="U3220" t="s">
        <v>58</v>
      </c>
      <c r="V3220" t="s">
        <v>58</v>
      </c>
      <c r="W3220" t="s">
        <v>58</v>
      </c>
      <c r="X3220" t="s">
        <v>58</v>
      </c>
      <c r="Y3220" t="s">
        <v>58</v>
      </c>
      <c r="Z3220" t="s">
        <v>58</v>
      </c>
      <c r="AA3220" t="s">
        <v>58</v>
      </c>
      <c r="AC3220" t="s">
        <v>58</v>
      </c>
      <c r="AE3220" t="s">
        <v>58</v>
      </c>
      <c r="AG3220" t="s">
        <v>63</v>
      </c>
      <c r="AH3220" s="11" t="str">
        <f t="shared" si="190"/>
        <v>mailto: soilterrain@victoria1.gov.bc.ca</v>
      </c>
    </row>
    <row r="3221" spans="1:34">
      <c r="A3221" t="s">
        <v>6769</v>
      </c>
      <c r="B3221" t="s">
        <v>56</v>
      </c>
      <c r="C3221" s="10" t="s">
        <v>981</v>
      </c>
      <c r="D3221" t="s">
        <v>58</v>
      </c>
      <c r="E3221" t="s">
        <v>6705</v>
      </c>
      <c r="F3221" t="s">
        <v>6770</v>
      </c>
      <c r="G3221">
        <v>125000</v>
      </c>
      <c r="H3221">
        <v>1982</v>
      </c>
      <c r="I3221" t="s">
        <v>58</v>
      </c>
      <c r="J3221" t="s">
        <v>61</v>
      </c>
      <c r="K3221" t="s">
        <v>58</v>
      </c>
      <c r="L3221" t="s">
        <v>58</v>
      </c>
      <c r="M3221" t="s">
        <v>58</v>
      </c>
      <c r="P3221" t="s">
        <v>61</v>
      </c>
      <c r="Q3221" t="s">
        <v>58</v>
      </c>
      <c r="R3221" s="11" t="str">
        <f>HYPERLINK("\\imagefiles.bcgov\imagery\scanned_maps\moe_terrain_maps\Scanned_T_maps_all\T13\T13-2576","\\imagefiles.bcgov\imagery\scanned_maps\moe_terrain_maps\Scanned_T_maps_all\T13\T13-2576")</f>
        <v>\\imagefiles.bcgov\imagery\scanned_maps\moe_terrain_maps\Scanned_T_maps_all\T13\T13-2576</v>
      </c>
      <c r="S3221" t="s">
        <v>62</v>
      </c>
      <c r="T3221" s="11" t="str">
        <f>HYPERLINK("http://www.env.gov.bc.ca/esd/distdata/ecosystems/TEI_Scanned_Maps/T13/T13-2576","http://www.env.gov.bc.ca/esd/distdata/ecosystems/TEI_Scanned_Maps/T13/T13-2576")</f>
        <v>http://www.env.gov.bc.ca/esd/distdata/ecosystems/TEI_Scanned_Maps/T13/T13-2576</v>
      </c>
      <c r="U3221" t="s">
        <v>58</v>
      </c>
      <c r="V3221" t="s">
        <v>58</v>
      </c>
      <c r="W3221" t="s">
        <v>58</v>
      </c>
      <c r="X3221" t="s">
        <v>58</v>
      </c>
      <c r="Y3221" t="s">
        <v>58</v>
      </c>
      <c r="Z3221" t="s">
        <v>58</v>
      </c>
      <c r="AA3221" t="s">
        <v>58</v>
      </c>
      <c r="AC3221" t="s">
        <v>58</v>
      </c>
      <c r="AE3221" t="s">
        <v>58</v>
      </c>
      <c r="AG3221" t="s">
        <v>63</v>
      </c>
      <c r="AH3221" s="11" t="str">
        <f t="shared" si="190"/>
        <v>mailto: soilterrain@victoria1.gov.bc.ca</v>
      </c>
    </row>
    <row r="3222" spans="1:34">
      <c r="A3222" t="s">
        <v>6771</v>
      </c>
      <c r="B3222" t="s">
        <v>56</v>
      </c>
      <c r="C3222" s="10" t="s">
        <v>981</v>
      </c>
      <c r="D3222" t="s">
        <v>58</v>
      </c>
      <c r="E3222" t="s">
        <v>6705</v>
      </c>
      <c r="F3222" t="s">
        <v>6772</v>
      </c>
      <c r="G3222">
        <v>125000</v>
      </c>
      <c r="H3222">
        <v>1982</v>
      </c>
      <c r="I3222" t="s">
        <v>58</v>
      </c>
      <c r="J3222" t="s">
        <v>61</v>
      </c>
      <c r="K3222" t="s">
        <v>58</v>
      </c>
      <c r="L3222" t="s">
        <v>58</v>
      </c>
      <c r="M3222" t="s">
        <v>58</v>
      </c>
      <c r="P3222" t="s">
        <v>61</v>
      </c>
      <c r="Q3222" t="s">
        <v>58</v>
      </c>
      <c r="R3222" s="11" t="str">
        <f>HYPERLINK("\\imagefiles.bcgov\imagery\scanned_maps\moe_terrain_maps\Scanned_T_maps_all\T13\T13-2577","\\imagefiles.bcgov\imagery\scanned_maps\moe_terrain_maps\Scanned_T_maps_all\T13\T13-2577")</f>
        <v>\\imagefiles.bcgov\imagery\scanned_maps\moe_terrain_maps\Scanned_T_maps_all\T13\T13-2577</v>
      </c>
      <c r="S3222" t="s">
        <v>62</v>
      </c>
      <c r="T3222" s="11" t="str">
        <f>HYPERLINK("http://www.env.gov.bc.ca/esd/distdata/ecosystems/TEI_Scanned_Maps/T13/T13-2577","http://www.env.gov.bc.ca/esd/distdata/ecosystems/TEI_Scanned_Maps/T13/T13-2577")</f>
        <v>http://www.env.gov.bc.ca/esd/distdata/ecosystems/TEI_Scanned_Maps/T13/T13-2577</v>
      </c>
      <c r="U3222" t="s">
        <v>58</v>
      </c>
      <c r="V3222" t="s">
        <v>58</v>
      </c>
      <c r="W3222" t="s">
        <v>58</v>
      </c>
      <c r="X3222" t="s">
        <v>58</v>
      </c>
      <c r="Y3222" t="s">
        <v>58</v>
      </c>
      <c r="Z3222" t="s">
        <v>58</v>
      </c>
      <c r="AA3222" t="s">
        <v>58</v>
      </c>
      <c r="AC3222" t="s">
        <v>58</v>
      </c>
      <c r="AE3222" t="s">
        <v>58</v>
      </c>
      <c r="AG3222" t="s">
        <v>63</v>
      </c>
      <c r="AH3222" s="11" t="str">
        <f t="shared" si="190"/>
        <v>mailto: soilterrain@victoria1.gov.bc.ca</v>
      </c>
    </row>
    <row r="3223" spans="1:34">
      <c r="A3223" t="s">
        <v>6773</v>
      </c>
      <c r="B3223" t="s">
        <v>56</v>
      </c>
      <c r="C3223" s="10" t="s">
        <v>981</v>
      </c>
      <c r="D3223" t="s">
        <v>58</v>
      </c>
      <c r="E3223" t="s">
        <v>6705</v>
      </c>
      <c r="F3223" t="s">
        <v>6774</v>
      </c>
      <c r="G3223">
        <v>125000</v>
      </c>
      <c r="H3223">
        <v>1974</v>
      </c>
      <c r="I3223" t="s">
        <v>58</v>
      </c>
      <c r="J3223" t="s">
        <v>61</v>
      </c>
      <c r="K3223" t="s">
        <v>58</v>
      </c>
      <c r="L3223" t="s">
        <v>58</v>
      </c>
      <c r="M3223" t="s">
        <v>58</v>
      </c>
      <c r="P3223" t="s">
        <v>61</v>
      </c>
      <c r="Q3223" t="s">
        <v>58</v>
      </c>
      <c r="R3223" s="11" t="str">
        <f>HYPERLINK("\\imagefiles.bcgov\imagery\scanned_maps\moe_terrain_maps\Scanned_T_maps_all\T13\T13-2578","\\imagefiles.bcgov\imagery\scanned_maps\moe_terrain_maps\Scanned_T_maps_all\T13\T13-2578")</f>
        <v>\\imagefiles.bcgov\imagery\scanned_maps\moe_terrain_maps\Scanned_T_maps_all\T13\T13-2578</v>
      </c>
      <c r="S3223" t="s">
        <v>62</v>
      </c>
      <c r="T3223" s="11" t="str">
        <f>HYPERLINK("http://www.env.gov.bc.ca/esd/distdata/ecosystems/TEI_Scanned_Maps/T13/T13-2578","http://www.env.gov.bc.ca/esd/distdata/ecosystems/TEI_Scanned_Maps/T13/T13-2578")</f>
        <v>http://www.env.gov.bc.ca/esd/distdata/ecosystems/TEI_Scanned_Maps/T13/T13-2578</v>
      </c>
      <c r="U3223" t="s">
        <v>58</v>
      </c>
      <c r="V3223" t="s">
        <v>58</v>
      </c>
      <c r="W3223" t="s">
        <v>58</v>
      </c>
      <c r="X3223" t="s">
        <v>58</v>
      </c>
      <c r="Y3223" t="s">
        <v>58</v>
      </c>
      <c r="Z3223" t="s">
        <v>58</v>
      </c>
      <c r="AA3223" t="s">
        <v>58</v>
      </c>
      <c r="AC3223" t="s">
        <v>58</v>
      </c>
      <c r="AE3223" t="s">
        <v>58</v>
      </c>
      <c r="AG3223" t="s">
        <v>63</v>
      </c>
      <c r="AH3223" s="11" t="str">
        <f t="shared" si="190"/>
        <v>mailto: soilterrain@victoria1.gov.bc.ca</v>
      </c>
    </row>
    <row r="3224" spans="1:34">
      <c r="A3224" t="s">
        <v>6775</v>
      </c>
      <c r="B3224" t="s">
        <v>56</v>
      </c>
      <c r="C3224" s="10" t="s">
        <v>6467</v>
      </c>
      <c r="D3224" t="s">
        <v>58</v>
      </c>
      <c r="E3224" t="s">
        <v>6468</v>
      </c>
      <c r="F3224" t="s">
        <v>6776</v>
      </c>
      <c r="G3224">
        <v>50000</v>
      </c>
      <c r="H3224">
        <v>1982</v>
      </c>
      <c r="I3224" t="s">
        <v>58</v>
      </c>
      <c r="J3224" t="s">
        <v>61</v>
      </c>
      <c r="K3224" t="s">
        <v>61</v>
      </c>
      <c r="L3224" t="s">
        <v>58</v>
      </c>
      <c r="M3224" t="s">
        <v>58</v>
      </c>
      <c r="Q3224" t="s">
        <v>58</v>
      </c>
      <c r="R3224" s="11" t="str">
        <f>HYPERLINK("\\imagefiles.bcgov\imagery\scanned_maps\moe_terrain_maps\Scanned_T_maps_all\T15\T15-2191","\\imagefiles.bcgov\imagery\scanned_maps\moe_terrain_maps\Scanned_T_maps_all\T15\T15-2191")</f>
        <v>\\imagefiles.bcgov\imagery\scanned_maps\moe_terrain_maps\Scanned_T_maps_all\T15\T15-2191</v>
      </c>
      <c r="S3224" t="s">
        <v>62</v>
      </c>
      <c r="T3224" s="11" t="str">
        <f>HYPERLINK("http://www.env.gov.bc.ca/esd/distdata/ecosystems/TEI_Scanned_Maps/T15/T15-2191","http://www.env.gov.bc.ca/esd/distdata/ecosystems/TEI_Scanned_Maps/T15/T15-2191")</f>
        <v>http://www.env.gov.bc.ca/esd/distdata/ecosystems/TEI_Scanned_Maps/T15/T15-2191</v>
      </c>
      <c r="U3224" t="s">
        <v>58</v>
      </c>
      <c r="V3224" t="s">
        <v>58</v>
      </c>
      <c r="W3224" t="s">
        <v>58</v>
      </c>
      <c r="X3224" t="s">
        <v>58</v>
      </c>
      <c r="Y3224" t="s">
        <v>58</v>
      </c>
      <c r="Z3224" t="s">
        <v>58</v>
      </c>
      <c r="AA3224" t="s">
        <v>58</v>
      </c>
      <c r="AC3224" t="s">
        <v>58</v>
      </c>
      <c r="AE3224" t="s">
        <v>58</v>
      </c>
      <c r="AG3224" t="s">
        <v>63</v>
      </c>
      <c r="AH3224" s="11" t="str">
        <f t="shared" si="190"/>
        <v>mailto: soilterrain@victoria1.gov.bc.ca</v>
      </c>
    </row>
    <row r="3225" spans="1:34">
      <c r="A3225" t="s">
        <v>6777</v>
      </c>
      <c r="B3225" t="s">
        <v>56</v>
      </c>
      <c r="C3225" s="10" t="s">
        <v>6471</v>
      </c>
      <c r="D3225" t="s">
        <v>58</v>
      </c>
      <c r="E3225" t="s">
        <v>6468</v>
      </c>
      <c r="F3225" t="s">
        <v>6778</v>
      </c>
      <c r="G3225">
        <v>50000</v>
      </c>
      <c r="H3225">
        <v>1969</v>
      </c>
      <c r="I3225" t="s">
        <v>58</v>
      </c>
      <c r="J3225" t="s">
        <v>61</v>
      </c>
      <c r="K3225" t="s">
        <v>61</v>
      </c>
      <c r="L3225" t="s">
        <v>58</v>
      </c>
      <c r="M3225" t="s">
        <v>58</v>
      </c>
      <c r="Q3225" t="s">
        <v>58</v>
      </c>
      <c r="R3225" s="11" t="str">
        <f>HYPERLINK("\\imagefiles.bcgov\imagery\scanned_maps\moe_terrain_maps\Scanned_T_maps_all\T15\T15-2192","\\imagefiles.bcgov\imagery\scanned_maps\moe_terrain_maps\Scanned_T_maps_all\T15\T15-2192")</f>
        <v>\\imagefiles.bcgov\imagery\scanned_maps\moe_terrain_maps\Scanned_T_maps_all\T15\T15-2192</v>
      </c>
      <c r="S3225" t="s">
        <v>62</v>
      </c>
      <c r="T3225" s="11" t="str">
        <f>HYPERLINK("http://www.env.gov.bc.ca/esd/distdata/ecosystems/TEI_Scanned_Maps/T15/T15-2192","http://www.env.gov.bc.ca/esd/distdata/ecosystems/TEI_Scanned_Maps/T15/T15-2192")</f>
        <v>http://www.env.gov.bc.ca/esd/distdata/ecosystems/TEI_Scanned_Maps/T15/T15-2192</v>
      </c>
      <c r="U3225" t="s">
        <v>58</v>
      </c>
      <c r="V3225" t="s">
        <v>58</v>
      </c>
      <c r="W3225" t="s">
        <v>58</v>
      </c>
      <c r="X3225" t="s">
        <v>58</v>
      </c>
      <c r="Y3225" t="s">
        <v>58</v>
      </c>
      <c r="Z3225" t="s">
        <v>58</v>
      </c>
      <c r="AA3225" t="s">
        <v>58</v>
      </c>
      <c r="AC3225" t="s">
        <v>58</v>
      </c>
      <c r="AE3225" t="s">
        <v>58</v>
      </c>
      <c r="AG3225" t="s">
        <v>63</v>
      </c>
      <c r="AH3225" s="11" t="str">
        <f t="shared" si="190"/>
        <v>mailto: soilterrain@victoria1.gov.bc.ca</v>
      </c>
    </row>
    <row r="3226" spans="1:34">
      <c r="A3226" t="s">
        <v>6779</v>
      </c>
      <c r="B3226" t="s">
        <v>56</v>
      </c>
      <c r="C3226" s="10" t="s">
        <v>6467</v>
      </c>
      <c r="D3226" t="s">
        <v>58</v>
      </c>
      <c r="E3226" t="s">
        <v>6468</v>
      </c>
      <c r="F3226" t="s">
        <v>6780</v>
      </c>
      <c r="G3226">
        <v>50000</v>
      </c>
      <c r="H3226">
        <v>1972</v>
      </c>
      <c r="I3226" t="s">
        <v>58</v>
      </c>
      <c r="J3226" t="s">
        <v>61</v>
      </c>
      <c r="K3226" t="s">
        <v>58</v>
      </c>
      <c r="L3226" t="s">
        <v>58</v>
      </c>
      <c r="M3226" t="s">
        <v>58</v>
      </c>
      <c r="N3226" t="s">
        <v>61</v>
      </c>
      <c r="Q3226" t="s">
        <v>58</v>
      </c>
      <c r="R3226" s="11" t="str">
        <f>HYPERLINK("\\imagefiles.bcgov\imagery\scanned_maps\moe_terrain_maps\Scanned_T_maps_all\T15\T15-2195","\\imagefiles.bcgov\imagery\scanned_maps\moe_terrain_maps\Scanned_T_maps_all\T15\T15-2195")</f>
        <v>\\imagefiles.bcgov\imagery\scanned_maps\moe_terrain_maps\Scanned_T_maps_all\T15\T15-2195</v>
      </c>
      <c r="S3226" t="s">
        <v>62</v>
      </c>
      <c r="T3226" s="11" t="str">
        <f>HYPERLINK("http://www.env.gov.bc.ca/esd/distdata/ecosystems/TEI_Scanned_Maps/T15/T15-2195","http://www.env.gov.bc.ca/esd/distdata/ecosystems/TEI_Scanned_Maps/T15/T15-2195")</f>
        <v>http://www.env.gov.bc.ca/esd/distdata/ecosystems/TEI_Scanned_Maps/T15/T15-2195</v>
      </c>
      <c r="U3226" t="s">
        <v>58</v>
      </c>
      <c r="V3226" t="s">
        <v>58</v>
      </c>
      <c r="W3226" t="s">
        <v>58</v>
      </c>
      <c r="X3226" t="s">
        <v>58</v>
      </c>
      <c r="Y3226" t="s">
        <v>58</v>
      </c>
      <c r="Z3226" t="s">
        <v>58</v>
      </c>
      <c r="AA3226" t="s">
        <v>58</v>
      </c>
      <c r="AC3226" t="s">
        <v>58</v>
      </c>
      <c r="AE3226" t="s">
        <v>58</v>
      </c>
      <c r="AG3226" t="s">
        <v>63</v>
      </c>
      <c r="AH3226" s="11" t="str">
        <f t="shared" si="190"/>
        <v>mailto: soilterrain@victoria1.gov.bc.ca</v>
      </c>
    </row>
    <row r="3227" spans="1:34">
      <c r="A3227" t="s">
        <v>6781</v>
      </c>
      <c r="B3227" t="s">
        <v>56</v>
      </c>
      <c r="C3227" s="10" t="s">
        <v>6471</v>
      </c>
      <c r="D3227" t="s">
        <v>58</v>
      </c>
      <c r="E3227" t="s">
        <v>6468</v>
      </c>
      <c r="F3227" t="s">
        <v>6782</v>
      </c>
      <c r="G3227">
        <v>50000</v>
      </c>
      <c r="H3227" t="s">
        <v>187</v>
      </c>
      <c r="I3227" t="s">
        <v>58</v>
      </c>
      <c r="J3227" t="s">
        <v>61</v>
      </c>
      <c r="K3227" t="s">
        <v>58</v>
      </c>
      <c r="L3227" t="s">
        <v>58</v>
      </c>
      <c r="M3227" t="s">
        <v>58</v>
      </c>
      <c r="N3227" t="s">
        <v>61</v>
      </c>
      <c r="Q3227" t="s">
        <v>58</v>
      </c>
      <c r="R3227" s="11" t="str">
        <f>HYPERLINK("\\imagefiles.bcgov\imagery\scanned_maps\moe_terrain_maps\Scanned_T_maps_all\T15\T15-2196","\\imagefiles.bcgov\imagery\scanned_maps\moe_terrain_maps\Scanned_T_maps_all\T15\T15-2196")</f>
        <v>\\imagefiles.bcgov\imagery\scanned_maps\moe_terrain_maps\Scanned_T_maps_all\T15\T15-2196</v>
      </c>
      <c r="S3227" t="s">
        <v>62</v>
      </c>
      <c r="T3227" s="11" t="str">
        <f>HYPERLINK("http://www.env.gov.bc.ca/esd/distdata/ecosystems/TEI_Scanned_Maps/T15/T15-2196","http://www.env.gov.bc.ca/esd/distdata/ecosystems/TEI_Scanned_Maps/T15/T15-2196")</f>
        <v>http://www.env.gov.bc.ca/esd/distdata/ecosystems/TEI_Scanned_Maps/T15/T15-2196</v>
      </c>
      <c r="U3227" t="s">
        <v>58</v>
      </c>
      <c r="V3227" t="s">
        <v>58</v>
      </c>
      <c r="W3227" t="s">
        <v>58</v>
      </c>
      <c r="X3227" t="s">
        <v>58</v>
      </c>
      <c r="Y3227" t="s">
        <v>58</v>
      </c>
      <c r="Z3227" t="s">
        <v>58</v>
      </c>
      <c r="AA3227" t="s">
        <v>58</v>
      </c>
      <c r="AC3227" t="s">
        <v>58</v>
      </c>
      <c r="AE3227" t="s">
        <v>58</v>
      </c>
      <c r="AG3227" t="s">
        <v>63</v>
      </c>
      <c r="AH3227" s="11" t="str">
        <f t="shared" si="190"/>
        <v>mailto: soilterrain@victoria1.gov.bc.ca</v>
      </c>
    </row>
    <row r="3228" spans="1:34">
      <c r="A3228" t="s">
        <v>6783</v>
      </c>
      <c r="B3228" t="s">
        <v>56</v>
      </c>
      <c r="C3228" s="10" t="s">
        <v>3192</v>
      </c>
      <c r="D3228" t="s">
        <v>58</v>
      </c>
      <c r="E3228" t="s">
        <v>6784</v>
      </c>
      <c r="F3228" t="s">
        <v>6785</v>
      </c>
      <c r="G3228">
        <v>100000</v>
      </c>
      <c r="H3228">
        <v>1976</v>
      </c>
      <c r="I3228" t="s">
        <v>58</v>
      </c>
      <c r="J3228" t="s">
        <v>61</v>
      </c>
      <c r="K3228" t="s">
        <v>58</v>
      </c>
      <c r="L3228" t="s">
        <v>58</v>
      </c>
      <c r="M3228" t="s">
        <v>58</v>
      </c>
      <c r="P3228" t="s">
        <v>61</v>
      </c>
      <c r="Q3228" t="s">
        <v>58</v>
      </c>
      <c r="R3228" s="11" t="str">
        <f>HYPERLINK("\\imagefiles.bcgov\imagery\scanned_maps\moe_terrain_maps\Scanned_T_maps_all\T17\T17-4637","\\imagefiles.bcgov\imagery\scanned_maps\moe_terrain_maps\Scanned_T_maps_all\T17\T17-4637")</f>
        <v>\\imagefiles.bcgov\imagery\scanned_maps\moe_terrain_maps\Scanned_T_maps_all\T17\T17-4637</v>
      </c>
      <c r="S3228" t="s">
        <v>62</v>
      </c>
      <c r="T3228" s="11" t="str">
        <f>HYPERLINK("http://www.env.gov.bc.ca/esd/distdata/ecosystems/TEI_Scanned_Maps/T17/T17-4637","http://www.env.gov.bc.ca/esd/distdata/ecosystems/TEI_Scanned_Maps/T17/T17-4637")</f>
        <v>http://www.env.gov.bc.ca/esd/distdata/ecosystems/TEI_Scanned_Maps/T17/T17-4637</v>
      </c>
      <c r="U3228" t="s">
        <v>58</v>
      </c>
      <c r="V3228" t="s">
        <v>58</v>
      </c>
      <c r="W3228" t="s">
        <v>58</v>
      </c>
      <c r="X3228" t="s">
        <v>58</v>
      </c>
      <c r="Y3228" t="s">
        <v>58</v>
      </c>
      <c r="Z3228" t="s">
        <v>58</v>
      </c>
      <c r="AA3228" t="s">
        <v>58</v>
      </c>
      <c r="AC3228" t="s">
        <v>58</v>
      </c>
      <c r="AE3228" t="s">
        <v>58</v>
      </c>
      <c r="AG3228" t="s">
        <v>63</v>
      </c>
      <c r="AH3228" s="11" t="str">
        <f t="shared" si="190"/>
        <v>mailto: soilterrain@victoria1.gov.bc.ca</v>
      </c>
    </row>
    <row r="3229" spans="1:34">
      <c r="A3229" t="s">
        <v>6786</v>
      </c>
      <c r="B3229" t="s">
        <v>56</v>
      </c>
      <c r="C3229" s="10" t="s">
        <v>6787</v>
      </c>
      <c r="D3229" t="s">
        <v>58</v>
      </c>
      <c r="E3229" t="s">
        <v>6784</v>
      </c>
      <c r="F3229" t="s">
        <v>6785</v>
      </c>
      <c r="G3229">
        <v>100000</v>
      </c>
      <c r="H3229" t="s">
        <v>187</v>
      </c>
      <c r="I3229" t="s">
        <v>58</v>
      </c>
      <c r="J3229" t="s">
        <v>61</v>
      </c>
      <c r="K3229" t="s">
        <v>58</v>
      </c>
      <c r="L3229" t="s">
        <v>58</v>
      </c>
      <c r="M3229" t="s">
        <v>58</v>
      </c>
      <c r="P3229" t="s">
        <v>61</v>
      </c>
      <c r="Q3229" t="s">
        <v>58</v>
      </c>
      <c r="R3229" s="11" t="str">
        <f>HYPERLINK("\\imagefiles.bcgov\imagery\scanned_maps\moe_terrain_maps\Scanned_T_maps_all\T17\T17-4638","\\imagefiles.bcgov\imagery\scanned_maps\moe_terrain_maps\Scanned_T_maps_all\T17\T17-4638")</f>
        <v>\\imagefiles.bcgov\imagery\scanned_maps\moe_terrain_maps\Scanned_T_maps_all\T17\T17-4638</v>
      </c>
      <c r="S3229" t="s">
        <v>62</v>
      </c>
      <c r="T3229" s="11" t="str">
        <f>HYPERLINK("http://www.env.gov.bc.ca/esd/distdata/ecosystems/TEI_Scanned_Maps/T17/T17-4638","http://www.env.gov.bc.ca/esd/distdata/ecosystems/TEI_Scanned_Maps/T17/T17-4638")</f>
        <v>http://www.env.gov.bc.ca/esd/distdata/ecosystems/TEI_Scanned_Maps/T17/T17-4638</v>
      </c>
      <c r="U3229" t="s">
        <v>58</v>
      </c>
      <c r="V3229" t="s">
        <v>58</v>
      </c>
      <c r="W3229" t="s">
        <v>58</v>
      </c>
      <c r="X3229" t="s">
        <v>58</v>
      </c>
      <c r="Y3229" t="s">
        <v>58</v>
      </c>
      <c r="Z3229" t="s">
        <v>58</v>
      </c>
      <c r="AA3229" t="s">
        <v>58</v>
      </c>
      <c r="AC3229" t="s">
        <v>58</v>
      </c>
      <c r="AE3229" t="s">
        <v>58</v>
      </c>
      <c r="AG3229" t="s">
        <v>63</v>
      </c>
      <c r="AH3229" s="11" t="str">
        <f t="shared" si="190"/>
        <v>mailto: soilterrain@victoria1.gov.bc.ca</v>
      </c>
    </row>
    <row r="3230" spans="1:34">
      <c r="A3230" t="s">
        <v>6788</v>
      </c>
      <c r="B3230" t="s">
        <v>56</v>
      </c>
      <c r="C3230" s="10" t="s">
        <v>6789</v>
      </c>
      <c r="D3230" t="s">
        <v>58</v>
      </c>
      <c r="E3230" t="s">
        <v>6784</v>
      </c>
      <c r="F3230" t="s">
        <v>6785</v>
      </c>
      <c r="G3230">
        <v>100000</v>
      </c>
      <c r="H3230" t="s">
        <v>187</v>
      </c>
      <c r="I3230" t="s">
        <v>58</v>
      </c>
      <c r="J3230" t="s">
        <v>61</v>
      </c>
      <c r="K3230" t="s">
        <v>58</v>
      </c>
      <c r="L3230" t="s">
        <v>58</v>
      </c>
      <c r="M3230" t="s">
        <v>58</v>
      </c>
      <c r="P3230" t="s">
        <v>61</v>
      </c>
      <c r="Q3230" t="s">
        <v>58</v>
      </c>
      <c r="R3230" s="11" t="str">
        <f>HYPERLINK("\\imagefiles.bcgov\imagery\scanned_maps\moe_terrain_maps\Scanned_T_maps_all\T17\T17-4639","\\imagefiles.bcgov\imagery\scanned_maps\moe_terrain_maps\Scanned_T_maps_all\T17\T17-4639")</f>
        <v>\\imagefiles.bcgov\imagery\scanned_maps\moe_terrain_maps\Scanned_T_maps_all\T17\T17-4639</v>
      </c>
      <c r="S3230" t="s">
        <v>62</v>
      </c>
      <c r="T3230" s="11" t="str">
        <f>HYPERLINK("http://www.env.gov.bc.ca/esd/distdata/ecosystems/TEI_Scanned_Maps/T17/T17-4639","http://www.env.gov.bc.ca/esd/distdata/ecosystems/TEI_Scanned_Maps/T17/T17-4639")</f>
        <v>http://www.env.gov.bc.ca/esd/distdata/ecosystems/TEI_Scanned_Maps/T17/T17-4639</v>
      </c>
      <c r="U3230" t="s">
        <v>58</v>
      </c>
      <c r="V3230" t="s">
        <v>58</v>
      </c>
      <c r="W3230" t="s">
        <v>58</v>
      </c>
      <c r="X3230" t="s">
        <v>58</v>
      </c>
      <c r="Y3230" t="s">
        <v>58</v>
      </c>
      <c r="Z3230" t="s">
        <v>58</v>
      </c>
      <c r="AA3230" t="s">
        <v>58</v>
      </c>
      <c r="AC3230" t="s">
        <v>58</v>
      </c>
      <c r="AE3230" t="s">
        <v>58</v>
      </c>
      <c r="AG3230" t="s">
        <v>63</v>
      </c>
      <c r="AH3230" s="11" t="str">
        <f t="shared" si="190"/>
        <v>mailto: soilterrain@victoria1.gov.bc.ca</v>
      </c>
    </row>
    <row r="3231" spans="1:34">
      <c r="A3231" t="s">
        <v>6790</v>
      </c>
      <c r="B3231" t="s">
        <v>56</v>
      </c>
      <c r="C3231" s="10" t="s">
        <v>6791</v>
      </c>
      <c r="D3231" t="s">
        <v>58</v>
      </c>
      <c r="E3231" t="s">
        <v>6784</v>
      </c>
      <c r="F3231" t="s">
        <v>6785</v>
      </c>
      <c r="G3231">
        <v>100000</v>
      </c>
      <c r="H3231" t="s">
        <v>187</v>
      </c>
      <c r="I3231" t="s">
        <v>58</v>
      </c>
      <c r="J3231" t="s">
        <v>61</v>
      </c>
      <c r="K3231" t="s">
        <v>58</v>
      </c>
      <c r="L3231" t="s">
        <v>58</v>
      </c>
      <c r="M3231" t="s">
        <v>58</v>
      </c>
      <c r="P3231" t="s">
        <v>61</v>
      </c>
      <c r="Q3231" t="s">
        <v>58</v>
      </c>
      <c r="R3231" s="11" t="str">
        <f>HYPERLINK("\\imagefiles.bcgov\imagery\scanned_maps\moe_terrain_maps\Scanned_T_maps_all\T17\T17-4640","\\imagefiles.bcgov\imagery\scanned_maps\moe_terrain_maps\Scanned_T_maps_all\T17\T17-4640")</f>
        <v>\\imagefiles.bcgov\imagery\scanned_maps\moe_terrain_maps\Scanned_T_maps_all\T17\T17-4640</v>
      </c>
      <c r="S3231" t="s">
        <v>62</v>
      </c>
      <c r="T3231" s="11" t="str">
        <f>HYPERLINK("http://www.env.gov.bc.ca/esd/distdata/ecosystems/TEI_Scanned_Maps/T17/T17-4640","http://www.env.gov.bc.ca/esd/distdata/ecosystems/TEI_Scanned_Maps/T17/T17-4640")</f>
        <v>http://www.env.gov.bc.ca/esd/distdata/ecosystems/TEI_Scanned_Maps/T17/T17-4640</v>
      </c>
      <c r="U3231" t="s">
        <v>58</v>
      </c>
      <c r="V3231" t="s">
        <v>58</v>
      </c>
      <c r="W3231" t="s">
        <v>58</v>
      </c>
      <c r="X3231" t="s">
        <v>58</v>
      </c>
      <c r="Y3231" t="s">
        <v>58</v>
      </c>
      <c r="Z3231" t="s">
        <v>58</v>
      </c>
      <c r="AA3231" t="s">
        <v>58</v>
      </c>
      <c r="AC3231" t="s">
        <v>58</v>
      </c>
      <c r="AE3231" t="s">
        <v>58</v>
      </c>
      <c r="AG3231" t="s">
        <v>63</v>
      </c>
      <c r="AH3231" s="11" t="str">
        <f t="shared" si="190"/>
        <v>mailto: soilterrain@victoria1.gov.bc.ca</v>
      </c>
    </row>
    <row r="3232" spans="1:34">
      <c r="A3232" t="s">
        <v>6792</v>
      </c>
      <c r="B3232" t="s">
        <v>56</v>
      </c>
      <c r="C3232" s="10" t="s">
        <v>6793</v>
      </c>
      <c r="D3232" t="s">
        <v>58</v>
      </c>
      <c r="E3232" t="s">
        <v>6784</v>
      </c>
      <c r="F3232" t="s">
        <v>6785</v>
      </c>
      <c r="G3232">
        <v>100000</v>
      </c>
      <c r="H3232" t="s">
        <v>187</v>
      </c>
      <c r="I3232" t="s">
        <v>58</v>
      </c>
      <c r="J3232" t="s">
        <v>61</v>
      </c>
      <c r="K3232" t="s">
        <v>58</v>
      </c>
      <c r="L3232" t="s">
        <v>58</v>
      </c>
      <c r="M3232" t="s">
        <v>58</v>
      </c>
      <c r="P3232" t="s">
        <v>61</v>
      </c>
      <c r="Q3232" t="s">
        <v>58</v>
      </c>
      <c r="R3232" s="11" t="str">
        <f>HYPERLINK("\\imagefiles.bcgov\imagery\scanned_maps\moe_terrain_maps\Scanned_T_maps_all\T17\T17-4641","\\imagefiles.bcgov\imagery\scanned_maps\moe_terrain_maps\Scanned_T_maps_all\T17\T17-4641")</f>
        <v>\\imagefiles.bcgov\imagery\scanned_maps\moe_terrain_maps\Scanned_T_maps_all\T17\T17-4641</v>
      </c>
      <c r="S3232" t="s">
        <v>62</v>
      </c>
      <c r="T3232" s="11" t="str">
        <f>HYPERLINK("http://www.env.gov.bc.ca/esd/distdata/ecosystems/TEI_Scanned_Maps/T17/T17-4641","http://www.env.gov.bc.ca/esd/distdata/ecosystems/TEI_Scanned_Maps/T17/T17-4641")</f>
        <v>http://www.env.gov.bc.ca/esd/distdata/ecosystems/TEI_Scanned_Maps/T17/T17-4641</v>
      </c>
      <c r="U3232" t="s">
        <v>58</v>
      </c>
      <c r="V3232" t="s">
        <v>58</v>
      </c>
      <c r="W3232" t="s">
        <v>58</v>
      </c>
      <c r="X3232" t="s">
        <v>58</v>
      </c>
      <c r="Y3232" t="s">
        <v>58</v>
      </c>
      <c r="Z3232" t="s">
        <v>58</v>
      </c>
      <c r="AA3232" t="s">
        <v>58</v>
      </c>
      <c r="AC3232" t="s">
        <v>58</v>
      </c>
      <c r="AE3232" t="s">
        <v>58</v>
      </c>
      <c r="AG3232" t="s">
        <v>63</v>
      </c>
      <c r="AH3232" s="11" t="str">
        <f t="shared" si="190"/>
        <v>mailto: soilterrain@victoria1.gov.bc.ca</v>
      </c>
    </row>
    <row r="3233" spans="1:34">
      <c r="A3233" t="s">
        <v>6794</v>
      </c>
      <c r="B3233" t="s">
        <v>56</v>
      </c>
      <c r="C3233" s="10" t="s">
        <v>6795</v>
      </c>
      <c r="D3233" t="s">
        <v>58</v>
      </c>
      <c r="E3233" t="s">
        <v>6784</v>
      </c>
      <c r="F3233" t="s">
        <v>6785</v>
      </c>
      <c r="G3233">
        <v>100000</v>
      </c>
      <c r="H3233" t="s">
        <v>187</v>
      </c>
      <c r="I3233" t="s">
        <v>58</v>
      </c>
      <c r="J3233" t="s">
        <v>61</v>
      </c>
      <c r="K3233" t="s">
        <v>58</v>
      </c>
      <c r="L3233" t="s">
        <v>58</v>
      </c>
      <c r="M3233" t="s">
        <v>58</v>
      </c>
      <c r="P3233" t="s">
        <v>61</v>
      </c>
      <c r="Q3233" t="s">
        <v>58</v>
      </c>
      <c r="R3233" s="11" t="str">
        <f>HYPERLINK("\\imagefiles.bcgov\imagery\scanned_maps\moe_terrain_maps\Scanned_T_maps_all\T17\T17-4642","\\imagefiles.bcgov\imagery\scanned_maps\moe_terrain_maps\Scanned_T_maps_all\T17\T17-4642")</f>
        <v>\\imagefiles.bcgov\imagery\scanned_maps\moe_terrain_maps\Scanned_T_maps_all\T17\T17-4642</v>
      </c>
      <c r="S3233" t="s">
        <v>62</v>
      </c>
      <c r="T3233" s="11" t="str">
        <f>HYPERLINK("http://www.env.gov.bc.ca/esd/distdata/ecosystems/TEI_Scanned_Maps/T17/T17-4642","http://www.env.gov.bc.ca/esd/distdata/ecosystems/TEI_Scanned_Maps/T17/T17-4642")</f>
        <v>http://www.env.gov.bc.ca/esd/distdata/ecosystems/TEI_Scanned_Maps/T17/T17-4642</v>
      </c>
      <c r="U3233" t="s">
        <v>58</v>
      </c>
      <c r="V3233" t="s">
        <v>58</v>
      </c>
      <c r="W3233" t="s">
        <v>58</v>
      </c>
      <c r="X3233" t="s">
        <v>58</v>
      </c>
      <c r="Y3233" t="s">
        <v>58</v>
      </c>
      <c r="Z3233" t="s">
        <v>58</v>
      </c>
      <c r="AA3233" t="s">
        <v>58</v>
      </c>
      <c r="AC3233" t="s">
        <v>58</v>
      </c>
      <c r="AE3233" t="s">
        <v>58</v>
      </c>
      <c r="AG3233" t="s">
        <v>63</v>
      </c>
      <c r="AH3233" s="11" t="str">
        <f t="shared" si="190"/>
        <v>mailto: soilterrain@victoria1.gov.bc.ca</v>
      </c>
    </row>
    <row r="3234" spans="1:34">
      <c r="A3234" t="s">
        <v>6796</v>
      </c>
      <c r="B3234" t="s">
        <v>56</v>
      </c>
      <c r="C3234" s="10" t="s">
        <v>6797</v>
      </c>
      <c r="D3234" t="s">
        <v>58</v>
      </c>
      <c r="E3234" t="s">
        <v>6784</v>
      </c>
      <c r="F3234" t="s">
        <v>6785</v>
      </c>
      <c r="G3234">
        <v>100000</v>
      </c>
      <c r="H3234" t="s">
        <v>187</v>
      </c>
      <c r="I3234" t="s">
        <v>58</v>
      </c>
      <c r="J3234" t="s">
        <v>61</v>
      </c>
      <c r="K3234" t="s">
        <v>58</v>
      </c>
      <c r="L3234" t="s">
        <v>58</v>
      </c>
      <c r="M3234" t="s">
        <v>58</v>
      </c>
      <c r="P3234" t="s">
        <v>61</v>
      </c>
      <c r="Q3234" t="s">
        <v>58</v>
      </c>
      <c r="R3234" s="11" t="str">
        <f>HYPERLINK("\\imagefiles.bcgov\imagery\scanned_maps\moe_terrain_maps\Scanned_T_maps_all\T17\T17-4643","\\imagefiles.bcgov\imagery\scanned_maps\moe_terrain_maps\Scanned_T_maps_all\T17\T17-4643")</f>
        <v>\\imagefiles.bcgov\imagery\scanned_maps\moe_terrain_maps\Scanned_T_maps_all\T17\T17-4643</v>
      </c>
      <c r="S3234" t="s">
        <v>62</v>
      </c>
      <c r="T3234" s="11" t="str">
        <f>HYPERLINK("http://www.env.gov.bc.ca/esd/distdata/ecosystems/TEI_Scanned_Maps/T17/T17-4643","http://www.env.gov.bc.ca/esd/distdata/ecosystems/TEI_Scanned_Maps/T17/T17-4643")</f>
        <v>http://www.env.gov.bc.ca/esd/distdata/ecosystems/TEI_Scanned_Maps/T17/T17-4643</v>
      </c>
      <c r="U3234" t="s">
        <v>58</v>
      </c>
      <c r="V3234" t="s">
        <v>58</v>
      </c>
      <c r="W3234" t="s">
        <v>58</v>
      </c>
      <c r="X3234" t="s">
        <v>58</v>
      </c>
      <c r="Y3234" t="s">
        <v>58</v>
      </c>
      <c r="Z3234" t="s">
        <v>58</v>
      </c>
      <c r="AA3234" t="s">
        <v>58</v>
      </c>
      <c r="AC3234" t="s">
        <v>58</v>
      </c>
      <c r="AE3234" t="s">
        <v>58</v>
      </c>
      <c r="AG3234" t="s">
        <v>63</v>
      </c>
      <c r="AH3234" s="11" t="str">
        <f t="shared" si="190"/>
        <v>mailto: soilterrain@victoria1.gov.bc.ca</v>
      </c>
    </row>
    <row r="3235" spans="1:34">
      <c r="A3235" t="s">
        <v>6798</v>
      </c>
      <c r="B3235" t="s">
        <v>56</v>
      </c>
      <c r="C3235" s="10" t="s">
        <v>1994</v>
      </c>
      <c r="D3235" t="s">
        <v>61</v>
      </c>
      <c r="E3235" t="s">
        <v>6799</v>
      </c>
      <c r="F3235" t="s">
        <v>6800</v>
      </c>
      <c r="G3235">
        <v>125000</v>
      </c>
      <c r="H3235">
        <v>1974</v>
      </c>
      <c r="I3235" t="s">
        <v>6801</v>
      </c>
      <c r="J3235" t="s">
        <v>61</v>
      </c>
      <c r="K3235" t="s">
        <v>58</v>
      </c>
      <c r="L3235" t="s">
        <v>58</v>
      </c>
      <c r="M3235" t="s">
        <v>58</v>
      </c>
      <c r="P3235" t="s">
        <v>61</v>
      </c>
      <c r="Q3235" t="s">
        <v>58</v>
      </c>
      <c r="R3235" s="11" t="str">
        <f>HYPERLINK("\\imagefiles.bcgov\imagery\scanned_maps\moe_terrain_maps\Scanned_T_maps_all\T18\T18-2476","\\imagefiles.bcgov\imagery\scanned_maps\moe_terrain_maps\Scanned_T_maps_all\T18\T18-2476")</f>
        <v>\\imagefiles.bcgov\imagery\scanned_maps\moe_terrain_maps\Scanned_T_maps_all\T18\T18-2476</v>
      </c>
      <c r="S3235" t="s">
        <v>62</v>
      </c>
      <c r="T3235" s="11" t="str">
        <f>HYPERLINK("http://www.env.gov.bc.ca/esd/distdata/ecosystems/TEI_Scanned_Maps/T18/T18-2476","http://www.env.gov.bc.ca/esd/distdata/ecosystems/TEI_Scanned_Maps/T18/T18-2476")</f>
        <v>http://www.env.gov.bc.ca/esd/distdata/ecosystems/TEI_Scanned_Maps/T18/T18-2476</v>
      </c>
      <c r="U3235" t="s">
        <v>6802</v>
      </c>
      <c r="V3235" s="11" t="str">
        <f>HYPERLINK("http://www.nwcc.bc.ca/lrc/welcome.cfm","http://www.nwcc.bc.ca/lrc/welcome.cfm")</f>
        <v>http://www.nwcc.bc.ca/lrc/welcome.cfm</v>
      </c>
      <c r="W3235" t="s">
        <v>58</v>
      </c>
      <c r="X3235" t="s">
        <v>58</v>
      </c>
      <c r="Y3235" t="s">
        <v>58</v>
      </c>
      <c r="Z3235" t="s">
        <v>58</v>
      </c>
      <c r="AA3235" t="s">
        <v>58</v>
      </c>
      <c r="AC3235" t="s">
        <v>58</v>
      </c>
      <c r="AE3235" t="s">
        <v>58</v>
      </c>
      <c r="AG3235" t="s">
        <v>63</v>
      </c>
      <c r="AH3235" s="11" t="str">
        <f t="shared" si="190"/>
        <v>mailto: soilterrain@victoria1.gov.bc.ca</v>
      </c>
    </row>
    <row r="3236" spans="1:34">
      <c r="A3236" t="s">
        <v>6803</v>
      </c>
      <c r="B3236" t="s">
        <v>56</v>
      </c>
      <c r="C3236" s="10" t="s">
        <v>1994</v>
      </c>
      <c r="D3236" t="s">
        <v>61</v>
      </c>
      <c r="E3236" t="s">
        <v>6799</v>
      </c>
      <c r="F3236" t="s">
        <v>6804</v>
      </c>
      <c r="G3236">
        <v>125000</v>
      </c>
      <c r="H3236">
        <v>1980</v>
      </c>
      <c r="I3236" t="s">
        <v>6801</v>
      </c>
      <c r="J3236" t="s">
        <v>61</v>
      </c>
      <c r="K3236" t="s">
        <v>58</v>
      </c>
      <c r="L3236" t="s">
        <v>58</v>
      </c>
      <c r="M3236" t="s">
        <v>58</v>
      </c>
      <c r="N3236" t="s">
        <v>61</v>
      </c>
      <c r="Q3236" t="s">
        <v>58</v>
      </c>
      <c r="R3236" s="11" t="str">
        <f>HYPERLINK("\\imagefiles.bcgov\imagery\scanned_maps\moe_terrain_maps\Scanned_T_maps_all\T18\T18-2479","\\imagefiles.bcgov\imagery\scanned_maps\moe_terrain_maps\Scanned_T_maps_all\T18\T18-2479")</f>
        <v>\\imagefiles.bcgov\imagery\scanned_maps\moe_terrain_maps\Scanned_T_maps_all\T18\T18-2479</v>
      </c>
      <c r="S3236" t="s">
        <v>62</v>
      </c>
      <c r="T3236" s="11" t="str">
        <f>HYPERLINK("http://www.env.gov.bc.ca/esd/distdata/ecosystems/TEI_Scanned_Maps/T18/T18-2479","http://www.env.gov.bc.ca/esd/distdata/ecosystems/TEI_Scanned_Maps/T18/T18-2479")</f>
        <v>http://www.env.gov.bc.ca/esd/distdata/ecosystems/TEI_Scanned_Maps/T18/T18-2479</v>
      </c>
      <c r="U3236" t="s">
        <v>6802</v>
      </c>
      <c r="V3236" s="11" t="str">
        <f>HYPERLINK("http://www.nwcc.bc.ca/lrc/welcome.cfm","http://www.nwcc.bc.ca/lrc/welcome.cfm")</f>
        <v>http://www.nwcc.bc.ca/lrc/welcome.cfm</v>
      </c>
      <c r="W3236" t="s">
        <v>58</v>
      </c>
      <c r="X3236" t="s">
        <v>58</v>
      </c>
      <c r="Y3236" t="s">
        <v>58</v>
      </c>
      <c r="Z3236" t="s">
        <v>58</v>
      </c>
      <c r="AA3236" t="s">
        <v>58</v>
      </c>
      <c r="AC3236" t="s">
        <v>58</v>
      </c>
      <c r="AE3236" t="s">
        <v>58</v>
      </c>
      <c r="AG3236" t="s">
        <v>63</v>
      </c>
      <c r="AH3236" s="11" t="str">
        <f t="shared" si="190"/>
        <v>mailto: soilterrain@victoria1.gov.bc.ca</v>
      </c>
    </row>
  </sheetData>
  <autoFilter ref="A1:AF3236"/>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 IDIR Users</vt:lpstr>
      <vt:lpstr>Instructions - Public Users</vt:lpstr>
      <vt:lpstr>Scanned Map Index 2012-03-07</vt:lpstr>
      <vt:lpstr>Sheet1</vt:lpstr>
      <vt:lpstr>Sheet2</vt:lpstr>
      <vt:lpstr>Sheet3</vt:lpstr>
    </vt:vector>
  </TitlesOfParts>
  <Company>Province of British Columbia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LCS - WTS</dc:creator>
  <cp:lastModifiedBy>mfinvers</cp:lastModifiedBy>
  <dcterms:created xsi:type="dcterms:W3CDTF">2012-03-07T18:01:20Z</dcterms:created>
  <dcterms:modified xsi:type="dcterms:W3CDTF">2013-05-23T23:13:09Z</dcterms:modified>
</cp:coreProperties>
</file>